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4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Stevia\Sarah\"/>
    </mc:Choice>
  </mc:AlternateContent>
  <xr:revisionPtr revIDLastSave="0" documentId="8_{80AD8A76-3B70-48B9-9913-AD3ED3E16202}" xr6:coauthVersionLast="37" xr6:coauthVersionMax="37" xr10:uidLastSave="{00000000-0000-0000-0000-000000000000}"/>
  <bookViews>
    <workbookView xWindow="0" yWindow="0" windowWidth="15360" windowHeight="9060" xr2:uid="{00000000-000D-0000-FFFF-FFFF00000000}"/>
  </bookViews>
  <sheets>
    <sheet name="LF" sheetId="1" r:id="rId1"/>
    <sheet name="HF" sheetId="2" r:id="rId2"/>
    <sheet name="SAAC" sheetId="3" r:id="rId3"/>
    <sheet name="STEVIA" sheetId="4" r:id="rId4"/>
    <sheet name="Compiled graphs" sheetId="5" r:id="rId5"/>
    <sheet name="Water Controls" sheetId="6" r:id="rId6"/>
    <sheet name="Sex ID" sheetId="7" r:id="rId7"/>
    <sheet name="Timeline" sheetId="8" r:id="rId8"/>
    <sheet name="GTT_initial" sheetId="9" r:id="rId9"/>
    <sheet name="Week36 Glucose Tests" sheetId="10" r:id="rId10"/>
    <sheet name="GTT Final" sheetId="11" r:id="rId11"/>
    <sheet name="Sheet17" sheetId="12" r:id="rId12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52" i="12" l="1"/>
  <c r="Y151" i="12" s="1"/>
  <c r="T152" i="12"/>
  <c r="X151" i="12"/>
  <c r="Y150" i="12" s="1"/>
  <c r="T151" i="12"/>
  <c r="U151" i="12" s="1"/>
  <c r="X150" i="12"/>
  <c r="Y149" i="12" s="1"/>
  <c r="T150" i="12"/>
  <c r="U150" i="12" s="1"/>
  <c r="X149" i="12"/>
  <c r="Y148" i="12" s="1"/>
  <c r="T149" i="12"/>
  <c r="U149" i="12" s="1"/>
  <c r="X148" i="12"/>
  <c r="Y147" i="12" s="1"/>
  <c r="Z153" i="12" s="1"/>
  <c r="T148" i="12"/>
  <c r="U148" i="12" s="1"/>
  <c r="X147" i="12"/>
  <c r="T147" i="12"/>
  <c r="U147" i="12" s="1"/>
  <c r="V153" i="12" s="1"/>
  <c r="X144" i="12"/>
  <c r="Y143" i="12" s="1"/>
  <c r="T144" i="12"/>
  <c r="X143" i="12"/>
  <c r="Y142" i="12" s="1"/>
  <c r="T143" i="12"/>
  <c r="U143" i="12" s="1"/>
  <c r="X142" i="12"/>
  <c r="Y141" i="12" s="1"/>
  <c r="T142" i="12"/>
  <c r="U142" i="12" s="1"/>
  <c r="X141" i="12"/>
  <c r="Y140" i="12" s="1"/>
  <c r="T141" i="12"/>
  <c r="U141" i="12" s="1"/>
  <c r="X140" i="12"/>
  <c r="Y139" i="12" s="1"/>
  <c r="Z145" i="12" s="1"/>
  <c r="T140" i="12"/>
  <c r="U140" i="12" s="1"/>
  <c r="X139" i="12"/>
  <c r="T139" i="12"/>
  <c r="U139" i="12" s="1"/>
  <c r="V145" i="12" s="1"/>
  <c r="X136" i="12"/>
  <c r="Y135" i="12" s="1"/>
  <c r="T136" i="12"/>
  <c r="X135" i="12"/>
  <c r="Y134" i="12" s="1"/>
  <c r="T135" i="12"/>
  <c r="U135" i="12" s="1"/>
  <c r="X134" i="12"/>
  <c r="Y133" i="12" s="1"/>
  <c r="T134" i="12"/>
  <c r="U134" i="12" s="1"/>
  <c r="X133" i="12"/>
  <c r="Y132" i="12" s="1"/>
  <c r="T133" i="12"/>
  <c r="U133" i="12" s="1"/>
  <c r="X132" i="12"/>
  <c r="Y131" i="12" s="1"/>
  <c r="Z137" i="12" s="1"/>
  <c r="T132" i="12"/>
  <c r="U132" i="12" s="1"/>
  <c r="X131" i="12"/>
  <c r="T131" i="12"/>
  <c r="U131" i="12" s="1"/>
  <c r="V137" i="12" s="1"/>
  <c r="X128" i="12"/>
  <c r="Y127" i="12" s="1"/>
  <c r="T128" i="12"/>
  <c r="U127" i="12" s="1"/>
  <c r="T127" i="12"/>
  <c r="Y126" i="12"/>
  <c r="X126" i="12"/>
  <c r="U126" i="12"/>
  <c r="T126" i="12"/>
  <c r="Y125" i="12"/>
  <c r="X125" i="12"/>
  <c r="U125" i="12"/>
  <c r="T125" i="12"/>
  <c r="Y124" i="12"/>
  <c r="X124" i="12"/>
  <c r="U124" i="12"/>
  <c r="T124" i="12"/>
  <c r="Y123" i="12"/>
  <c r="Z129" i="12" s="1"/>
  <c r="X123" i="12"/>
  <c r="U123" i="12"/>
  <c r="V129" i="12" s="1"/>
  <c r="T123" i="12"/>
  <c r="X120" i="12"/>
  <c r="T120" i="12"/>
  <c r="Y119" i="12"/>
  <c r="X119" i="12"/>
  <c r="U119" i="12"/>
  <c r="T119" i="12"/>
  <c r="Y118" i="12"/>
  <c r="X118" i="12"/>
  <c r="U118" i="12"/>
  <c r="T118" i="12"/>
  <c r="Y117" i="12"/>
  <c r="X117" i="12"/>
  <c r="U117" i="12"/>
  <c r="T117" i="12"/>
  <c r="Y116" i="12"/>
  <c r="X116" i="12"/>
  <c r="U116" i="12"/>
  <c r="T116" i="12"/>
  <c r="Y115" i="12"/>
  <c r="Z121" i="12" s="1"/>
  <c r="X115" i="12"/>
  <c r="U115" i="12"/>
  <c r="V121" i="12" s="1"/>
  <c r="L2" i="12" s="1"/>
  <c r="T115" i="12"/>
  <c r="X112" i="12"/>
  <c r="T112" i="12"/>
  <c r="Y111" i="12"/>
  <c r="X111" i="12"/>
  <c r="U111" i="12"/>
  <c r="T111" i="12"/>
  <c r="Y110" i="12"/>
  <c r="X110" i="12"/>
  <c r="U110" i="12"/>
  <c r="T110" i="12"/>
  <c r="Y109" i="12"/>
  <c r="X109" i="12"/>
  <c r="U109" i="12"/>
  <c r="T109" i="12"/>
  <c r="Y108" i="12"/>
  <c r="X108" i="12"/>
  <c r="U108" i="12"/>
  <c r="T108" i="12"/>
  <c r="Y107" i="12"/>
  <c r="Z113" i="12" s="1"/>
  <c r="X107" i="12"/>
  <c r="U107" i="12"/>
  <c r="V113" i="12" s="1"/>
  <c r="T107" i="12"/>
  <c r="X104" i="12"/>
  <c r="T104" i="12"/>
  <c r="Y103" i="12"/>
  <c r="X103" i="12"/>
  <c r="U103" i="12"/>
  <c r="T103" i="12"/>
  <c r="Y102" i="12"/>
  <c r="X102" i="12"/>
  <c r="U102" i="12"/>
  <c r="T102" i="12"/>
  <c r="Y101" i="12"/>
  <c r="X101" i="12"/>
  <c r="U101" i="12"/>
  <c r="T101" i="12"/>
  <c r="Y100" i="12"/>
  <c r="X100" i="12"/>
  <c r="U100" i="12"/>
  <c r="T100" i="12"/>
  <c r="Y99" i="12"/>
  <c r="Z105" i="12" s="1"/>
  <c r="X99" i="12"/>
  <c r="U99" i="12"/>
  <c r="V105" i="12" s="1"/>
  <c r="T99" i="12"/>
  <c r="X96" i="12"/>
  <c r="T96" i="12"/>
  <c r="Y95" i="12"/>
  <c r="X95" i="12"/>
  <c r="U95" i="12"/>
  <c r="T95" i="12"/>
  <c r="Y94" i="12"/>
  <c r="X94" i="12"/>
  <c r="U94" i="12"/>
  <c r="T94" i="12"/>
  <c r="Y93" i="12"/>
  <c r="X93" i="12"/>
  <c r="U93" i="12"/>
  <c r="T93" i="12"/>
  <c r="Y92" i="12"/>
  <c r="X92" i="12"/>
  <c r="U92" i="12"/>
  <c r="T92" i="12"/>
  <c r="Y91" i="12"/>
  <c r="Z97" i="12" s="1"/>
  <c r="X91" i="12"/>
  <c r="U91" i="12"/>
  <c r="V97" i="12" s="1"/>
  <c r="T91" i="12"/>
  <c r="X88" i="12"/>
  <c r="T88" i="12"/>
  <c r="Y87" i="12"/>
  <c r="X87" i="12"/>
  <c r="U87" i="12"/>
  <c r="T87" i="12"/>
  <c r="Y86" i="12"/>
  <c r="X86" i="12"/>
  <c r="U86" i="12"/>
  <c r="T86" i="12"/>
  <c r="Y85" i="12"/>
  <c r="X85" i="12"/>
  <c r="U85" i="12"/>
  <c r="T85" i="12"/>
  <c r="Y84" i="12"/>
  <c r="X84" i="12"/>
  <c r="U84" i="12"/>
  <c r="T84" i="12"/>
  <c r="Y83" i="12"/>
  <c r="Z89" i="12" s="1"/>
  <c r="X83" i="12"/>
  <c r="U83" i="12"/>
  <c r="V89" i="12" s="1"/>
  <c r="T83" i="12"/>
  <c r="Q81" i="12"/>
  <c r="X80" i="12"/>
  <c r="T80" i="12"/>
  <c r="R80" i="12"/>
  <c r="Q80" i="12"/>
  <c r="Y79" i="12"/>
  <c r="X79" i="12"/>
  <c r="U79" i="12"/>
  <c r="T79" i="12"/>
  <c r="R79" i="12"/>
  <c r="Q79" i="12"/>
  <c r="Y78" i="12"/>
  <c r="X78" i="12"/>
  <c r="U78" i="12"/>
  <c r="T78" i="12"/>
  <c r="R78" i="12"/>
  <c r="Q78" i="12"/>
  <c r="Y77" i="12"/>
  <c r="X77" i="12"/>
  <c r="U77" i="12"/>
  <c r="T77" i="12"/>
  <c r="R77" i="12"/>
  <c r="R82" i="12" s="1"/>
  <c r="Q77" i="12"/>
  <c r="Y76" i="12"/>
  <c r="X76" i="12"/>
  <c r="U76" i="12"/>
  <c r="T76" i="12"/>
  <c r="R76" i="12"/>
  <c r="Q76" i="12"/>
  <c r="Y75" i="12"/>
  <c r="Z81" i="12" s="1"/>
  <c r="X75" i="12"/>
  <c r="U75" i="12"/>
  <c r="V81" i="12" s="1"/>
  <c r="T75" i="12"/>
  <c r="X72" i="12"/>
  <c r="T72" i="12"/>
  <c r="Y71" i="12"/>
  <c r="X71" i="12"/>
  <c r="U71" i="12"/>
  <c r="T71" i="12"/>
  <c r="Y70" i="12"/>
  <c r="X70" i="12"/>
  <c r="U70" i="12"/>
  <c r="T70" i="12"/>
  <c r="Y69" i="12"/>
  <c r="X69" i="12"/>
  <c r="U69" i="12"/>
  <c r="T69" i="12"/>
  <c r="Y68" i="12"/>
  <c r="X68" i="12"/>
  <c r="U68" i="12"/>
  <c r="T68" i="12"/>
  <c r="Y67" i="12"/>
  <c r="Z73" i="12" s="1"/>
  <c r="X67" i="12"/>
  <c r="U67" i="12"/>
  <c r="V72" i="12" s="1"/>
  <c r="T67" i="12"/>
  <c r="X64" i="12"/>
  <c r="T64" i="12"/>
  <c r="Y63" i="12"/>
  <c r="X63" i="12"/>
  <c r="U63" i="12"/>
  <c r="T63" i="12"/>
  <c r="Y62" i="12"/>
  <c r="X62" i="12"/>
  <c r="U62" i="12"/>
  <c r="T62" i="12"/>
  <c r="Y61" i="12"/>
  <c r="X61" i="12"/>
  <c r="U61" i="12"/>
  <c r="T61" i="12"/>
  <c r="Y60" i="12"/>
  <c r="X60" i="12"/>
  <c r="U60" i="12"/>
  <c r="T60" i="12"/>
  <c r="Y59" i="12"/>
  <c r="Z65" i="12" s="1"/>
  <c r="X59" i="12"/>
  <c r="U59" i="12"/>
  <c r="V65" i="12" s="1"/>
  <c r="T59" i="12"/>
  <c r="X56" i="12"/>
  <c r="T56" i="12"/>
  <c r="Y55" i="12"/>
  <c r="X55" i="12"/>
  <c r="U55" i="12"/>
  <c r="T55" i="12"/>
  <c r="Y54" i="12"/>
  <c r="X54" i="12"/>
  <c r="U54" i="12"/>
  <c r="T54" i="12"/>
  <c r="Y53" i="12"/>
  <c r="X53" i="12"/>
  <c r="U53" i="12"/>
  <c r="T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Y52" i="12"/>
  <c r="X52" i="12"/>
  <c r="U52" i="12"/>
  <c r="T52" i="12"/>
  <c r="Y51" i="12"/>
  <c r="Z57" i="12" s="1"/>
  <c r="X51" i="12"/>
  <c r="U51" i="12"/>
  <c r="V57" i="12" s="1"/>
  <c r="T51" i="12"/>
  <c r="X47" i="12"/>
  <c r="T47" i="12"/>
  <c r="Y46" i="12"/>
  <c r="X46" i="12"/>
  <c r="U46" i="12"/>
  <c r="T46" i="12"/>
  <c r="Y45" i="12"/>
  <c r="X45" i="12"/>
  <c r="U45" i="12"/>
  <c r="T45" i="12"/>
  <c r="Y44" i="12"/>
  <c r="X44" i="12"/>
  <c r="U44" i="12"/>
  <c r="T44" i="12"/>
  <c r="Y43" i="12"/>
  <c r="X43" i="12"/>
  <c r="U43" i="12"/>
  <c r="T43" i="12"/>
  <c r="Y42" i="12"/>
  <c r="Z48" i="12" s="1"/>
  <c r="X42" i="12"/>
  <c r="U42" i="12"/>
  <c r="V48" i="12" s="1"/>
  <c r="T42" i="12"/>
  <c r="X38" i="12"/>
  <c r="T38" i="12"/>
  <c r="Y37" i="12"/>
  <c r="X37" i="12"/>
  <c r="U37" i="12"/>
  <c r="T37" i="12"/>
  <c r="Y36" i="12"/>
  <c r="X36" i="12"/>
  <c r="U36" i="12"/>
  <c r="T36" i="12"/>
  <c r="Y35" i="12"/>
  <c r="X35" i="12"/>
  <c r="U35" i="12"/>
  <c r="T35" i="12"/>
  <c r="Y34" i="12"/>
  <c r="X34" i="12"/>
  <c r="U34" i="12"/>
  <c r="T34" i="12"/>
  <c r="Y33" i="12"/>
  <c r="Z39" i="12" s="1"/>
  <c r="X33" i="12"/>
  <c r="U33" i="12"/>
  <c r="V39" i="12" s="1"/>
  <c r="T33" i="12"/>
  <c r="X30" i="12"/>
  <c r="T30" i="12"/>
  <c r="Y29" i="12"/>
  <c r="X29" i="12"/>
  <c r="U29" i="12"/>
  <c r="T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Y28" i="12"/>
  <c r="X28" i="12"/>
  <c r="U28" i="12"/>
  <c r="T28" i="12"/>
  <c r="Y27" i="12"/>
  <c r="X27" i="12"/>
  <c r="U27" i="12"/>
  <c r="T27" i="12"/>
  <c r="Y26" i="12"/>
  <c r="X26" i="12"/>
  <c r="U26" i="12"/>
  <c r="T26" i="12"/>
  <c r="Y25" i="12"/>
  <c r="Z31" i="12" s="1"/>
  <c r="X25" i="12"/>
  <c r="U25" i="12"/>
  <c r="V30" i="12" s="1"/>
  <c r="T25" i="12"/>
  <c r="X22" i="12"/>
  <c r="T22" i="12"/>
  <c r="Y21" i="12"/>
  <c r="X21" i="12"/>
  <c r="U21" i="12"/>
  <c r="T21" i="12"/>
  <c r="Y20" i="12"/>
  <c r="X20" i="12"/>
  <c r="U20" i="12"/>
  <c r="T20" i="12"/>
  <c r="Y19" i="12"/>
  <c r="X19" i="12"/>
  <c r="U19" i="12"/>
  <c r="T19" i="12"/>
  <c r="Y18" i="12"/>
  <c r="X18" i="12"/>
  <c r="U18" i="12"/>
  <c r="T18" i="12"/>
  <c r="Y17" i="12"/>
  <c r="Z23" i="12" s="1"/>
  <c r="X17" i="12"/>
  <c r="U17" i="12"/>
  <c r="V22" i="12" s="1"/>
  <c r="T17" i="12"/>
  <c r="X15" i="12"/>
  <c r="T15" i="12"/>
  <c r="Y14" i="12"/>
  <c r="X14" i="12"/>
  <c r="U14" i="12"/>
  <c r="T14" i="12"/>
  <c r="Y13" i="12"/>
  <c r="X13" i="12"/>
  <c r="U13" i="12"/>
  <c r="T13" i="12"/>
  <c r="Y12" i="12"/>
  <c r="X12" i="12"/>
  <c r="U12" i="12"/>
  <c r="T12" i="12"/>
  <c r="Y11" i="12"/>
  <c r="X11" i="12"/>
  <c r="U11" i="12"/>
  <c r="T11" i="12"/>
  <c r="Y10" i="12"/>
  <c r="Z15" i="12" s="1"/>
  <c r="X10" i="12"/>
  <c r="U10" i="12"/>
  <c r="V15" i="12" s="1"/>
  <c r="T10" i="12"/>
  <c r="X8" i="12"/>
  <c r="T8" i="12"/>
  <c r="Y7" i="12"/>
  <c r="X7" i="12"/>
  <c r="U7" i="12"/>
  <c r="T7" i="12"/>
  <c r="Y6" i="12"/>
  <c r="X6" i="12"/>
  <c r="U6" i="12"/>
  <c r="T6" i="12"/>
  <c r="Y5" i="12"/>
  <c r="X5" i="12"/>
  <c r="U5" i="12"/>
  <c r="T5" i="12"/>
  <c r="Y4" i="12"/>
  <c r="X4" i="12"/>
  <c r="Y3" i="12" s="1"/>
  <c r="Z8" i="12" s="1"/>
  <c r="U4" i="12"/>
  <c r="T4" i="12"/>
  <c r="I4" i="12"/>
  <c r="H4" i="12"/>
  <c r="G4" i="12"/>
  <c r="F4" i="12"/>
  <c r="E4" i="12"/>
  <c r="D4" i="12"/>
  <c r="C4" i="12"/>
  <c r="X3" i="12"/>
  <c r="T3" i="12"/>
  <c r="U3" i="12" s="1"/>
  <c r="V8" i="12" s="1"/>
  <c r="D78" i="11"/>
  <c r="D77" i="11"/>
  <c r="D76" i="11"/>
  <c r="D75" i="11"/>
  <c r="D74" i="11"/>
  <c r="D73" i="11"/>
  <c r="D68" i="11"/>
  <c r="D67" i="11"/>
  <c r="D66" i="11"/>
  <c r="AC65" i="11"/>
  <c r="D65" i="11"/>
  <c r="AC64" i="11"/>
  <c r="D64" i="11"/>
  <c r="AC63" i="11"/>
  <c r="D63" i="11"/>
  <c r="AC62" i="11"/>
  <c r="AC61" i="11"/>
  <c r="AC60" i="11"/>
  <c r="AC59" i="11"/>
  <c r="AC58" i="11"/>
  <c r="AC57" i="11"/>
  <c r="AC56" i="11"/>
  <c r="D56" i="11"/>
  <c r="AC55" i="11"/>
  <c r="D55" i="11"/>
  <c r="AC54" i="11"/>
  <c r="D54" i="11"/>
  <c r="AC53" i="11"/>
  <c r="D53" i="11"/>
  <c r="AC52" i="11"/>
  <c r="D52" i="11"/>
  <c r="AC51" i="11"/>
  <c r="D51" i="11"/>
  <c r="AC50" i="11"/>
  <c r="D47" i="11"/>
  <c r="D46" i="11"/>
  <c r="D45" i="11"/>
  <c r="AC44" i="11"/>
  <c r="D44" i="11"/>
  <c r="AC43" i="11"/>
  <c r="D43" i="11"/>
  <c r="AC42" i="11"/>
  <c r="D42" i="11"/>
  <c r="AC41" i="11"/>
  <c r="AC40" i="11"/>
  <c r="AC39" i="11"/>
  <c r="AC38" i="11"/>
  <c r="D38" i="11"/>
  <c r="AC37" i="11"/>
  <c r="D37" i="11"/>
  <c r="AC36" i="11"/>
  <c r="D36" i="11"/>
  <c r="AC35" i="11"/>
  <c r="D35" i="11"/>
  <c r="AC34" i="11"/>
  <c r="D34" i="11"/>
  <c r="AC33" i="11"/>
  <c r="D33" i="11"/>
  <c r="AC32" i="11"/>
  <c r="AC31" i="11"/>
  <c r="AC30" i="11"/>
  <c r="AC29" i="11"/>
  <c r="D28" i="11"/>
  <c r="D27" i="11"/>
  <c r="D26" i="11"/>
  <c r="D25" i="11"/>
  <c r="D24" i="11"/>
  <c r="D23" i="11"/>
  <c r="AC22" i="11"/>
  <c r="AC21" i="11"/>
  <c r="AC20" i="11"/>
  <c r="AC19" i="11"/>
  <c r="AC18" i="11"/>
  <c r="D18" i="11"/>
  <c r="AC17" i="11"/>
  <c r="D17" i="11"/>
  <c r="AC16" i="11"/>
  <c r="D16" i="11"/>
  <c r="D15" i="11"/>
  <c r="D14" i="11"/>
  <c r="D13" i="11"/>
  <c r="F7" i="11"/>
  <c r="E7" i="11"/>
  <c r="D7" i="11"/>
  <c r="E6" i="11"/>
  <c r="F6" i="11" s="1"/>
  <c r="D6" i="11"/>
  <c r="K5" i="11"/>
  <c r="J5" i="11"/>
  <c r="I5" i="11"/>
  <c r="E5" i="11"/>
  <c r="F5" i="11" s="1"/>
  <c r="D5" i="11"/>
  <c r="K4" i="11"/>
  <c r="J4" i="11"/>
  <c r="I4" i="11"/>
  <c r="E4" i="11"/>
  <c r="F4" i="11" s="1"/>
  <c r="D4" i="11"/>
  <c r="K3" i="11"/>
  <c r="J3" i="11"/>
  <c r="I3" i="11"/>
  <c r="E3" i="11"/>
  <c r="F3" i="11" s="1"/>
  <c r="D3" i="11"/>
  <c r="K2" i="11"/>
  <c r="J2" i="11"/>
  <c r="I2" i="11"/>
  <c r="E2" i="11"/>
  <c r="F2" i="11" s="1"/>
  <c r="D2" i="11"/>
  <c r="I19" i="10"/>
  <c r="I20" i="10" s="1"/>
  <c r="H19" i="10"/>
  <c r="H20" i="10" s="1"/>
  <c r="I18" i="10"/>
  <c r="H18" i="10"/>
  <c r="I15" i="10"/>
  <c r="H15" i="10"/>
  <c r="I14" i="10"/>
  <c r="H14" i="10"/>
  <c r="I13" i="10"/>
  <c r="H13" i="10"/>
  <c r="I9" i="10"/>
  <c r="I10" i="10" s="1"/>
  <c r="H9" i="10"/>
  <c r="H10" i="10" s="1"/>
  <c r="I8" i="10"/>
  <c r="H8" i="10"/>
  <c r="I5" i="10"/>
  <c r="H5" i="10"/>
  <c r="I4" i="10"/>
  <c r="H4" i="10"/>
  <c r="I3" i="10"/>
  <c r="H3" i="10"/>
  <c r="C212" i="9"/>
  <c r="C211" i="9"/>
  <c r="C210" i="9"/>
  <c r="C209" i="9"/>
  <c r="C214" i="9" s="1"/>
  <c r="C208" i="9"/>
  <c r="C194" i="9"/>
  <c r="C193" i="9"/>
  <c r="C192" i="9"/>
  <c r="C191" i="9"/>
  <c r="C196" i="9" s="1"/>
  <c r="C190" i="9"/>
  <c r="C172" i="9"/>
  <c r="C171" i="9"/>
  <c r="C170" i="9"/>
  <c r="C169" i="9"/>
  <c r="C174" i="9" s="1"/>
  <c r="C168" i="9"/>
  <c r="C149" i="9"/>
  <c r="C148" i="9"/>
  <c r="C147" i="9"/>
  <c r="C146" i="9"/>
  <c r="C152" i="9" s="1"/>
  <c r="C145" i="9"/>
  <c r="C122" i="9"/>
  <c r="C121" i="9"/>
  <c r="C120" i="9"/>
  <c r="C119" i="9"/>
  <c r="C125" i="9" s="1"/>
  <c r="C118" i="9"/>
  <c r="C96" i="9"/>
  <c r="C95" i="9"/>
  <c r="C94" i="9"/>
  <c r="C93" i="9"/>
  <c r="C99" i="9" s="1"/>
  <c r="C92" i="9"/>
  <c r="C70" i="9"/>
  <c r="C69" i="9"/>
  <c r="C68" i="9"/>
  <c r="C67" i="9"/>
  <c r="C73" i="9" s="1"/>
  <c r="C66" i="9"/>
  <c r="C41" i="9"/>
  <c r="C40" i="9"/>
  <c r="C39" i="9"/>
  <c r="C38" i="9"/>
  <c r="C43" i="9" s="1"/>
  <c r="C37" i="9"/>
  <c r="C22" i="9"/>
  <c r="C21" i="9"/>
  <c r="C20" i="9"/>
  <c r="C19" i="9"/>
  <c r="C24" i="9" s="1"/>
  <c r="C18" i="9"/>
  <c r="B13" i="9"/>
  <c r="B11" i="9"/>
  <c r="D8" i="9"/>
  <c r="C8" i="9"/>
  <c r="D7" i="9"/>
  <c r="C7" i="9"/>
  <c r="D6" i="9"/>
  <c r="C6" i="9"/>
  <c r="D5" i="9"/>
  <c r="C5" i="9"/>
  <c r="D4" i="9"/>
  <c r="C4" i="9"/>
  <c r="B12" i="9" s="1"/>
  <c r="D3" i="9"/>
  <c r="C3" i="9"/>
  <c r="B14" i="9" s="1"/>
  <c r="F27" i="6"/>
  <c r="E27" i="6"/>
  <c r="D27" i="6"/>
  <c r="C27" i="6"/>
  <c r="B27" i="6"/>
  <c r="F15" i="6"/>
  <c r="E15" i="6"/>
  <c r="D15" i="6"/>
  <c r="C15" i="6"/>
  <c r="H2" i="6" s="1"/>
  <c r="B15" i="6"/>
  <c r="H5" i="6"/>
  <c r="B70" i="5"/>
  <c r="B69" i="5"/>
  <c r="I66" i="5"/>
  <c r="H66" i="5"/>
  <c r="G66" i="5"/>
  <c r="F66" i="5"/>
  <c r="E66" i="5"/>
  <c r="I65" i="5"/>
  <c r="H65" i="5"/>
  <c r="G65" i="5"/>
  <c r="F65" i="5"/>
  <c r="E65" i="5"/>
  <c r="I64" i="5"/>
  <c r="H64" i="5"/>
  <c r="G64" i="5"/>
  <c r="F64" i="5"/>
  <c r="E64" i="5"/>
  <c r="I63" i="5"/>
  <c r="H63" i="5"/>
  <c r="G63" i="5"/>
  <c r="F63" i="5"/>
  <c r="E63" i="5"/>
  <c r="I62" i="5"/>
  <c r="H62" i="5"/>
  <c r="G62" i="5"/>
  <c r="F62" i="5"/>
  <c r="E62" i="5"/>
  <c r="I61" i="5"/>
  <c r="H61" i="5"/>
  <c r="G61" i="5"/>
  <c r="F61" i="5"/>
  <c r="E61" i="5"/>
  <c r="I60" i="5"/>
  <c r="H60" i="5"/>
  <c r="G60" i="5"/>
  <c r="F60" i="5"/>
  <c r="E60" i="5"/>
  <c r="I59" i="5"/>
  <c r="H59" i="5"/>
  <c r="G59" i="5"/>
  <c r="F59" i="5"/>
  <c r="E59" i="5"/>
  <c r="I58" i="5"/>
  <c r="H58" i="5"/>
  <c r="G58" i="5"/>
  <c r="F58" i="5"/>
  <c r="E58" i="5"/>
  <c r="I57" i="5"/>
  <c r="H57" i="5"/>
  <c r="G57" i="5"/>
  <c r="F57" i="5"/>
  <c r="E57" i="5"/>
  <c r="I56" i="5"/>
  <c r="H56" i="5"/>
  <c r="G56" i="5"/>
  <c r="F56" i="5"/>
  <c r="E56" i="5"/>
  <c r="I55" i="5"/>
  <c r="H55" i="5"/>
  <c r="G55" i="5"/>
  <c r="F55" i="5"/>
  <c r="E55" i="5"/>
  <c r="I54" i="5"/>
  <c r="H54" i="5"/>
  <c r="G54" i="5"/>
  <c r="F54" i="5"/>
  <c r="E54" i="5"/>
  <c r="I49" i="5"/>
  <c r="H49" i="5"/>
  <c r="G49" i="5"/>
  <c r="F49" i="5"/>
  <c r="E49" i="5"/>
  <c r="I48" i="5"/>
  <c r="H48" i="5"/>
  <c r="G48" i="5"/>
  <c r="F48" i="5"/>
  <c r="E48" i="5"/>
  <c r="I47" i="5"/>
  <c r="H47" i="5"/>
  <c r="G47" i="5"/>
  <c r="F47" i="5"/>
  <c r="E47" i="5"/>
  <c r="I46" i="5"/>
  <c r="H46" i="5"/>
  <c r="G46" i="5"/>
  <c r="F46" i="5"/>
  <c r="E46" i="5"/>
  <c r="I45" i="5"/>
  <c r="H45" i="5"/>
  <c r="G45" i="5"/>
  <c r="F45" i="5"/>
  <c r="E45" i="5"/>
  <c r="I44" i="5"/>
  <c r="H44" i="5"/>
  <c r="G44" i="5"/>
  <c r="F44" i="5"/>
  <c r="E44" i="5"/>
  <c r="I43" i="5"/>
  <c r="H43" i="5"/>
  <c r="G43" i="5"/>
  <c r="F43" i="5"/>
  <c r="E43" i="5"/>
  <c r="I42" i="5"/>
  <c r="H42" i="5"/>
  <c r="G42" i="5"/>
  <c r="F42" i="5"/>
  <c r="E42" i="5"/>
  <c r="I41" i="5"/>
  <c r="H41" i="5"/>
  <c r="G41" i="5"/>
  <c r="F41" i="5"/>
  <c r="E41" i="5"/>
  <c r="I40" i="5"/>
  <c r="H40" i="5"/>
  <c r="G40" i="5"/>
  <c r="F40" i="5"/>
  <c r="E40" i="5"/>
  <c r="I39" i="5"/>
  <c r="H39" i="5"/>
  <c r="G39" i="5"/>
  <c r="F39" i="5"/>
  <c r="I38" i="5"/>
  <c r="H38" i="5"/>
  <c r="G38" i="5"/>
  <c r="F38" i="5"/>
  <c r="E38" i="5"/>
  <c r="I37" i="5"/>
  <c r="H37" i="5"/>
  <c r="G37" i="5"/>
  <c r="F37" i="5"/>
  <c r="E37" i="5"/>
  <c r="I32" i="5"/>
  <c r="H32" i="5"/>
  <c r="G32" i="5"/>
  <c r="F32" i="5"/>
  <c r="E32" i="5"/>
  <c r="I31" i="5"/>
  <c r="H31" i="5"/>
  <c r="G31" i="5"/>
  <c r="F31" i="5"/>
  <c r="E31" i="5"/>
  <c r="I30" i="5"/>
  <c r="H30" i="5"/>
  <c r="G30" i="5"/>
  <c r="F30" i="5"/>
  <c r="E30" i="5"/>
  <c r="I29" i="5"/>
  <c r="H29" i="5"/>
  <c r="G29" i="5"/>
  <c r="F29" i="5"/>
  <c r="E29" i="5"/>
  <c r="I28" i="5"/>
  <c r="H28" i="5"/>
  <c r="G28" i="5"/>
  <c r="F28" i="5"/>
  <c r="E28" i="5"/>
  <c r="I27" i="5"/>
  <c r="H27" i="5"/>
  <c r="G27" i="5"/>
  <c r="E27" i="5"/>
  <c r="I26" i="5"/>
  <c r="H26" i="5"/>
  <c r="G26" i="5"/>
  <c r="F26" i="5"/>
  <c r="E26" i="5"/>
  <c r="I25" i="5"/>
  <c r="H25" i="5"/>
  <c r="G25" i="5"/>
  <c r="F25" i="5"/>
  <c r="E25" i="5"/>
  <c r="I24" i="5"/>
  <c r="H24" i="5"/>
  <c r="G24" i="5"/>
  <c r="F24" i="5"/>
  <c r="E24" i="5"/>
  <c r="I23" i="5"/>
  <c r="H23" i="5"/>
  <c r="G23" i="5"/>
  <c r="F23" i="5"/>
  <c r="E23" i="5"/>
  <c r="I22" i="5"/>
  <c r="H22" i="5"/>
  <c r="G22" i="5"/>
  <c r="F22" i="5"/>
  <c r="E22" i="5"/>
  <c r="I21" i="5"/>
  <c r="H21" i="5"/>
  <c r="G21" i="5"/>
  <c r="F21" i="5"/>
  <c r="E21" i="5"/>
  <c r="I20" i="5"/>
  <c r="H20" i="5"/>
  <c r="G20" i="5"/>
  <c r="F20" i="5"/>
  <c r="E20" i="5"/>
  <c r="I15" i="5"/>
  <c r="H15" i="5"/>
  <c r="G15" i="5"/>
  <c r="F15" i="5"/>
  <c r="E15" i="5"/>
  <c r="I14" i="5"/>
  <c r="H14" i="5"/>
  <c r="G14" i="5"/>
  <c r="F14" i="5"/>
  <c r="E14" i="5"/>
  <c r="I13" i="5"/>
  <c r="H13" i="5"/>
  <c r="G13" i="5"/>
  <c r="F13" i="5"/>
  <c r="E13" i="5"/>
  <c r="I12" i="5"/>
  <c r="H12" i="5"/>
  <c r="G12" i="5"/>
  <c r="F12" i="5"/>
  <c r="E12" i="5"/>
  <c r="I11" i="5"/>
  <c r="H11" i="5"/>
  <c r="G11" i="5"/>
  <c r="F11" i="5"/>
  <c r="E11" i="5"/>
  <c r="I10" i="5"/>
  <c r="H10" i="5"/>
  <c r="G10" i="5"/>
  <c r="F10" i="5"/>
  <c r="E10" i="5"/>
  <c r="I9" i="5"/>
  <c r="H9" i="5"/>
  <c r="G9" i="5"/>
  <c r="F9" i="5"/>
  <c r="E9" i="5"/>
  <c r="I8" i="5"/>
  <c r="H8" i="5"/>
  <c r="G8" i="5"/>
  <c r="F8" i="5"/>
  <c r="E8" i="5"/>
  <c r="I7" i="5"/>
  <c r="H7" i="5"/>
  <c r="G7" i="5"/>
  <c r="F7" i="5"/>
  <c r="E7" i="5"/>
  <c r="I6" i="5"/>
  <c r="H6" i="5"/>
  <c r="G6" i="5"/>
  <c r="F6" i="5"/>
  <c r="E6" i="5"/>
  <c r="I5" i="5"/>
  <c r="H5" i="5"/>
  <c r="G5" i="5"/>
  <c r="F5" i="5"/>
  <c r="E5" i="5"/>
  <c r="I4" i="5"/>
  <c r="H4" i="5"/>
  <c r="G4" i="5"/>
  <c r="F4" i="5"/>
  <c r="E4" i="5"/>
  <c r="I3" i="5"/>
  <c r="H3" i="5"/>
  <c r="G3" i="5"/>
  <c r="F3" i="5"/>
  <c r="E3" i="5"/>
  <c r="C1062" i="4"/>
  <c r="C1063" i="4" s="1"/>
  <c r="C1064" i="4" s="1"/>
  <c r="C1065" i="4" s="1"/>
  <c r="C1066" i="4" s="1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J1022" i="4"/>
  <c r="F1022" i="4"/>
  <c r="C1022" i="4"/>
  <c r="J1021" i="4"/>
  <c r="F1021" i="4"/>
  <c r="C1021" i="4"/>
  <c r="J1020" i="4"/>
  <c r="F1020" i="4"/>
  <c r="C1020" i="4"/>
  <c r="C1019" i="4"/>
  <c r="J1018" i="4"/>
  <c r="F1018" i="4"/>
  <c r="C1018" i="4"/>
  <c r="J1017" i="4"/>
  <c r="F1017" i="4"/>
  <c r="C1017" i="4"/>
  <c r="J1016" i="4"/>
  <c r="F1016" i="4"/>
  <c r="C1016" i="4"/>
  <c r="C1015" i="4"/>
  <c r="J1014" i="4"/>
  <c r="F1014" i="4"/>
  <c r="C1014" i="4"/>
  <c r="J1013" i="4"/>
  <c r="F1013" i="4"/>
  <c r="C1013" i="4"/>
  <c r="J1012" i="4"/>
  <c r="F1012" i="4"/>
  <c r="C1012" i="4"/>
  <c r="C1011" i="4"/>
  <c r="J1010" i="4"/>
  <c r="F1010" i="4"/>
  <c r="C1010" i="4"/>
  <c r="C1009" i="4"/>
  <c r="J1008" i="4"/>
  <c r="F1008" i="4"/>
  <c r="C1008" i="4"/>
  <c r="J1007" i="4"/>
  <c r="F1007" i="4"/>
  <c r="C1007" i="4"/>
  <c r="C1006" i="4"/>
  <c r="J1005" i="4"/>
  <c r="F1005" i="4"/>
  <c r="C1005" i="4"/>
  <c r="J1004" i="4"/>
  <c r="F1004" i="4"/>
  <c r="C1004" i="4"/>
  <c r="J1003" i="4"/>
  <c r="F1003" i="4"/>
  <c r="C1003" i="4"/>
  <c r="C1002" i="4"/>
  <c r="J1001" i="4"/>
  <c r="F1001" i="4"/>
  <c r="C1001" i="4"/>
  <c r="J1000" i="4"/>
  <c r="F1000" i="4"/>
  <c r="C1000" i="4"/>
  <c r="J999" i="4"/>
  <c r="F999" i="4"/>
  <c r="C999" i="4"/>
  <c r="C998" i="4"/>
  <c r="J997" i="4"/>
  <c r="F997" i="4"/>
  <c r="C997" i="4"/>
  <c r="J996" i="4"/>
  <c r="F996" i="4"/>
  <c r="C996" i="4"/>
  <c r="J995" i="4"/>
  <c r="F995" i="4"/>
  <c r="C995" i="4"/>
  <c r="C994" i="4"/>
  <c r="J993" i="4"/>
  <c r="F993" i="4"/>
  <c r="C993" i="4"/>
  <c r="C992" i="4"/>
  <c r="C990" i="4"/>
  <c r="F987" i="4"/>
  <c r="D987" i="4"/>
  <c r="D988" i="4" s="1"/>
  <c r="C987" i="4"/>
  <c r="C986" i="4"/>
  <c r="J985" i="4"/>
  <c r="F985" i="4"/>
  <c r="C985" i="4"/>
  <c r="J984" i="4"/>
  <c r="F984" i="4"/>
  <c r="C984" i="4"/>
  <c r="J983" i="4"/>
  <c r="F983" i="4"/>
  <c r="C983" i="4"/>
  <c r="C982" i="4"/>
  <c r="P981" i="4"/>
  <c r="J981" i="4"/>
  <c r="F981" i="4"/>
  <c r="C981" i="4"/>
  <c r="P980" i="4"/>
  <c r="J980" i="4"/>
  <c r="F980" i="4"/>
  <c r="C980" i="4"/>
  <c r="P979" i="4"/>
  <c r="J979" i="4"/>
  <c r="F979" i="4"/>
  <c r="C979" i="4"/>
  <c r="P978" i="4"/>
  <c r="C978" i="4"/>
  <c r="P977" i="4"/>
  <c r="J977" i="4"/>
  <c r="F977" i="4"/>
  <c r="G969" i="4" s="1"/>
  <c r="C977" i="4"/>
  <c r="P976" i="4"/>
  <c r="J976" i="4"/>
  <c r="C976" i="4"/>
  <c r="P975" i="4"/>
  <c r="J975" i="4"/>
  <c r="F975" i="4"/>
  <c r="C975" i="4"/>
  <c r="P974" i="4"/>
  <c r="T973" i="4"/>
  <c r="P973" i="4"/>
  <c r="J973" i="4"/>
  <c r="F973" i="4"/>
  <c r="T972" i="4"/>
  <c r="P972" i="4"/>
  <c r="J972" i="4"/>
  <c r="F972" i="4"/>
  <c r="T971" i="4"/>
  <c r="P971" i="4"/>
  <c r="J971" i="4"/>
  <c r="F971" i="4"/>
  <c r="T970" i="4"/>
  <c r="P970" i="4"/>
  <c r="J970" i="4"/>
  <c r="F970" i="4"/>
  <c r="U969" i="4"/>
  <c r="T969" i="4"/>
  <c r="Q969" i="4"/>
  <c r="V968" i="4"/>
  <c r="T968" i="4"/>
  <c r="C945" i="4"/>
  <c r="C946" i="4" s="1"/>
  <c r="C947" i="4" s="1"/>
  <c r="C948" i="4" s="1"/>
  <c r="C949" i="4" s="1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J905" i="4"/>
  <c r="F905" i="4"/>
  <c r="C905" i="4"/>
  <c r="J904" i="4"/>
  <c r="F904" i="4"/>
  <c r="C904" i="4"/>
  <c r="J903" i="4"/>
  <c r="F903" i="4"/>
  <c r="C903" i="4"/>
  <c r="C902" i="4"/>
  <c r="J901" i="4"/>
  <c r="F901" i="4"/>
  <c r="C901" i="4"/>
  <c r="J900" i="4"/>
  <c r="F900" i="4"/>
  <c r="C900" i="4"/>
  <c r="J899" i="4"/>
  <c r="F899" i="4"/>
  <c r="C899" i="4"/>
  <c r="C898" i="4"/>
  <c r="J897" i="4"/>
  <c r="F897" i="4"/>
  <c r="C897" i="4"/>
  <c r="J896" i="4"/>
  <c r="F896" i="4"/>
  <c r="C896" i="4"/>
  <c r="J895" i="4"/>
  <c r="F895" i="4"/>
  <c r="C895" i="4"/>
  <c r="C894" i="4"/>
  <c r="J893" i="4"/>
  <c r="F893" i="4"/>
  <c r="C893" i="4"/>
  <c r="C892" i="4"/>
  <c r="J891" i="4"/>
  <c r="F891" i="4"/>
  <c r="C891" i="4"/>
  <c r="J890" i="4"/>
  <c r="F890" i="4"/>
  <c r="C890" i="4"/>
  <c r="C889" i="4"/>
  <c r="J888" i="4"/>
  <c r="F888" i="4"/>
  <c r="C888" i="4"/>
  <c r="J887" i="4"/>
  <c r="F887" i="4"/>
  <c r="C887" i="4"/>
  <c r="J886" i="4"/>
  <c r="F886" i="4"/>
  <c r="C886" i="4"/>
  <c r="C885" i="4"/>
  <c r="J884" i="4"/>
  <c r="F884" i="4"/>
  <c r="C884" i="4"/>
  <c r="J883" i="4"/>
  <c r="F883" i="4"/>
  <c r="C883" i="4"/>
  <c r="J882" i="4"/>
  <c r="F882" i="4"/>
  <c r="C882" i="4"/>
  <c r="C881" i="4"/>
  <c r="J880" i="4"/>
  <c r="F880" i="4"/>
  <c r="C880" i="4"/>
  <c r="J879" i="4"/>
  <c r="F879" i="4"/>
  <c r="C879" i="4"/>
  <c r="J878" i="4"/>
  <c r="F878" i="4"/>
  <c r="C878" i="4"/>
  <c r="C877" i="4"/>
  <c r="J876" i="4"/>
  <c r="F876" i="4"/>
  <c r="C876" i="4"/>
  <c r="C875" i="4"/>
  <c r="C873" i="4"/>
  <c r="L870" i="4"/>
  <c r="D870" i="4"/>
  <c r="L869" i="4"/>
  <c r="C869" i="4"/>
  <c r="L868" i="4"/>
  <c r="J868" i="4"/>
  <c r="F868" i="4"/>
  <c r="C868" i="4"/>
  <c r="L867" i="4"/>
  <c r="J867" i="4"/>
  <c r="F867" i="4"/>
  <c r="C867" i="4"/>
  <c r="L866" i="4"/>
  <c r="J866" i="4"/>
  <c r="F866" i="4"/>
  <c r="C866" i="4"/>
  <c r="L865" i="4"/>
  <c r="C865" i="4"/>
  <c r="P864" i="4"/>
  <c r="L864" i="4"/>
  <c r="J864" i="4"/>
  <c r="F864" i="4"/>
  <c r="C864" i="4"/>
  <c r="P863" i="4"/>
  <c r="L863" i="4"/>
  <c r="J863" i="4"/>
  <c r="F863" i="4"/>
  <c r="C863" i="4"/>
  <c r="P862" i="4"/>
  <c r="L862" i="4"/>
  <c r="J862" i="4"/>
  <c r="F862" i="4"/>
  <c r="C862" i="4"/>
  <c r="P861" i="4"/>
  <c r="L861" i="4"/>
  <c r="C861" i="4"/>
  <c r="P860" i="4"/>
  <c r="L860" i="4"/>
  <c r="J860" i="4"/>
  <c r="F860" i="4"/>
  <c r="C860" i="4"/>
  <c r="P859" i="4"/>
  <c r="L859" i="4"/>
  <c r="J859" i="4"/>
  <c r="F859" i="4"/>
  <c r="C859" i="4"/>
  <c r="P858" i="4"/>
  <c r="L858" i="4"/>
  <c r="J858" i="4"/>
  <c r="F858" i="4"/>
  <c r="C858" i="4"/>
  <c r="T857" i="4"/>
  <c r="P857" i="4"/>
  <c r="L857" i="4"/>
  <c r="T856" i="4"/>
  <c r="P856" i="4"/>
  <c r="L856" i="4"/>
  <c r="J856" i="4"/>
  <c r="F856" i="4"/>
  <c r="T855" i="4"/>
  <c r="P855" i="4"/>
  <c r="L855" i="4"/>
  <c r="J855" i="4"/>
  <c r="F855" i="4"/>
  <c r="T854" i="4"/>
  <c r="P854" i="4"/>
  <c r="L854" i="4"/>
  <c r="J854" i="4"/>
  <c r="F854" i="4"/>
  <c r="T853" i="4"/>
  <c r="P853" i="4"/>
  <c r="L853" i="4"/>
  <c r="J853" i="4"/>
  <c r="F853" i="4"/>
  <c r="T852" i="4"/>
  <c r="Q852" i="4"/>
  <c r="L852" i="4"/>
  <c r="T851" i="4"/>
  <c r="F783" i="4"/>
  <c r="D783" i="4"/>
  <c r="D784" i="4" s="1"/>
  <c r="D785" i="4" s="1"/>
  <c r="D786" i="4" s="1"/>
  <c r="J781" i="4"/>
  <c r="F781" i="4"/>
  <c r="J780" i="4"/>
  <c r="F780" i="4"/>
  <c r="J779" i="4"/>
  <c r="F779" i="4"/>
  <c r="J777" i="4"/>
  <c r="F777" i="4"/>
  <c r="J776" i="4"/>
  <c r="F776" i="4"/>
  <c r="J775" i="4"/>
  <c r="F775" i="4"/>
  <c r="J773" i="4"/>
  <c r="F773" i="4"/>
  <c r="J772" i="4"/>
  <c r="F772" i="4"/>
  <c r="J771" i="4"/>
  <c r="F771" i="4"/>
  <c r="G783" i="4" s="1"/>
  <c r="J769" i="4"/>
  <c r="F769" i="4"/>
  <c r="J768" i="4"/>
  <c r="F768" i="4"/>
  <c r="J767" i="4"/>
  <c r="F767" i="4"/>
  <c r="J766" i="4"/>
  <c r="F766" i="4"/>
  <c r="G765" i="4" s="1"/>
  <c r="C726" i="4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23" i="4"/>
  <c r="C724" i="4" s="1"/>
  <c r="C725" i="4" s="1"/>
  <c r="C722" i="4"/>
  <c r="C713" i="4"/>
  <c r="C712" i="4"/>
  <c r="C711" i="4"/>
  <c r="C710" i="4"/>
  <c r="C709" i="4"/>
  <c r="C708" i="4"/>
  <c r="C707" i="4"/>
  <c r="C706" i="4"/>
  <c r="J705" i="4"/>
  <c r="F705" i="4"/>
  <c r="C705" i="4"/>
  <c r="J704" i="4"/>
  <c r="F704" i="4"/>
  <c r="C704" i="4"/>
  <c r="J703" i="4"/>
  <c r="F703" i="4"/>
  <c r="C703" i="4"/>
  <c r="C702" i="4"/>
  <c r="J701" i="4"/>
  <c r="F701" i="4"/>
  <c r="C701" i="4"/>
  <c r="J700" i="4"/>
  <c r="F700" i="4"/>
  <c r="C700" i="4"/>
  <c r="J699" i="4"/>
  <c r="F699" i="4"/>
  <c r="C699" i="4"/>
  <c r="C698" i="4"/>
  <c r="J697" i="4"/>
  <c r="F697" i="4"/>
  <c r="C697" i="4"/>
  <c r="J696" i="4"/>
  <c r="F696" i="4"/>
  <c r="C696" i="4"/>
  <c r="J695" i="4"/>
  <c r="F695" i="4"/>
  <c r="C695" i="4"/>
  <c r="C694" i="4"/>
  <c r="J693" i="4"/>
  <c r="F693" i="4"/>
  <c r="C693" i="4"/>
  <c r="C692" i="4"/>
  <c r="J691" i="4"/>
  <c r="F691" i="4"/>
  <c r="C691" i="4"/>
  <c r="J690" i="4"/>
  <c r="F690" i="4"/>
  <c r="C690" i="4"/>
  <c r="C689" i="4"/>
  <c r="J688" i="4"/>
  <c r="F688" i="4"/>
  <c r="C688" i="4"/>
  <c r="J687" i="4"/>
  <c r="F687" i="4"/>
  <c r="C687" i="4"/>
  <c r="J686" i="4"/>
  <c r="F686" i="4"/>
  <c r="C686" i="4"/>
  <c r="C685" i="4"/>
  <c r="J684" i="4"/>
  <c r="F684" i="4"/>
  <c r="C684" i="4"/>
  <c r="J683" i="4"/>
  <c r="F683" i="4"/>
  <c r="C683" i="4"/>
  <c r="J682" i="4"/>
  <c r="F27" i="5" s="1"/>
  <c r="F682" i="4"/>
  <c r="C682" i="4"/>
  <c r="C681" i="4"/>
  <c r="J680" i="4"/>
  <c r="F680" i="4"/>
  <c r="C680" i="4"/>
  <c r="J679" i="4"/>
  <c r="F679" i="4"/>
  <c r="C679" i="4"/>
  <c r="J678" i="4"/>
  <c r="F678" i="4"/>
  <c r="C678" i="4"/>
  <c r="C677" i="4"/>
  <c r="J676" i="4"/>
  <c r="F676" i="4"/>
  <c r="C676" i="4"/>
  <c r="C675" i="4"/>
  <c r="C673" i="4"/>
  <c r="F671" i="4"/>
  <c r="D671" i="4"/>
  <c r="C671" i="4" s="1"/>
  <c r="J670" i="4"/>
  <c r="F670" i="4"/>
  <c r="D670" i="4"/>
  <c r="C670" i="4"/>
  <c r="C669" i="4"/>
  <c r="J668" i="4"/>
  <c r="F668" i="4"/>
  <c r="C668" i="4"/>
  <c r="J667" i="4"/>
  <c r="F667" i="4"/>
  <c r="C667" i="4"/>
  <c r="F666" i="4"/>
  <c r="C666" i="4"/>
  <c r="C665" i="4"/>
  <c r="P664" i="4"/>
  <c r="J664" i="4"/>
  <c r="F664" i="4"/>
  <c r="C664" i="4"/>
  <c r="P663" i="4"/>
  <c r="J663" i="4"/>
  <c r="F663" i="4"/>
  <c r="C663" i="4"/>
  <c r="P662" i="4"/>
  <c r="J662" i="4"/>
  <c r="F662" i="4"/>
  <c r="C662" i="4"/>
  <c r="P661" i="4"/>
  <c r="C661" i="4"/>
  <c r="P660" i="4"/>
  <c r="J660" i="4"/>
  <c r="F660" i="4"/>
  <c r="C660" i="4"/>
  <c r="P659" i="4"/>
  <c r="J659" i="4"/>
  <c r="F659" i="4"/>
  <c r="C659" i="4"/>
  <c r="P658" i="4"/>
  <c r="J658" i="4"/>
  <c r="F658" i="4"/>
  <c r="C658" i="4"/>
  <c r="P657" i="4"/>
  <c r="T656" i="4"/>
  <c r="P656" i="4"/>
  <c r="J656" i="4"/>
  <c r="F656" i="4"/>
  <c r="T655" i="4"/>
  <c r="P655" i="4"/>
  <c r="J655" i="4"/>
  <c r="F655" i="4"/>
  <c r="T654" i="4"/>
  <c r="P654" i="4"/>
  <c r="J654" i="4"/>
  <c r="F654" i="4"/>
  <c r="T653" i="4"/>
  <c r="P653" i="4"/>
  <c r="Q652" i="4" s="1"/>
  <c r="J653" i="4"/>
  <c r="F653" i="4"/>
  <c r="U652" i="4"/>
  <c r="T652" i="4"/>
  <c r="G652" i="4"/>
  <c r="V651" i="4"/>
  <c r="T651" i="4"/>
  <c r="C633" i="4"/>
  <c r="C634" i="4" s="1"/>
  <c r="C635" i="4" s="1"/>
  <c r="C632" i="4"/>
  <c r="C631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J591" i="4"/>
  <c r="F591" i="4"/>
  <c r="C591" i="4"/>
  <c r="J590" i="4"/>
  <c r="F590" i="4"/>
  <c r="C590" i="4"/>
  <c r="J589" i="4"/>
  <c r="F589" i="4"/>
  <c r="C589" i="4"/>
  <c r="C588" i="4"/>
  <c r="J587" i="4"/>
  <c r="F587" i="4"/>
  <c r="C587" i="4"/>
  <c r="J586" i="4"/>
  <c r="F586" i="4"/>
  <c r="C586" i="4"/>
  <c r="J585" i="4"/>
  <c r="F585" i="4"/>
  <c r="C585" i="4"/>
  <c r="C584" i="4"/>
  <c r="J583" i="4"/>
  <c r="F583" i="4"/>
  <c r="C583" i="4"/>
  <c r="J582" i="4"/>
  <c r="F582" i="4"/>
  <c r="C582" i="4"/>
  <c r="J581" i="4"/>
  <c r="F581" i="4"/>
  <c r="C581" i="4"/>
  <c r="C580" i="4"/>
  <c r="J579" i="4"/>
  <c r="F579" i="4"/>
  <c r="C579" i="4"/>
  <c r="C578" i="4"/>
  <c r="J577" i="4"/>
  <c r="F577" i="4"/>
  <c r="C577" i="4"/>
  <c r="J576" i="4"/>
  <c r="F576" i="4"/>
  <c r="C576" i="4"/>
  <c r="C575" i="4"/>
  <c r="J574" i="4"/>
  <c r="F574" i="4"/>
  <c r="C574" i="4"/>
  <c r="J573" i="4"/>
  <c r="F573" i="4"/>
  <c r="C573" i="4"/>
  <c r="J572" i="4"/>
  <c r="F572" i="4"/>
  <c r="C572" i="4"/>
  <c r="C571" i="4"/>
  <c r="J570" i="4"/>
  <c r="F570" i="4"/>
  <c r="C570" i="4"/>
  <c r="J569" i="4"/>
  <c r="F569" i="4"/>
  <c r="C569" i="4"/>
  <c r="J568" i="4"/>
  <c r="F568" i="4"/>
  <c r="C568" i="4"/>
  <c r="C567" i="4"/>
  <c r="J566" i="4"/>
  <c r="F566" i="4"/>
  <c r="C566" i="4"/>
  <c r="J565" i="4"/>
  <c r="F565" i="4"/>
  <c r="C565" i="4"/>
  <c r="J564" i="4"/>
  <c r="F564" i="4"/>
  <c r="C564" i="4"/>
  <c r="C563" i="4"/>
  <c r="J562" i="4"/>
  <c r="F562" i="4"/>
  <c r="C562" i="4"/>
  <c r="C561" i="4"/>
  <c r="C559" i="4"/>
  <c r="F557" i="4"/>
  <c r="D557" i="4"/>
  <c r="D558" i="4" s="1"/>
  <c r="J556" i="4"/>
  <c r="F556" i="4"/>
  <c r="D556" i="4"/>
  <c r="C556" i="4"/>
  <c r="C555" i="4"/>
  <c r="J554" i="4"/>
  <c r="F554" i="4"/>
  <c r="C554" i="4"/>
  <c r="J553" i="4"/>
  <c r="F553" i="4"/>
  <c r="C553" i="4"/>
  <c r="J552" i="4"/>
  <c r="F552" i="4"/>
  <c r="C552" i="4"/>
  <c r="C551" i="4"/>
  <c r="P550" i="4"/>
  <c r="J550" i="4"/>
  <c r="F550" i="4"/>
  <c r="C550" i="4"/>
  <c r="P549" i="4"/>
  <c r="J549" i="4"/>
  <c r="F549" i="4"/>
  <c r="C549" i="4"/>
  <c r="P548" i="4"/>
  <c r="J548" i="4"/>
  <c r="F548" i="4"/>
  <c r="C548" i="4"/>
  <c r="P547" i="4"/>
  <c r="C547" i="4"/>
  <c r="P546" i="4"/>
  <c r="J546" i="4"/>
  <c r="F546" i="4"/>
  <c r="C546" i="4"/>
  <c r="P545" i="4"/>
  <c r="J545" i="4"/>
  <c r="F545" i="4"/>
  <c r="C545" i="4"/>
  <c r="P544" i="4"/>
  <c r="J544" i="4"/>
  <c r="F544" i="4"/>
  <c r="C544" i="4"/>
  <c r="T543" i="4"/>
  <c r="P543" i="4"/>
  <c r="T542" i="4"/>
  <c r="P542" i="4"/>
  <c r="J542" i="4"/>
  <c r="F542" i="4"/>
  <c r="T541" i="4"/>
  <c r="P541" i="4"/>
  <c r="J541" i="4"/>
  <c r="F541" i="4"/>
  <c r="T540" i="4"/>
  <c r="P540" i="4"/>
  <c r="J540" i="4"/>
  <c r="F540" i="4"/>
  <c r="T539" i="4"/>
  <c r="P539" i="4"/>
  <c r="Q538" i="4" s="1"/>
  <c r="J539" i="4"/>
  <c r="F539" i="4"/>
  <c r="T538" i="4"/>
  <c r="U538" i="4" s="1"/>
  <c r="V537" i="4" s="1"/>
  <c r="G538" i="4"/>
  <c r="T537" i="4"/>
  <c r="C523" i="4"/>
  <c r="C524" i="4" s="1"/>
  <c r="C525" i="4" s="1"/>
  <c r="C526" i="4" s="1"/>
  <c r="C522" i="4"/>
  <c r="C488" i="4"/>
  <c r="C487" i="4"/>
  <c r="C486" i="4"/>
  <c r="C485" i="4"/>
  <c r="C484" i="4"/>
  <c r="C483" i="4"/>
  <c r="L482" i="4"/>
  <c r="J482" i="4"/>
  <c r="F482" i="4"/>
  <c r="C482" i="4"/>
  <c r="L481" i="4"/>
  <c r="J481" i="4"/>
  <c r="F481" i="4"/>
  <c r="C481" i="4"/>
  <c r="L480" i="4"/>
  <c r="J480" i="4"/>
  <c r="F480" i="4"/>
  <c r="C480" i="4"/>
  <c r="C479" i="4"/>
  <c r="L478" i="4"/>
  <c r="J478" i="4"/>
  <c r="F478" i="4"/>
  <c r="C478" i="4"/>
  <c r="L477" i="4"/>
  <c r="J477" i="4"/>
  <c r="F477" i="4"/>
  <c r="C477" i="4"/>
  <c r="L476" i="4"/>
  <c r="J476" i="4"/>
  <c r="F476" i="4"/>
  <c r="C476" i="4"/>
  <c r="C475" i="4"/>
  <c r="L474" i="4"/>
  <c r="J474" i="4"/>
  <c r="F474" i="4"/>
  <c r="C474" i="4"/>
  <c r="L473" i="4"/>
  <c r="J473" i="4"/>
  <c r="F473" i="4"/>
  <c r="C473" i="4"/>
  <c r="L472" i="4"/>
  <c r="J472" i="4"/>
  <c r="F472" i="4"/>
  <c r="C472" i="4"/>
  <c r="C471" i="4"/>
  <c r="L470" i="4"/>
  <c r="J470" i="4"/>
  <c r="F470" i="4"/>
  <c r="C470" i="4"/>
  <c r="C469" i="4"/>
  <c r="L468" i="4"/>
  <c r="J468" i="4"/>
  <c r="F468" i="4"/>
  <c r="C468" i="4"/>
  <c r="L467" i="4"/>
  <c r="J467" i="4"/>
  <c r="F467" i="4"/>
  <c r="C467" i="4"/>
  <c r="C466" i="4"/>
  <c r="L465" i="4"/>
  <c r="J465" i="4"/>
  <c r="F465" i="4"/>
  <c r="C465" i="4"/>
  <c r="L464" i="4"/>
  <c r="J464" i="4"/>
  <c r="F464" i="4"/>
  <c r="C464" i="4"/>
  <c r="L463" i="4"/>
  <c r="J463" i="4"/>
  <c r="F463" i="4"/>
  <c r="C463" i="4"/>
  <c r="C462" i="4"/>
  <c r="L461" i="4"/>
  <c r="J461" i="4"/>
  <c r="F461" i="4"/>
  <c r="C461" i="4"/>
  <c r="L460" i="4"/>
  <c r="J460" i="4"/>
  <c r="F460" i="4"/>
  <c r="C460" i="4"/>
  <c r="L459" i="4"/>
  <c r="J459" i="4"/>
  <c r="F459" i="4"/>
  <c r="C459" i="4"/>
  <c r="C458" i="4"/>
  <c r="L457" i="4"/>
  <c r="J457" i="4"/>
  <c r="F457" i="4"/>
  <c r="C457" i="4"/>
  <c r="L456" i="4"/>
  <c r="J456" i="4"/>
  <c r="F456" i="4"/>
  <c r="C456" i="4"/>
  <c r="L455" i="4"/>
  <c r="J455" i="4"/>
  <c r="F455" i="4"/>
  <c r="C455" i="4"/>
  <c r="C454" i="4"/>
  <c r="L453" i="4"/>
  <c r="J453" i="4"/>
  <c r="F453" i="4"/>
  <c r="C453" i="4"/>
  <c r="L452" i="4"/>
  <c r="C452" i="4"/>
  <c r="L451" i="4"/>
  <c r="C450" i="4"/>
  <c r="L449" i="4"/>
  <c r="L448" i="4"/>
  <c r="L447" i="4"/>
  <c r="D447" i="4"/>
  <c r="J447" i="4" s="1"/>
  <c r="C446" i="4"/>
  <c r="L445" i="4"/>
  <c r="J445" i="4"/>
  <c r="F445" i="4"/>
  <c r="C445" i="4"/>
  <c r="L444" i="4"/>
  <c r="J444" i="4"/>
  <c r="F444" i="4"/>
  <c r="C444" i="4"/>
  <c r="L443" i="4"/>
  <c r="J443" i="4"/>
  <c r="F443" i="4"/>
  <c r="C443" i="4"/>
  <c r="C442" i="4"/>
  <c r="P441" i="4"/>
  <c r="L441" i="4"/>
  <c r="J441" i="4"/>
  <c r="F441" i="4"/>
  <c r="C441" i="4"/>
  <c r="P440" i="4"/>
  <c r="L440" i="4"/>
  <c r="J440" i="4"/>
  <c r="F440" i="4"/>
  <c r="C440" i="4"/>
  <c r="P439" i="4"/>
  <c r="L439" i="4"/>
  <c r="J439" i="4"/>
  <c r="F439" i="4"/>
  <c r="C439" i="4"/>
  <c r="P438" i="4"/>
  <c r="C438" i="4"/>
  <c r="P437" i="4"/>
  <c r="J437" i="4"/>
  <c r="F437" i="4"/>
  <c r="C437" i="4"/>
  <c r="P436" i="4"/>
  <c r="L436" i="4"/>
  <c r="J436" i="4"/>
  <c r="F436" i="4"/>
  <c r="C436" i="4"/>
  <c r="P435" i="4"/>
  <c r="L435" i="4"/>
  <c r="J435" i="4"/>
  <c r="F435" i="4"/>
  <c r="C435" i="4"/>
  <c r="P434" i="4"/>
  <c r="L434" i="4"/>
  <c r="T433" i="4"/>
  <c r="P433" i="4"/>
  <c r="J433" i="4"/>
  <c r="F433" i="4"/>
  <c r="T432" i="4"/>
  <c r="P432" i="4"/>
  <c r="L432" i="4"/>
  <c r="J432" i="4"/>
  <c r="F432" i="4"/>
  <c r="T431" i="4"/>
  <c r="P431" i="4"/>
  <c r="L431" i="4"/>
  <c r="J431" i="4"/>
  <c r="F431" i="4"/>
  <c r="T430" i="4"/>
  <c r="P430" i="4"/>
  <c r="Q429" i="4" s="1"/>
  <c r="R3" i="4" s="1"/>
  <c r="L430" i="4"/>
  <c r="J430" i="4"/>
  <c r="F430" i="4"/>
  <c r="U429" i="4"/>
  <c r="V428" i="4" s="1"/>
  <c r="T429" i="4"/>
  <c r="L429" i="4"/>
  <c r="G429" i="4"/>
  <c r="T428" i="4"/>
  <c r="C401" i="4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00" i="4"/>
  <c r="C399" i="4"/>
  <c r="C390" i="4"/>
  <c r="C389" i="4"/>
  <c r="C388" i="4"/>
  <c r="C387" i="4"/>
  <c r="C386" i="4"/>
  <c r="C385" i="4"/>
  <c r="C384" i="4"/>
  <c r="C383" i="4"/>
  <c r="L382" i="4"/>
  <c r="J382" i="4"/>
  <c r="F382" i="4"/>
  <c r="C382" i="4"/>
  <c r="L381" i="4"/>
  <c r="J381" i="4"/>
  <c r="F381" i="4"/>
  <c r="C381" i="4"/>
  <c r="L380" i="4"/>
  <c r="J380" i="4"/>
  <c r="F380" i="4"/>
  <c r="C380" i="4"/>
  <c r="C379" i="4"/>
  <c r="L378" i="4"/>
  <c r="J378" i="4"/>
  <c r="F378" i="4"/>
  <c r="C378" i="4"/>
  <c r="L377" i="4"/>
  <c r="J377" i="4"/>
  <c r="F377" i="4"/>
  <c r="C377" i="4"/>
  <c r="L376" i="4"/>
  <c r="J376" i="4"/>
  <c r="F376" i="4"/>
  <c r="C376" i="4"/>
  <c r="C375" i="4"/>
  <c r="L374" i="4"/>
  <c r="J374" i="4"/>
  <c r="F374" i="4"/>
  <c r="C374" i="4"/>
  <c r="L373" i="4"/>
  <c r="J373" i="4"/>
  <c r="F373" i="4"/>
  <c r="C373" i="4"/>
  <c r="L372" i="4"/>
  <c r="J372" i="4"/>
  <c r="F372" i="4"/>
  <c r="C372" i="4"/>
  <c r="C371" i="4"/>
  <c r="L370" i="4"/>
  <c r="J370" i="4"/>
  <c r="F370" i="4"/>
  <c r="C370" i="4"/>
  <c r="C369" i="4"/>
  <c r="L368" i="4"/>
  <c r="J368" i="4"/>
  <c r="F368" i="4"/>
  <c r="C368" i="4"/>
  <c r="L367" i="4"/>
  <c r="J367" i="4"/>
  <c r="F367" i="4"/>
  <c r="C367" i="4"/>
  <c r="C366" i="4"/>
  <c r="L365" i="4"/>
  <c r="J365" i="4"/>
  <c r="F365" i="4"/>
  <c r="C365" i="4"/>
  <c r="L364" i="4"/>
  <c r="J364" i="4"/>
  <c r="F364" i="4"/>
  <c r="C364" i="4"/>
  <c r="L363" i="4"/>
  <c r="J363" i="4"/>
  <c r="F363" i="4"/>
  <c r="C363" i="4"/>
  <c r="C362" i="4"/>
  <c r="L361" i="4"/>
  <c r="J361" i="4"/>
  <c r="F361" i="4"/>
  <c r="C361" i="4"/>
  <c r="L360" i="4"/>
  <c r="J360" i="4"/>
  <c r="F360" i="4"/>
  <c r="C360" i="4"/>
  <c r="L359" i="4"/>
  <c r="J359" i="4"/>
  <c r="F359" i="4"/>
  <c r="C359" i="4"/>
  <c r="C358" i="4"/>
  <c r="L357" i="4"/>
  <c r="J357" i="4"/>
  <c r="F357" i="4"/>
  <c r="C357" i="4"/>
  <c r="L356" i="4"/>
  <c r="J356" i="4"/>
  <c r="F356" i="4"/>
  <c r="C356" i="4"/>
  <c r="L355" i="4"/>
  <c r="J355" i="4"/>
  <c r="F355" i="4"/>
  <c r="C355" i="4"/>
  <c r="C354" i="4"/>
  <c r="L353" i="4"/>
  <c r="J353" i="4"/>
  <c r="F353" i="4"/>
  <c r="C353" i="4"/>
  <c r="L352" i="4"/>
  <c r="C352" i="4"/>
  <c r="L351" i="4"/>
  <c r="C350" i="4"/>
  <c r="L349" i="4"/>
  <c r="D349" i="4"/>
  <c r="C349" i="4" s="1"/>
  <c r="L348" i="4"/>
  <c r="F348" i="4"/>
  <c r="D348" i="4"/>
  <c r="C348" i="4" s="1"/>
  <c r="L347" i="4"/>
  <c r="J347" i="4"/>
  <c r="D347" i="4"/>
  <c r="F347" i="4" s="1"/>
  <c r="C347" i="4"/>
  <c r="C346" i="4"/>
  <c r="L345" i="4"/>
  <c r="J345" i="4"/>
  <c r="F345" i="4"/>
  <c r="C345" i="4"/>
  <c r="L344" i="4"/>
  <c r="J344" i="4"/>
  <c r="F344" i="4"/>
  <c r="C344" i="4"/>
  <c r="J343" i="4"/>
  <c r="F343" i="4"/>
  <c r="C343" i="4"/>
  <c r="P342" i="4"/>
  <c r="C342" i="4"/>
  <c r="P341" i="4"/>
  <c r="L341" i="4"/>
  <c r="J341" i="4"/>
  <c r="F341" i="4"/>
  <c r="C341" i="4"/>
  <c r="P340" i="4"/>
  <c r="L340" i="4"/>
  <c r="J340" i="4"/>
  <c r="F340" i="4"/>
  <c r="C340" i="4"/>
  <c r="P339" i="4"/>
  <c r="L339" i="4"/>
  <c r="J339" i="4"/>
  <c r="F339" i="4"/>
  <c r="C339" i="4"/>
  <c r="P338" i="4"/>
  <c r="C338" i="4"/>
  <c r="P337" i="4"/>
  <c r="J337" i="4"/>
  <c r="F337" i="4"/>
  <c r="C337" i="4"/>
  <c r="P336" i="4"/>
  <c r="L336" i="4"/>
  <c r="J336" i="4"/>
  <c r="F336" i="4"/>
  <c r="C336" i="4"/>
  <c r="P335" i="4"/>
  <c r="L335" i="4"/>
  <c r="J335" i="4"/>
  <c r="F335" i="4"/>
  <c r="C335" i="4"/>
  <c r="T334" i="4"/>
  <c r="P334" i="4"/>
  <c r="L334" i="4"/>
  <c r="T333" i="4"/>
  <c r="P333" i="4"/>
  <c r="L333" i="4"/>
  <c r="J333" i="4"/>
  <c r="F333" i="4"/>
  <c r="T332" i="4"/>
  <c r="P332" i="4"/>
  <c r="L332" i="4"/>
  <c r="J332" i="4"/>
  <c r="F332" i="4"/>
  <c r="T331" i="4"/>
  <c r="P331" i="4"/>
  <c r="Q329" i="4" s="1"/>
  <c r="L331" i="4"/>
  <c r="J331" i="4"/>
  <c r="F331" i="4"/>
  <c r="T330" i="4"/>
  <c r="U329" i="4" s="1"/>
  <c r="V328" i="4" s="1"/>
  <c r="P330" i="4"/>
  <c r="L330" i="4"/>
  <c r="J330" i="4"/>
  <c r="F330" i="4"/>
  <c r="G329" i="4" s="1"/>
  <c r="T329" i="4"/>
  <c r="L329" i="4"/>
  <c r="J329" i="4"/>
  <c r="T328" i="4"/>
  <c r="C266" i="4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57" i="4"/>
  <c r="C256" i="4"/>
  <c r="C255" i="4"/>
  <c r="C254" i="4"/>
  <c r="C253" i="4"/>
  <c r="L252" i="4"/>
  <c r="C252" i="4"/>
  <c r="C251" i="4"/>
  <c r="C250" i="4"/>
  <c r="L249" i="4"/>
  <c r="J249" i="4"/>
  <c r="C249" i="4"/>
  <c r="L248" i="4"/>
  <c r="J248" i="4"/>
  <c r="C248" i="4"/>
  <c r="L247" i="4"/>
  <c r="J247" i="4"/>
  <c r="C247" i="4"/>
  <c r="C246" i="4"/>
  <c r="L245" i="4"/>
  <c r="J245" i="4"/>
  <c r="F245" i="4"/>
  <c r="C245" i="4"/>
  <c r="L244" i="4"/>
  <c r="J244" i="4"/>
  <c r="F244" i="4"/>
  <c r="C244" i="4"/>
  <c r="L243" i="4"/>
  <c r="J243" i="4"/>
  <c r="F243" i="4"/>
  <c r="C243" i="4"/>
  <c r="C242" i="4"/>
  <c r="L241" i="4"/>
  <c r="J241" i="4"/>
  <c r="F241" i="4"/>
  <c r="C241" i="4"/>
  <c r="L240" i="4"/>
  <c r="J240" i="4"/>
  <c r="F240" i="4"/>
  <c r="C240" i="4"/>
  <c r="L239" i="4"/>
  <c r="J239" i="4"/>
  <c r="F239" i="4"/>
  <c r="C239" i="4"/>
  <c r="J238" i="4"/>
  <c r="F238" i="4"/>
  <c r="C238" i="4"/>
  <c r="C237" i="4"/>
  <c r="L236" i="4"/>
  <c r="J236" i="4"/>
  <c r="F236" i="4"/>
  <c r="C236" i="4"/>
  <c r="L235" i="4"/>
  <c r="J235" i="4"/>
  <c r="F235" i="4"/>
  <c r="C235" i="4"/>
  <c r="C234" i="4"/>
  <c r="L233" i="4"/>
  <c r="J233" i="4"/>
  <c r="F233" i="4"/>
  <c r="C233" i="4"/>
  <c r="C232" i="4"/>
  <c r="L231" i="4"/>
  <c r="J231" i="4"/>
  <c r="F231" i="4"/>
  <c r="C231" i="4"/>
  <c r="L230" i="4"/>
  <c r="J230" i="4"/>
  <c r="F230" i="4"/>
  <c r="C230" i="4"/>
  <c r="C229" i="4"/>
  <c r="L228" i="4"/>
  <c r="J228" i="4"/>
  <c r="F228" i="4"/>
  <c r="C228" i="4"/>
  <c r="L227" i="4"/>
  <c r="J227" i="4"/>
  <c r="F227" i="4"/>
  <c r="C227" i="4"/>
  <c r="L226" i="4"/>
  <c r="J226" i="4"/>
  <c r="F226" i="4"/>
  <c r="C226" i="4"/>
  <c r="C225" i="4"/>
  <c r="J224" i="4"/>
  <c r="F224" i="4"/>
  <c r="C224" i="4"/>
  <c r="L223" i="4"/>
  <c r="J223" i="4"/>
  <c r="F223" i="4"/>
  <c r="C223" i="4"/>
  <c r="L222" i="4"/>
  <c r="J222" i="4"/>
  <c r="F222" i="4"/>
  <c r="C222" i="4"/>
  <c r="C221" i="4"/>
  <c r="L220" i="4"/>
  <c r="J220" i="4"/>
  <c r="F220" i="4"/>
  <c r="C220" i="4"/>
  <c r="L219" i="4"/>
  <c r="C219" i="4"/>
  <c r="L218" i="4"/>
  <c r="C217" i="4"/>
  <c r="D216" i="4"/>
  <c r="D218" i="4" s="1"/>
  <c r="L215" i="4"/>
  <c r="F215" i="4"/>
  <c r="D215" i="4"/>
  <c r="C215" i="4" s="1"/>
  <c r="J214" i="4"/>
  <c r="F214" i="4"/>
  <c r="D214" i="4"/>
  <c r="C214" i="4"/>
  <c r="C213" i="4"/>
  <c r="L212" i="4"/>
  <c r="J212" i="4"/>
  <c r="F212" i="4"/>
  <c r="C212" i="4"/>
  <c r="L211" i="4"/>
  <c r="J211" i="4"/>
  <c r="F211" i="4"/>
  <c r="C211" i="4"/>
  <c r="J210" i="4"/>
  <c r="F210" i="4"/>
  <c r="C210" i="4"/>
  <c r="C209" i="4"/>
  <c r="P208" i="4"/>
  <c r="L208" i="4"/>
  <c r="J208" i="4"/>
  <c r="F208" i="4"/>
  <c r="C208" i="4"/>
  <c r="P207" i="4"/>
  <c r="L207" i="4"/>
  <c r="J207" i="4"/>
  <c r="F207" i="4"/>
  <c r="C207" i="4"/>
  <c r="P206" i="4"/>
  <c r="L206" i="4"/>
  <c r="J206" i="4"/>
  <c r="F206" i="4"/>
  <c r="C206" i="4"/>
  <c r="P205" i="4"/>
  <c r="C205" i="4"/>
  <c r="P204" i="4"/>
  <c r="J204" i="4"/>
  <c r="F204" i="4"/>
  <c r="C204" i="4"/>
  <c r="P203" i="4"/>
  <c r="L203" i="4"/>
  <c r="J203" i="4"/>
  <c r="F203" i="4"/>
  <c r="C203" i="4"/>
  <c r="T202" i="4"/>
  <c r="P202" i="4"/>
  <c r="L202" i="4"/>
  <c r="J202" i="4"/>
  <c r="F202" i="4"/>
  <c r="C202" i="4"/>
  <c r="T201" i="4"/>
  <c r="P201" i="4"/>
  <c r="L201" i="4"/>
  <c r="T200" i="4"/>
  <c r="P200" i="4"/>
  <c r="L200" i="4"/>
  <c r="J200" i="4"/>
  <c r="F200" i="4"/>
  <c r="T199" i="4"/>
  <c r="P199" i="4"/>
  <c r="L199" i="4"/>
  <c r="J199" i="4"/>
  <c r="F199" i="4"/>
  <c r="T198" i="4"/>
  <c r="P198" i="4"/>
  <c r="L198" i="4"/>
  <c r="J198" i="4"/>
  <c r="F198" i="4"/>
  <c r="T197" i="4"/>
  <c r="P197" i="4"/>
  <c r="Q196" i="4" s="1"/>
  <c r="L197" i="4"/>
  <c r="J197" i="4"/>
  <c r="F197" i="4"/>
  <c r="U196" i="4"/>
  <c r="V195" i="4" s="1"/>
  <c r="T196" i="4"/>
  <c r="L196" i="4"/>
  <c r="J196" i="4"/>
  <c r="C164" i="4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63" i="4"/>
  <c r="C162" i="4"/>
  <c r="C153" i="4"/>
  <c r="C152" i="4"/>
  <c r="C151" i="4"/>
  <c r="C150" i="4"/>
  <c r="L149" i="4"/>
  <c r="C149" i="4"/>
  <c r="C148" i="4"/>
  <c r="C147" i="4"/>
  <c r="C146" i="4"/>
  <c r="L145" i="4"/>
  <c r="J145" i="4"/>
  <c r="F145" i="4"/>
  <c r="C145" i="4"/>
  <c r="L144" i="4"/>
  <c r="J144" i="4"/>
  <c r="F144" i="4"/>
  <c r="C144" i="4"/>
  <c r="L143" i="4"/>
  <c r="J143" i="4"/>
  <c r="D32" i="5" s="1"/>
  <c r="F143" i="4"/>
  <c r="C143" i="4"/>
  <c r="C142" i="4"/>
  <c r="L141" i="4"/>
  <c r="J141" i="4"/>
  <c r="F141" i="4"/>
  <c r="C141" i="4"/>
  <c r="L140" i="4"/>
  <c r="J140" i="4"/>
  <c r="F140" i="4"/>
  <c r="C140" i="4"/>
  <c r="L139" i="4"/>
  <c r="J139" i="4"/>
  <c r="F139" i="4"/>
  <c r="C139" i="4"/>
  <c r="C138" i="4"/>
  <c r="L137" i="4"/>
  <c r="J137" i="4"/>
  <c r="F137" i="4"/>
  <c r="C137" i="4"/>
  <c r="L136" i="4"/>
  <c r="J136" i="4"/>
  <c r="F136" i="4"/>
  <c r="C136" i="4"/>
  <c r="L135" i="4"/>
  <c r="J135" i="4"/>
  <c r="F135" i="4"/>
  <c r="C135" i="4"/>
  <c r="C134" i="4"/>
  <c r="L133" i="4"/>
  <c r="J133" i="4"/>
  <c r="F133" i="4"/>
  <c r="C133" i="4"/>
  <c r="C132" i="4"/>
  <c r="L131" i="4"/>
  <c r="J131" i="4"/>
  <c r="F131" i="4"/>
  <c r="C131" i="4"/>
  <c r="L130" i="4"/>
  <c r="J130" i="4"/>
  <c r="F130" i="4"/>
  <c r="C130" i="4"/>
  <c r="C129" i="4"/>
  <c r="L128" i="4"/>
  <c r="J128" i="4"/>
  <c r="F128" i="4"/>
  <c r="C128" i="4"/>
  <c r="L127" i="4"/>
  <c r="J127" i="4"/>
  <c r="F127" i="4"/>
  <c r="C127" i="4"/>
  <c r="L126" i="4"/>
  <c r="J126" i="4"/>
  <c r="F126" i="4"/>
  <c r="C126" i="4"/>
  <c r="C125" i="4"/>
  <c r="L124" i="4"/>
  <c r="J124" i="4"/>
  <c r="F124" i="4"/>
  <c r="C124" i="4"/>
  <c r="L123" i="4"/>
  <c r="J123" i="4"/>
  <c r="F123" i="4"/>
  <c r="C123" i="4"/>
  <c r="L122" i="4"/>
  <c r="J122" i="4"/>
  <c r="F122" i="4"/>
  <c r="C122" i="4"/>
  <c r="C121" i="4"/>
  <c r="L120" i="4"/>
  <c r="J120" i="4"/>
  <c r="F120" i="4"/>
  <c r="C120" i="4"/>
  <c r="L119" i="4"/>
  <c r="J119" i="4"/>
  <c r="F119" i="4"/>
  <c r="C119" i="4"/>
  <c r="L118" i="4"/>
  <c r="J118" i="4"/>
  <c r="F118" i="4"/>
  <c r="C118" i="4"/>
  <c r="C117" i="4"/>
  <c r="L116" i="4"/>
  <c r="J116" i="4"/>
  <c r="F116" i="4"/>
  <c r="C116" i="4"/>
  <c r="L115" i="4"/>
  <c r="C115" i="4"/>
  <c r="L114" i="4"/>
  <c r="C113" i="4"/>
  <c r="L112" i="4"/>
  <c r="L111" i="4"/>
  <c r="L110" i="4"/>
  <c r="D110" i="4"/>
  <c r="J110" i="4" s="1"/>
  <c r="C109" i="4"/>
  <c r="J108" i="4"/>
  <c r="F108" i="4"/>
  <c r="C108" i="4"/>
  <c r="L107" i="4"/>
  <c r="J107" i="4"/>
  <c r="F107" i="4"/>
  <c r="C107" i="4"/>
  <c r="L106" i="4"/>
  <c r="J106" i="4"/>
  <c r="F106" i="4"/>
  <c r="G105" i="4" s="1"/>
  <c r="C106" i="4"/>
  <c r="C105" i="4"/>
  <c r="P104" i="4"/>
  <c r="L104" i="4"/>
  <c r="J104" i="4"/>
  <c r="F104" i="4"/>
  <c r="C104" i="4"/>
  <c r="P103" i="4"/>
  <c r="L103" i="4"/>
  <c r="J103" i="4"/>
  <c r="F103" i="4"/>
  <c r="C103" i="4"/>
  <c r="P102" i="4"/>
  <c r="L102" i="4"/>
  <c r="J102" i="4"/>
  <c r="F102" i="4"/>
  <c r="C102" i="4"/>
  <c r="P101" i="4"/>
  <c r="G101" i="4"/>
  <c r="C101" i="4"/>
  <c r="P100" i="4"/>
  <c r="J100" i="4"/>
  <c r="F100" i="4"/>
  <c r="C100" i="4"/>
  <c r="P99" i="4"/>
  <c r="L99" i="4"/>
  <c r="J99" i="4"/>
  <c r="F99" i="4"/>
  <c r="G97" i="4" s="1"/>
  <c r="C99" i="4"/>
  <c r="P98" i="4"/>
  <c r="L98" i="4"/>
  <c r="J98" i="4"/>
  <c r="F98" i="4"/>
  <c r="C98" i="4"/>
  <c r="P97" i="4"/>
  <c r="L97" i="4"/>
  <c r="T96" i="4"/>
  <c r="P96" i="4"/>
  <c r="L96" i="4"/>
  <c r="J96" i="4"/>
  <c r="F96" i="4"/>
  <c r="T95" i="4"/>
  <c r="P95" i="4"/>
  <c r="L95" i="4"/>
  <c r="J95" i="4"/>
  <c r="F95" i="4"/>
  <c r="G92" i="4" s="1"/>
  <c r="T94" i="4"/>
  <c r="P94" i="4"/>
  <c r="L94" i="4"/>
  <c r="J94" i="4"/>
  <c r="F94" i="4"/>
  <c r="T93" i="4"/>
  <c r="P93" i="4"/>
  <c r="Q92" i="4" s="1"/>
  <c r="S3" i="4" s="1"/>
  <c r="L93" i="4"/>
  <c r="J93" i="4"/>
  <c r="F93" i="4"/>
  <c r="G93" i="4" s="1"/>
  <c r="U92" i="4"/>
  <c r="V91" i="4" s="1"/>
  <c r="T92" i="4"/>
  <c r="L92" i="4"/>
  <c r="J92" i="4"/>
  <c r="T91" i="4"/>
  <c r="C63" i="4"/>
  <c r="C62" i="4"/>
  <c r="C61" i="4"/>
  <c r="C60" i="4"/>
  <c r="L59" i="4"/>
  <c r="C59" i="4"/>
  <c r="C58" i="4"/>
  <c r="C57" i="4"/>
  <c r="C56" i="4"/>
  <c r="L55" i="4"/>
  <c r="F55" i="4"/>
  <c r="C55" i="4"/>
  <c r="L54" i="4"/>
  <c r="F54" i="4"/>
  <c r="C54" i="4"/>
  <c r="L53" i="4"/>
  <c r="F53" i="4"/>
  <c r="C32" i="5" s="1"/>
  <c r="C53" i="4"/>
  <c r="C52" i="4"/>
  <c r="L51" i="4"/>
  <c r="J51" i="4"/>
  <c r="F51" i="4"/>
  <c r="C51" i="4"/>
  <c r="L50" i="4"/>
  <c r="J50" i="4"/>
  <c r="F50" i="4"/>
  <c r="C50" i="4"/>
  <c r="L49" i="4"/>
  <c r="J49" i="4"/>
  <c r="F49" i="4"/>
  <c r="C31" i="5" s="1"/>
  <c r="C49" i="4"/>
  <c r="C48" i="4"/>
  <c r="L47" i="4"/>
  <c r="J47" i="4"/>
  <c r="F47" i="4"/>
  <c r="C47" i="4"/>
  <c r="L46" i="4"/>
  <c r="J46" i="4"/>
  <c r="F46" i="4"/>
  <c r="C46" i="4"/>
  <c r="L45" i="4"/>
  <c r="J45" i="4"/>
  <c r="F45" i="4"/>
  <c r="C45" i="4"/>
  <c r="C44" i="4"/>
  <c r="L43" i="4"/>
  <c r="J43" i="4"/>
  <c r="F43" i="4"/>
  <c r="C30" i="5" s="1"/>
  <c r="C43" i="4"/>
  <c r="C42" i="4"/>
  <c r="L41" i="4"/>
  <c r="J41" i="4"/>
  <c r="F41" i="4"/>
  <c r="C41" i="4"/>
  <c r="L40" i="4"/>
  <c r="J40" i="4"/>
  <c r="D29" i="5" s="1"/>
  <c r="F40" i="4"/>
  <c r="C29" i="5" s="1"/>
  <c r="C40" i="4"/>
  <c r="C39" i="4"/>
  <c r="L38" i="4"/>
  <c r="J38" i="4"/>
  <c r="F38" i="4"/>
  <c r="C38" i="4"/>
  <c r="L37" i="4"/>
  <c r="J37" i="4"/>
  <c r="F37" i="4"/>
  <c r="C37" i="4"/>
  <c r="L36" i="4"/>
  <c r="J36" i="4"/>
  <c r="D28" i="5" s="1"/>
  <c r="F36" i="4"/>
  <c r="C28" i="5" s="1"/>
  <c r="C36" i="4"/>
  <c r="C35" i="4"/>
  <c r="L34" i="4"/>
  <c r="J34" i="4"/>
  <c r="F34" i="4"/>
  <c r="C34" i="4"/>
  <c r="L33" i="4"/>
  <c r="J33" i="4"/>
  <c r="F33" i="4"/>
  <c r="C33" i="4"/>
  <c r="L32" i="4"/>
  <c r="J32" i="4"/>
  <c r="D27" i="5" s="1"/>
  <c r="F32" i="4"/>
  <c r="C27" i="5" s="1"/>
  <c r="C32" i="4"/>
  <c r="C31" i="4"/>
  <c r="L30" i="4"/>
  <c r="J30" i="4"/>
  <c r="F30" i="4"/>
  <c r="C30" i="4"/>
  <c r="L29" i="4"/>
  <c r="J29" i="4"/>
  <c r="F29" i="4"/>
  <c r="C29" i="4"/>
  <c r="L28" i="4"/>
  <c r="J28" i="4"/>
  <c r="D26" i="5" s="1"/>
  <c r="F28" i="4"/>
  <c r="C28" i="4"/>
  <c r="C27" i="4"/>
  <c r="L26" i="4"/>
  <c r="J26" i="4"/>
  <c r="F26" i="4"/>
  <c r="C26" i="4"/>
  <c r="L25" i="4"/>
  <c r="C25" i="4"/>
  <c r="L24" i="4"/>
  <c r="C23" i="4"/>
  <c r="L22" i="4"/>
  <c r="L21" i="4"/>
  <c r="D21" i="4"/>
  <c r="C21" i="4" s="1"/>
  <c r="L20" i="4"/>
  <c r="J20" i="4"/>
  <c r="F20" i="4"/>
  <c r="D20" i="4"/>
  <c r="C20" i="4"/>
  <c r="C19" i="4"/>
  <c r="L18" i="4"/>
  <c r="J18" i="4"/>
  <c r="F18" i="4"/>
  <c r="C18" i="4"/>
  <c r="L17" i="4"/>
  <c r="J17" i="4"/>
  <c r="F17" i="4"/>
  <c r="C17" i="4"/>
  <c r="J16" i="4"/>
  <c r="F16" i="4"/>
  <c r="H15" i="4" s="1"/>
  <c r="C16" i="4"/>
  <c r="P15" i="4"/>
  <c r="C15" i="4"/>
  <c r="P14" i="4"/>
  <c r="L14" i="4"/>
  <c r="J14" i="4"/>
  <c r="F14" i="4"/>
  <c r="C14" i="4"/>
  <c r="P13" i="4"/>
  <c r="L13" i="4"/>
  <c r="J13" i="4"/>
  <c r="F13" i="4"/>
  <c r="C13" i="4"/>
  <c r="P12" i="4"/>
  <c r="L12" i="4"/>
  <c r="J12" i="4"/>
  <c r="F12" i="4"/>
  <c r="C12" i="4"/>
  <c r="P11" i="4"/>
  <c r="C11" i="4"/>
  <c r="P10" i="4"/>
  <c r="L10" i="4"/>
  <c r="J10" i="4"/>
  <c r="F10" i="4"/>
  <c r="C10" i="4"/>
  <c r="U9" i="4"/>
  <c r="T9" i="4"/>
  <c r="P9" i="4"/>
  <c r="L9" i="4"/>
  <c r="J9" i="4"/>
  <c r="F9" i="4"/>
  <c r="C9" i="4"/>
  <c r="P8" i="4"/>
  <c r="L8" i="4"/>
  <c r="J8" i="4"/>
  <c r="F8" i="4"/>
  <c r="C21" i="5" s="1"/>
  <c r="C8" i="4"/>
  <c r="T7" i="4"/>
  <c r="P7" i="4"/>
  <c r="H7" i="4"/>
  <c r="T6" i="4"/>
  <c r="P6" i="4"/>
  <c r="L6" i="4"/>
  <c r="J6" i="4"/>
  <c r="F6" i="4"/>
  <c r="T5" i="4"/>
  <c r="P5" i="4"/>
  <c r="F5" i="4"/>
  <c r="T4" i="4"/>
  <c r="P4" i="4"/>
  <c r="F4" i="4"/>
  <c r="T3" i="4"/>
  <c r="P3" i="4"/>
  <c r="J3" i="4"/>
  <c r="D20" i="5" s="1"/>
  <c r="H3" i="4"/>
  <c r="F3" i="4"/>
  <c r="T2" i="4"/>
  <c r="U2" i="4" s="1"/>
  <c r="Q2" i="4"/>
  <c r="M2" i="4"/>
  <c r="L2" i="4"/>
  <c r="G2" i="4"/>
  <c r="C1050" i="3"/>
  <c r="C1051" i="3" s="1"/>
  <c r="C1052" i="3" s="1"/>
  <c r="C1053" i="3" s="1"/>
  <c r="C1054" i="3" s="1"/>
  <c r="C1055" i="3" s="1"/>
  <c r="C1056" i="3" s="1"/>
  <c r="C1057" i="3" s="1"/>
  <c r="C1058" i="3" s="1"/>
  <c r="C1049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J1009" i="3"/>
  <c r="F1009" i="3"/>
  <c r="C1009" i="3"/>
  <c r="J1008" i="3"/>
  <c r="F1008" i="3"/>
  <c r="C1008" i="3"/>
  <c r="J1007" i="3"/>
  <c r="F1007" i="3"/>
  <c r="C1007" i="3"/>
  <c r="C1006" i="3"/>
  <c r="J1005" i="3"/>
  <c r="F1005" i="3"/>
  <c r="C1005" i="3"/>
  <c r="J1004" i="3"/>
  <c r="F1004" i="3"/>
  <c r="C1004" i="3"/>
  <c r="J1003" i="3"/>
  <c r="F1003" i="3"/>
  <c r="C1003" i="3"/>
  <c r="C1002" i="3"/>
  <c r="J1001" i="3"/>
  <c r="F1001" i="3"/>
  <c r="C1001" i="3"/>
  <c r="J1000" i="3"/>
  <c r="F1000" i="3"/>
  <c r="C1000" i="3"/>
  <c r="J999" i="3"/>
  <c r="F999" i="3"/>
  <c r="C999" i="3"/>
  <c r="C998" i="3"/>
  <c r="J997" i="3"/>
  <c r="F997" i="3"/>
  <c r="C997" i="3"/>
  <c r="C996" i="3"/>
  <c r="J995" i="3"/>
  <c r="F995" i="3"/>
  <c r="C995" i="3"/>
  <c r="J994" i="3"/>
  <c r="F994" i="3"/>
  <c r="C994" i="3"/>
  <c r="C993" i="3"/>
  <c r="J992" i="3"/>
  <c r="F992" i="3"/>
  <c r="C992" i="3"/>
  <c r="J991" i="3"/>
  <c r="F991" i="3"/>
  <c r="C991" i="3"/>
  <c r="J990" i="3"/>
  <c r="F990" i="3"/>
  <c r="C990" i="3"/>
  <c r="C989" i="3"/>
  <c r="J988" i="3"/>
  <c r="F988" i="3"/>
  <c r="C988" i="3"/>
  <c r="J987" i="3"/>
  <c r="F987" i="3"/>
  <c r="C987" i="3"/>
  <c r="J986" i="3"/>
  <c r="F986" i="3"/>
  <c r="C986" i="3"/>
  <c r="C985" i="3"/>
  <c r="J984" i="3"/>
  <c r="F984" i="3"/>
  <c r="C984" i="3"/>
  <c r="J983" i="3"/>
  <c r="F983" i="3"/>
  <c r="C983" i="3"/>
  <c r="J982" i="3"/>
  <c r="F982" i="3"/>
  <c r="C982" i="3"/>
  <c r="C981" i="3"/>
  <c r="J980" i="3"/>
  <c r="F980" i="3"/>
  <c r="C980" i="3"/>
  <c r="C979" i="3"/>
  <c r="C977" i="3"/>
  <c r="D976" i="3"/>
  <c r="J976" i="3" s="1"/>
  <c r="D975" i="3"/>
  <c r="J975" i="3" s="1"/>
  <c r="C975" i="3"/>
  <c r="F974" i="3"/>
  <c r="D974" i="3"/>
  <c r="C974" i="3"/>
  <c r="C973" i="3"/>
  <c r="J972" i="3"/>
  <c r="F972" i="3"/>
  <c r="C972" i="3"/>
  <c r="J971" i="3"/>
  <c r="F971" i="3"/>
  <c r="C971" i="3"/>
  <c r="J970" i="3"/>
  <c r="F970" i="3"/>
  <c r="C970" i="3"/>
  <c r="C969" i="3"/>
  <c r="O968" i="3"/>
  <c r="J968" i="3"/>
  <c r="F968" i="3"/>
  <c r="C968" i="3"/>
  <c r="O967" i="3"/>
  <c r="J967" i="3"/>
  <c r="F967" i="3"/>
  <c r="C967" i="3"/>
  <c r="O966" i="3"/>
  <c r="J966" i="3"/>
  <c r="F966" i="3"/>
  <c r="C966" i="3"/>
  <c r="O965" i="3"/>
  <c r="C965" i="3"/>
  <c r="O964" i="3"/>
  <c r="J964" i="3"/>
  <c r="F964" i="3"/>
  <c r="C964" i="3"/>
  <c r="O963" i="3"/>
  <c r="J963" i="3"/>
  <c r="C963" i="3"/>
  <c r="O962" i="3"/>
  <c r="J962" i="3"/>
  <c r="F962" i="3"/>
  <c r="C962" i="3"/>
  <c r="O961" i="3"/>
  <c r="O960" i="3"/>
  <c r="J960" i="3"/>
  <c r="F960" i="3"/>
  <c r="S959" i="3"/>
  <c r="O959" i="3"/>
  <c r="J959" i="3"/>
  <c r="F959" i="3"/>
  <c r="S958" i="3"/>
  <c r="O958" i="3"/>
  <c r="J958" i="3"/>
  <c r="F958" i="3"/>
  <c r="S957" i="3"/>
  <c r="O957" i="3"/>
  <c r="J957" i="3"/>
  <c r="F957" i="3"/>
  <c r="G956" i="3" s="1"/>
  <c r="S956" i="3"/>
  <c r="T956" i="3" s="1"/>
  <c r="U955" i="3" s="1"/>
  <c r="P956" i="3"/>
  <c r="S955" i="3"/>
  <c r="C937" i="3"/>
  <c r="C938" i="3" s="1"/>
  <c r="C939" i="3" s="1"/>
  <c r="C940" i="3" s="1"/>
  <c r="C941" i="3" s="1"/>
  <c r="C942" i="3" s="1"/>
  <c r="C943" i="3" s="1"/>
  <c r="C944" i="3" s="1"/>
  <c r="C945" i="3" s="1"/>
  <c r="C936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J896" i="3"/>
  <c r="F896" i="3"/>
  <c r="C896" i="3"/>
  <c r="J895" i="3"/>
  <c r="F895" i="3"/>
  <c r="C895" i="3"/>
  <c r="J894" i="3"/>
  <c r="F894" i="3"/>
  <c r="C894" i="3"/>
  <c r="C893" i="3"/>
  <c r="J892" i="3"/>
  <c r="F892" i="3"/>
  <c r="C892" i="3"/>
  <c r="J891" i="3"/>
  <c r="F891" i="3"/>
  <c r="C891" i="3"/>
  <c r="J890" i="3"/>
  <c r="F890" i="3"/>
  <c r="C890" i="3"/>
  <c r="C889" i="3"/>
  <c r="J888" i="3"/>
  <c r="F888" i="3"/>
  <c r="C888" i="3"/>
  <c r="J887" i="3"/>
  <c r="F887" i="3"/>
  <c r="C887" i="3"/>
  <c r="J886" i="3"/>
  <c r="F886" i="3"/>
  <c r="C886" i="3"/>
  <c r="C885" i="3"/>
  <c r="J884" i="3"/>
  <c r="F884" i="3"/>
  <c r="C884" i="3"/>
  <c r="C883" i="3"/>
  <c r="J882" i="3"/>
  <c r="F882" i="3"/>
  <c r="C882" i="3"/>
  <c r="J881" i="3"/>
  <c r="F881" i="3"/>
  <c r="C881" i="3"/>
  <c r="C880" i="3"/>
  <c r="J879" i="3"/>
  <c r="F879" i="3"/>
  <c r="C879" i="3"/>
  <c r="J878" i="3"/>
  <c r="F878" i="3"/>
  <c r="C878" i="3"/>
  <c r="J877" i="3"/>
  <c r="F877" i="3"/>
  <c r="C877" i="3"/>
  <c r="C876" i="3"/>
  <c r="J875" i="3"/>
  <c r="F875" i="3"/>
  <c r="C875" i="3"/>
  <c r="J874" i="3"/>
  <c r="F874" i="3"/>
  <c r="C874" i="3"/>
  <c r="J873" i="3"/>
  <c r="F873" i="3"/>
  <c r="C873" i="3"/>
  <c r="C872" i="3"/>
  <c r="J871" i="3"/>
  <c r="F871" i="3"/>
  <c r="C871" i="3"/>
  <c r="J870" i="3"/>
  <c r="F870" i="3"/>
  <c r="C870" i="3"/>
  <c r="J869" i="3"/>
  <c r="F869" i="3"/>
  <c r="C869" i="3"/>
  <c r="C868" i="3"/>
  <c r="J867" i="3"/>
  <c r="F867" i="3"/>
  <c r="C867" i="3"/>
  <c r="C866" i="3"/>
  <c r="C864" i="3"/>
  <c r="D861" i="3"/>
  <c r="D862" i="3" s="1"/>
  <c r="C860" i="3"/>
  <c r="J859" i="3"/>
  <c r="F859" i="3"/>
  <c r="C859" i="3"/>
  <c r="J858" i="3"/>
  <c r="F858" i="3"/>
  <c r="C858" i="3"/>
  <c r="J857" i="3"/>
  <c r="F857" i="3"/>
  <c r="C857" i="3"/>
  <c r="C856" i="3"/>
  <c r="J855" i="3"/>
  <c r="F855" i="3"/>
  <c r="C855" i="3"/>
  <c r="O854" i="3"/>
  <c r="J854" i="3"/>
  <c r="F854" i="3"/>
  <c r="C854" i="3"/>
  <c r="O853" i="3"/>
  <c r="J853" i="3"/>
  <c r="F853" i="3"/>
  <c r="C853" i="3"/>
  <c r="O852" i="3"/>
  <c r="C852" i="3"/>
  <c r="O851" i="3"/>
  <c r="J851" i="3"/>
  <c r="F851" i="3"/>
  <c r="C851" i="3"/>
  <c r="O850" i="3"/>
  <c r="J850" i="3"/>
  <c r="F850" i="3"/>
  <c r="C850" i="3"/>
  <c r="O849" i="3"/>
  <c r="J849" i="3"/>
  <c r="F849" i="3"/>
  <c r="C849" i="3"/>
  <c r="O848" i="3"/>
  <c r="S847" i="3"/>
  <c r="O847" i="3"/>
  <c r="J847" i="3"/>
  <c r="F847" i="3"/>
  <c r="S846" i="3"/>
  <c r="O846" i="3"/>
  <c r="J846" i="3"/>
  <c r="F846" i="3"/>
  <c r="S845" i="3"/>
  <c r="O845" i="3"/>
  <c r="J845" i="3"/>
  <c r="F845" i="3"/>
  <c r="S844" i="3"/>
  <c r="O844" i="3"/>
  <c r="P842" i="3" s="1"/>
  <c r="J844" i="3"/>
  <c r="F844" i="3"/>
  <c r="S843" i="3"/>
  <c r="T843" i="3" s="1"/>
  <c r="U842" i="3" s="1"/>
  <c r="O843" i="3"/>
  <c r="G843" i="3"/>
  <c r="S842" i="3"/>
  <c r="C828" i="3"/>
  <c r="C829" i="3" s="1"/>
  <c r="C830" i="3" s="1"/>
  <c r="C831" i="3" s="1"/>
  <c r="C832" i="3" s="1"/>
  <c r="C833" i="3" s="1"/>
  <c r="C834" i="3" s="1"/>
  <c r="C835" i="3" s="1"/>
  <c r="C836" i="3" s="1"/>
  <c r="C827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J787" i="3"/>
  <c r="F787" i="3"/>
  <c r="C787" i="3"/>
  <c r="J786" i="3"/>
  <c r="F786" i="3"/>
  <c r="C786" i="3"/>
  <c r="J785" i="3"/>
  <c r="F785" i="3"/>
  <c r="C785" i="3"/>
  <c r="C784" i="3"/>
  <c r="J783" i="3"/>
  <c r="F783" i="3"/>
  <c r="C783" i="3"/>
  <c r="J782" i="3"/>
  <c r="F782" i="3"/>
  <c r="C782" i="3"/>
  <c r="J781" i="3"/>
  <c r="F781" i="3"/>
  <c r="C781" i="3"/>
  <c r="C780" i="3"/>
  <c r="J779" i="3"/>
  <c r="F779" i="3"/>
  <c r="C779" i="3"/>
  <c r="J778" i="3"/>
  <c r="F778" i="3"/>
  <c r="C778" i="3"/>
  <c r="J777" i="3"/>
  <c r="F777" i="3"/>
  <c r="C777" i="3"/>
  <c r="C776" i="3"/>
  <c r="J775" i="3"/>
  <c r="F775" i="3"/>
  <c r="C775" i="3"/>
  <c r="C774" i="3"/>
  <c r="J773" i="3"/>
  <c r="F773" i="3"/>
  <c r="C773" i="3"/>
  <c r="J772" i="3"/>
  <c r="F772" i="3"/>
  <c r="C772" i="3"/>
  <c r="C771" i="3"/>
  <c r="J770" i="3"/>
  <c r="F770" i="3"/>
  <c r="C770" i="3"/>
  <c r="J769" i="3"/>
  <c r="F769" i="3"/>
  <c r="C769" i="3"/>
  <c r="J768" i="3"/>
  <c r="F768" i="3"/>
  <c r="C768" i="3"/>
  <c r="C767" i="3"/>
  <c r="J766" i="3"/>
  <c r="F766" i="3"/>
  <c r="C766" i="3"/>
  <c r="J765" i="3"/>
  <c r="F765" i="3"/>
  <c r="C765" i="3"/>
  <c r="J764" i="3"/>
  <c r="F764" i="3"/>
  <c r="C764" i="3"/>
  <c r="C763" i="3"/>
  <c r="J762" i="3"/>
  <c r="F762" i="3"/>
  <c r="C762" i="3"/>
  <c r="J761" i="3"/>
  <c r="F761" i="3"/>
  <c r="C761" i="3"/>
  <c r="J760" i="3"/>
  <c r="F760" i="3"/>
  <c r="C760" i="3"/>
  <c r="C759" i="3"/>
  <c r="J758" i="3"/>
  <c r="F758" i="3"/>
  <c r="C758" i="3"/>
  <c r="C757" i="3"/>
  <c r="C755" i="3"/>
  <c r="J752" i="3"/>
  <c r="D752" i="3"/>
  <c r="D753" i="3" s="1"/>
  <c r="C752" i="3"/>
  <c r="C751" i="3"/>
  <c r="J750" i="3"/>
  <c r="C750" i="3"/>
  <c r="J749" i="3"/>
  <c r="C749" i="3"/>
  <c r="J748" i="3"/>
  <c r="C748" i="3"/>
  <c r="C747" i="3"/>
  <c r="O746" i="3"/>
  <c r="J746" i="3"/>
  <c r="F746" i="3"/>
  <c r="C746" i="3"/>
  <c r="O745" i="3"/>
  <c r="J745" i="3"/>
  <c r="F745" i="3"/>
  <c r="C745" i="3"/>
  <c r="O744" i="3"/>
  <c r="J744" i="3"/>
  <c r="F744" i="3"/>
  <c r="C744" i="3"/>
  <c r="O743" i="3"/>
  <c r="C743" i="3"/>
  <c r="O742" i="3"/>
  <c r="J742" i="3"/>
  <c r="F742" i="3"/>
  <c r="C742" i="3"/>
  <c r="O741" i="3"/>
  <c r="J741" i="3"/>
  <c r="F741" i="3"/>
  <c r="C741" i="3"/>
  <c r="O740" i="3"/>
  <c r="J740" i="3"/>
  <c r="F740" i="3"/>
  <c r="C740" i="3"/>
  <c r="O739" i="3"/>
  <c r="S738" i="3"/>
  <c r="O738" i="3"/>
  <c r="J738" i="3"/>
  <c r="F738" i="3"/>
  <c r="S737" i="3"/>
  <c r="J737" i="3"/>
  <c r="F737" i="3"/>
  <c r="S736" i="3"/>
  <c r="O736" i="3"/>
  <c r="P734" i="3" s="1"/>
  <c r="J736" i="3"/>
  <c r="F736" i="3"/>
  <c r="S735" i="3"/>
  <c r="T735" i="3" s="1"/>
  <c r="U734" i="3" s="1"/>
  <c r="O735" i="3"/>
  <c r="J735" i="3"/>
  <c r="F735" i="3"/>
  <c r="S734" i="3"/>
  <c r="G734" i="3"/>
  <c r="C719" i="3"/>
  <c r="C720" i="3" s="1"/>
  <c r="C721" i="3" s="1"/>
  <c r="C722" i="3" s="1"/>
  <c r="C723" i="3" s="1"/>
  <c r="C724" i="3" s="1"/>
  <c r="C725" i="3" s="1"/>
  <c r="C726" i="3" s="1"/>
  <c r="C727" i="3" s="1"/>
  <c r="C718" i="3"/>
  <c r="C685" i="3"/>
  <c r="C684" i="3"/>
  <c r="C683" i="3"/>
  <c r="C682" i="3"/>
  <c r="C681" i="3"/>
  <c r="C680" i="3"/>
  <c r="C679" i="3"/>
  <c r="J678" i="3"/>
  <c r="F678" i="3"/>
  <c r="C678" i="3"/>
  <c r="J677" i="3"/>
  <c r="F677" i="3"/>
  <c r="C677" i="3"/>
  <c r="F676" i="3"/>
  <c r="C676" i="3"/>
  <c r="C675" i="3"/>
  <c r="F674" i="3"/>
  <c r="C674" i="3"/>
  <c r="J673" i="3"/>
  <c r="F673" i="3"/>
  <c r="C673" i="3"/>
  <c r="J672" i="3"/>
  <c r="F672" i="3"/>
  <c r="C672" i="3"/>
  <c r="C671" i="3"/>
  <c r="F670" i="3"/>
  <c r="C670" i="3"/>
  <c r="J669" i="3"/>
  <c r="F669" i="3"/>
  <c r="C669" i="3"/>
  <c r="J668" i="3"/>
  <c r="F668" i="3"/>
  <c r="C668" i="3"/>
  <c r="C667" i="3"/>
  <c r="J666" i="3"/>
  <c r="F666" i="3"/>
  <c r="C666" i="3"/>
  <c r="C665" i="3"/>
  <c r="J664" i="3"/>
  <c r="F664" i="3"/>
  <c r="C664" i="3"/>
  <c r="J663" i="3"/>
  <c r="F663" i="3"/>
  <c r="C663" i="3"/>
  <c r="C662" i="3"/>
  <c r="F661" i="3"/>
  <c r="C661" i="3"/>
  <c r="J660" i="3"/>
  <c r="F660" i="3"/>
  <c r="C660" i="3"/>
  <c r="J659" i="3"/>
  <c r="F659" i="3"/>
  <c r="C659" i="3"/>
  <c r="C658" i="3"/>
  <c r="J657" i="3"/>
  <c r="F657" i="3"/>
  <c r="C657" i="3"/>
  <c r="J656" i="3"/>
  <c r="F656" i="3"/>
  <c r="C656" i="3"/>
  <c r="J655" i="3"/>
  <c r="F655" i="3"/>
  <c r="C655" i="3"/>
  <c r="C654" i="3"/>
  <c r="J653" i="3"/>
  <c r="F653" i="3"/>
  <c r="C653" i="3"/>
  <c r="J652" i="3"/>
  <c r="F652" i="3"/>
  <c r="C652" i="3"/>
  <c r="J651" i="3"/>
  <c r="F651" i="3"/>
  <c r="C651" i="3"/>
  <c r="C650" i="3"/>
  <c r="J649" i="3"/>
  <c r="F649" i="3"/>
  <c r="C649" i="3"/>
  <c r="C648" i="3"/>
  <c r="C646" i="3"/>
  <c r="D643" i="3"/>
  <c r="D644" i="3" s="1"/>
  <c r="C642" i="3"/>
  <c r="J641" i="3"/>
  <c r="F641" i="3"/>
  <c r="C641" i="3"/>
  <c r="J640" i="3"/>
  <c r="F640" i="3"/>
  <c r="C640" i="3"/>
  <c r="J639" i="3"/>
  <c r="F639" i="3"/>
  <c r="C639" i="3"/>
  <c r="C638" i="3"/>
  <c r="O637" i="3"/>
  <c r="J637" i="3"/>
  <c r="F637" i="3"/>
  <c r="C637" i="3"/>
  <c r="O636" i="3"/>
  <c r="J636" i="3"/>
  <c r="F636" i="3"/>
  <c r="C636" i="3"/>
  <c r="S635" i="3"/>
  <c r="O635" i="3"/>
  <c r="J635" i="3"/>
  <c r="F635" i="3"/>
  <c r="C635" i="3"/>
  <c r="S634" i="3"/>
  <c r="O634" i="3"/>
  <c r="C634" i="3"/>
  <c r="S633" i="3"/>
  <c r="O633" i="3"/>
  <c r="J633" i="3"/>
  <c r="F633" i="3"/>
  <c r="C633" i="3"/>
  <c r="S632" i="3"/>
  <c r="O632" i="3"/>
  <c r="J632" i="3"/>
  <c r="F632" i="3"/>
  <c r="C632" i="3"/>
  <c r="S631" i="3"/>
  <c r="O631" i="3"/>
  <c r="J631" i="3"/>
  <c r="F631" i="3"/>
  <c r="C631" i="3"/>
  <c r="S630" i="3"/>
  <c r="O630" i="3"/>
  <c r="S629" i="3"/>
  <c r="O629" i="3"/>
  <c r="J629" i="3"/>
  <c r="F629" i="3"/>
  <c r="S628" i="3"/>
  <c r="O628" i="3"/>
  <c r="J628" i="3"/>
  <c r="F628" i="3"/>
  <c r="S627" i="3"/>
  <c r="O627" i="3"/>
  <c r="J627" i="3"/>
  <c r="F627" i="3"/>
  <c r="S626" i="3"/>
  <c r="T626" i="3" s="1"/>
  <c r="U626" i="3" s="1"/>
  <c r="O626" i="3"/>
  <c r="J626" i="3"/>
  <c r="F626" i="3"/>
  <c r="G625" i="3" s="1"/>
  <c r="P625" i="3"/>
  <c r="C606" i="3"/>
  <c r="C607" i="3" s="1"/>
  <c r="C608" i="3" s="1"/>
  <c r="C609" i="3" s="1"/>
  <c r="C610" i="3" s="1"/>
  <c r="C611" i="3" s="1"/>
  <c r="C612" i="3" s="1"/>
  <c r="C613" i="3" s="1"/>
  <c r="C614" i="3" s="1"/>
  <c r="C615" i="3" s="1"/>
  <c r="C574" i="3"/>
  <c r="C573" i="3"/>
  <c r="C572" i="3"/>
  <c r="C571" i="3"/>
  <c r="C570" i="3"/>
  <c r="C569" i="3"/>
  <c r="C568" i="3"/>
  <c r="C567" i="3"/>
  <c r="F566" i="3"/>
  <c r="C566" i="3"/>
  <c r="F565" i="3"/>
  <c r="C565" i="3"/>
  <c r="F564" i="3"/>
  <c r="C564" i="3"/>
  <c r="C563" i="3"/>
  <c r="F562" i="3"/>
  <c r="C562" i="3"/>
  <c r="J561" i="3"/>
  <c r="F561" i="3"/>
  <c r="C561" i="3"/>
  <c r="F560" i="3"/>
  <c r="C560" i="3"/>
  <c r="C559" i="3"/>
  <c r="F558" i="3"/>
  <c r="C558" i="3"/>
  <c r="F557" i="3"/>
  <c r="C557" i="3"/>
  <c r="F556" i="3"/>
  <c r="C556" i="3"/>
  <c r="C555" i="3"/>
  <c r="J554" i="3"/>
  <c r="F554" i="3"/>
  <c r="C554" i="3"/>
  <c r="C553" i="3"/>
  <c r="J552" i="3"/>
  <c r="F552" i="3"/>
  <c r="C552" i="3"/>
  <c r="F551" i="3"/>
  <c r="C551" i="3"/>
  <c r="C550" i="3"/>
  <c r="F549" i="3"/>
  <c r="C549" i="3"/>
  <c r="J548" i="3"/>
  <c r="F548" i="3"/>
  <c r="C548" i="3"/>
  <c r="F547" i="3"/>
  <c r="C547" i="3"/>
  <c r="C546" i="3"/>
  <c r="F545" i="3"/>
  <c r="C545" i="3"/>
  <c r="J544" i="3"/>
  <c r="F544" i="3"/>
  <c r="C544" i="3"/>
  <c r="J543" i="3"/>
  <c r="F543" i="3"/>
  <c r="C543" i="3"/>
  <c r="C542" i="3"/>
  <c r="F541" i="3"/>
  <c r="C541" i="3"/>
  <c r="J540" i="3"/>
  <c r="F540" i="3"/>
  <c r="C540" i="3"/>
  <c r="J539" i="3"/>
  <c r="F539" i="3"/>
  <c r="C539" i="3"/>
  <c r="C538" i="3"/>
  <c r="F537" i="3"/>
  <c r="C537" i="3"/>
  <c r="C536" i="3"/>
  <c r="C534" i="3"/>
  <c r="D531" i="3"/>
  <c r="F531" i="3" s="1"/>
  <c r="C531" i="3"/>
  <c r="C530" i="3"/>
  <c r="J529" i="3"/>
  <c r="F529" i="3"/>
  <c r="C529" i="3"/>
  <c r="J528" i="3"/>
  <c r="F528" i="3"/>
  <c r="C528" i="3"/>
  <c r="J527" i="3"/>
  <c r="F527" i="3"/>
  <c r="C527" i="3"/>
  <c r="C526" i="3"/>
  <c r="O525" i="3"/>
  <c r="J525" i="3"/>
  <c r="F525" i="3"/>
  <c r="C525" i="3"/>
  <c r="O524" i="3"/>
  <c r="J524" i="3"/>
  <c r="F524" i="3"/>
  <c r="C524" i="3"/>
  <c r="O523" i="3"/>
  <c r="J523" i="3"/>
  <c r="F523" i="3"/>
  <c r="C523" i="3"/>
  <c r="O522" i="3"/>
  <c r="C522" i="3"/>
  <c r="O521" i="3"/>
  <c r="J521" i="3"/>
  <c r="F521" i="3"/>
  <c r="C521" i="3"/>
  <c r="O520" i="3"/>
  <c r="J520" i="3"/>
  <c r="F520" i="3"/>
  <c r="C520" i="3"/>
  <c r="O519" i="3"/>
  <c r="J519" i="3"/>
  <c r="F519" i="3"/>
  <c r="C519" i="3"/>
  <c r="O518" i="3"/>
  <c r="S517" i="3"/>
  <c r="O517" i="3"/>
  <c r="J517" i="3"/>
  <c r="F517" i="3"/>
  <c r="S516" i="3"/>
  <c r="O516" i="3"/>
  <c r="J516" i="3"/>
  <c r="F516" i="3"/>
  <c r="S515" i="3"/>
  <c r="O515" i="3"/>
  <c r="P513" i="3" s="1"/>
  <c r="R3" i="3" s="1"/>
  <c r="J515" i="3"/>
  <c r="F515" i="3"/>
  <c r="S514" i="3"/>
  <c r="T514" i="3" s="1"/>
  <c r="U513" i="3" s="1"/>
  <c r="O514" i="3"/>
  <c r="J514" i="3"/>
  <c r="F514" i="3"/>
  <c r="S513" i="3"/>
  <c r="G513" i="3"/>
  <c r="C476" i="3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467" i="3"/>
  <c r="C466" i="3"/>
  <c r="C464" i="3"/>
  <c r="C463" i="3"/>
  <c r="C462" i="3"/>
  <c r="C461" i="3"/>
  <c r="C460" i="3"/>
  <c r="J459" i="3"/>
  <c r="F459" i="3"/>
  <c r="C459" i="3"/>
  <c r="J458" i="3"/>
  <c r="F458" i="3"/>
  <c r="C458" i="3"/>
  <c r="F457" i="3"/>
  <c r="C457" i="3"/>
  <c r="C456" i="3"/>
  <c r="J455" i="3"/>
  <c r="F455" i="3"/>
  <c r="C455" i="3"/>
  <c r="J454" i="3"/>
  <c r="F454" i="3"/>
  <c r="C454" i="3"/>
  <c r="J453" i="3"/>
  <c r="F453" i="3"/>
  <c r="C453" i="3"/>
  <c r="C452" i="3"/>
  <c r="J451" i="3"/>
  <c r="F451" i="3"/>
  <c r="C451" i="3"/>
  <c r="J450" i="3"/>
  <c r="F450" i="3"/>
  <c r="C450" i="3"/>
  <c r="J449" i="3"/>
  <c r="F449" i="3"/>
  <c r="C449" i="3"/>
  <c r="C448" i="3"/>
  <c r="J447" i="3"/>
  <c r="F447" i="3"/>
  <c r="C447" i="3"/>
  <c r="C446" i="3"/>
  <c r="J445" i="3"/>
  <c r="F445" i="3"/>
  <c r="C445" i="3"/>
  <c r="J444" i="3"/>
  <c r="F444" i="3"/>
  <c r="C444" i="3"/>
  <c r="C443" i="3"/>
  <c r="J442" i="3"/>
  <c r="F442" i="3"/>
  <c r="C442" i="3"/>
  <c r="J441" i="3"/>
  <c r="F441" i="3"/>
  <c r="C441" i="3"/>
  <c r="J440" i="3"/>
  <c r="F440" i="3"/>
  <c r="C440" i="3"/>
  <c r="C439" i="3"/>
  <c r="J438" i="3"/>
  <c r="F438" i="3"/>
  <c r="C438" i="3"/>
  <c r="J437" i="3"/>
  <c r="F437" i="3"/>
  <c r="C437" i="3"/>
  <c r="J436" i="3"/>
  <c r="F436" i="3"/>
  <c r="C436" i="3"/>
  <c r="C435" i="3"/>
  <c r="J434" i="3"/>
  <c r="F434" i="3"/>
  <c r="C434" i="3"/>
  <c r="J433" i="3"/>
  <c r="F433" i="3"/>
  <c r="C433" i="3"/>
  <c r="J432" i="3"/>
  <c r="F432" i="3"/>
  <c r="C432" i="3"/>
  <c r="C431" i="3"/>
  <c r="J430" i="3"/>
  <c r="F430" i="3"/>
  <c r="C430" i="3"/>
  <c r="C429" i="3"/>
  <c r="C427" i="3"/>
  <c r="J424" i="3"/>
  <c r="D424" i="3"/>
  <c r="D425" i="3" s="1"/>
  <c r="C424" i="3"/>
  <c r="C423" i="3"/>
  <c r="F422" i="3"/>
  <c r="C422" i="3"/>
  <c r="J421" i="3"/>
  <c r="F421" i="3"/>
  <c r="C421" i="3"/>
  <c r="J420" i="3"/>
  <c r="F420" i="3"/>
  <c r="C420" i="3"/>
  <c r="C419" i="3"/>
  <c r="O418" i="3"/>
  <c r="J418" i="3"/>
  <c r="F418" i="3"/>
  <c r="C418" i="3"/>
  <c r="O417" i="3"/>
  <c r="J417" i="3"/>
  <c r="F417" i="3"/>
  <c r="C417" i="3"/>
  <c r="O416" i="3"/>
  <c r="J416" i="3"/>
  <c r="F416" i="3"/>
  <c r="C416" i="3"/>
  <c r="O415" i="3"/>
  <c r="C415" i="3"/>
  <c r="O414" i="3"/>
  <c r="J414" i="3"/>
  <c r="F414" i="3"/>
  <c r="C414" i="3"/>
  <c r="O413" i="3"/>
  <c r="J413" i="3"/>
  <c r="F413" i="3"/>
  <c r="C413" i="3"/>
  <c r="S412" i="3"/>
  <c r="O412" i="3"/>
  <c r="J412" i="3"/>
  <c r="F412" i="3"/>
  <c r="C412" i="3"/>
  <c r="S411" i="3"/>
  <c r="O411" i="3"/>
  <c r="S410" i="3"/>
  <c r="O410" i="3"/>
  <c r="J410" i="3"/>
  <c r="F410" i="3"/>
  <c r="S409" i="3"/>
  <c r="O409" i="3"/>
  <c r="J409" i="3"/>
  <c r="F409" i="3"/>
  <c r="S408" i="3"/>
  <c r="O408" i="3"/>
  <c r="J408" i="3"/>
  <c r="F408" i="3"/>
  <c r="T407" i="3"/>
  <c r="U406" i="3" s="1"/>
  <c r="S407" i="3"/>
  <c r="O407" i="3"/>
  <c r="J407" i="3"/>
  <c r="F407" i="3"/>
  <c r="S406" i="3"/>
  <c r="P406" i="3"/>
  <c r="G406" i="3"/>
  <c r="C366" i="3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57" i="3"/>
  <c r="C356" i="3"/>
  <c r="C355" i="3"/>
  <c r="C354" i="3"/>
  <c r="C353" i="3"/>
  <c r="C352" i="3"/>
  <c r="C351" i="3"/>
  <c r="C350" i="3"/>
  <c r="J349" i="3"/>
  <c r="F349" i="3"/>
  <c r="C349" i="3"/>
  <c r="J348" i="3"/>
  <c r="F348" i="3"/>
  <c r="C348" i="3"/>
  <c r="F347" i="3"/>
  <c r="C347" i="3"/>
  <c r="C346" i="3"/>
  <c r="J345" i="3"/>
  <c r="F345" i="3"/>
  <c r="C345" i="3"/>
  <c r="J344" i="3"/>
  <c r="F344" i="3"/>
  <c r="C344" i="3"/>
  <c r="J343" i="3"/>
  <c r="F343" i="3"/>
  <c r="C343" i="3"/>
  <c r="C342" i="3"/>
  <c r="J341" i="3"/>
  <c r="F341" i="3"/>
  <c r="C341" i="3"/>
  <c r="J340" i="3"/>
  <c r="F340" i="3"/>
  <c r="C340" i="3"/>
  <c r="J339" i="3"/>
  <c r="F339" i="3"/>
  <c r="C339" i="3"/>
  <c r="C338" i="3"/>
  <c r="J337" i="3"/>
  <c r="F337" i="3"/>
  <c r="C337" i="3"/>
  <c r="C336" i="3"/>
  <c r="J335" i="3"/>
  <c r="F335" i="3"/>
  <c r="C335" i="3"/>
  <c r="J334" i="3"/>
  <c r="F334" i="3"/>
  <c r="C334" i="3"/>
  <c r="C333" i="3"/>
  <c r="F332" i="3"/>
  <c r="C332" i="3"/>
  <c r="J331" i="3"/>
  <c r="F331" i="3"/>
  <c r="C331" i="3"/>
  <c r="J330" i="3"/>
  <c r="F330" i="3"/>
  <c r="C330" i="3"/>
  <c r="C329" i="3"/>
  <c r="J328" i="3"/>
  <c r="F328" i="3"/>
  <c r="C328" i="3"/>
  <c r="J327" i="3"/>
  <c r="F327" i="3"/>
  <c r="C327" i="3"/>
  <c r="J326" i="3"/>
  <c r="F326" i="3"/>
  <c r="C326" i="3"/>
  <c r="C325" i="3"/>
  <c r="J324" i="3"/>
  <c r="F324" i="3"/>
  <c r="C324" i="3"/>
  <c r="J323" i="3"/>
  <c r="F323" i="3"/>
  <c r="C323" i="3"/>
  <c r="J322" i="3"/>
  <c r="F322" i="3"/>
  <c r="C322" i="3"/>
  <c r="C321" i="3"/>
  <c r="J320" i="3"/>
  <c r="F320" i="3"/>
  <c r="C320" i="3"/>
  <c r="C319" i="3"/>
  <c r="C317" i="3"/>
  <c r="D314" i="3"/>
  <c r="C314" i="3" s="1"/>
  <c r="C313" i="3"/>
  <c r="J312" i="3"/>
  <c r="F312" i="3"/>
  <c r="C312" i="3"/>
  <c r="J311" i="3"/>
  <c r="F311" i="3"/>
  <c r="C311" i="3"/>
  <c r="J310" i="3"/>
  <c r="F310" i="3"/>
  <c r="C310" i="3"/>
  <c r="O309" i="3"/>
  <c r="C309" i="3"/>
  <c r="O308" i="3"/>
  <c r="J308" i="3"/>
  <c r="F308" i="3"/>
  <c r="C308" i="3"/>
  <c r="O307" i="3"/>
  <c r="J307" i="3"/>
  <c r="F307" i="3"/>
  <c r="C307" i="3"/>
  <c r="O306" i="3"/>
  <c r="J306" i="3"/>
  <c r="F306" i="3"/>
  <c r="C306" i="3"/>
  <c r="O305" i="3"/>
  <c r="C305" i="3"/>
  <c r="O304" i="3"/>
  <c r="J304" i="3"/>
  <c r="F304" i="3"/>
  <c r="C304" i="3"/>
  <c r="O303" i="3"/>
  <c r="J303" i="3"/>
  <c r="F303" i="3"/>
  <c r="C303" i="3"/>
  <c r="O302" i="3"/>
  <c r="J302" i="3"/>
  <c r="F302" i="3"/>
  <c r="C302" i="3"/>
  <c r="S301" i="3"/>
  <c r="O301" i="3"/>
  <c r="S300" i="3"/>
  <c r="O300" i="3"/>
  <c r="J300" i="3"/>
  <c r="F300" i="3"/>
  <c r="S299" i="3"/>
  <c r="O299" i="3"/>
  <c r="J299" i="3"/>
  <c r="F299" i="3"/>
  <c r="S298" i="3"/>
  <c r="O298" i="3"/>
  <c r="J298" i="3"/>
  <c r="F298" i="3"/>
  <c r="G296" i="3" s="1"/>
  <c r="T297" i="3"/>
  <c r="U296" i="3" s="1"/>
  <c r="S297" i="3"/>
  <c r="O297" i="3"/>
  <c r="P297" i="3" s="1"/>
  <c r="Q296" i="3" s="1"/>
  <c r="J297" i="3"/>
  <c r="S296" i="3"/>
  <c r="J296" i="3"/>
  <c r="C265" i="3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64" i="3"/>
  <c r="C255" i="3"/>
  <c r="C254" i="3"/>
  <c r="C253" i="3"/>
  <c r="C252" i="3"/>
  <c r="C251" i="3"/>
  <c r="C250" i="3"/>
  <c r="C249" i="3"/>
  <c r="C248" i="3"/>
  <c r="J247" i="3"/>
  <c r="F247" i="3"/>
  <c r="C247" i="3"/>
  <c r="J246" i="3"/>
  <c r="F246" i="3"/>
  <c r="C246" i="3"/>
  <c r="J245" i="3"/>
  <c r="F245" i="3"/>
  <c r="C245" i="3"/>
  <c r="C244" i="3"/>
  <c r="J243" i="3"/>
  <c r="F243" i="3"/>
  <c r="C243" i="3"/>
  <c r="J242" i="3"/>
  <c r="F242" i="3"/>
  <c r="C242" i="3"/>
  <c r="J241" i="3"/>
  <c r="F241" i="3"/>
  <c r="C241" i="3"/>
  <c r="C240" i="3"/>
  <c r="J239" i="3"/>
  <c r="F239" i="3"/>
  <c r="C239" i="3"/>
  <c r="J238" i="3"/>
  <c r="F238" i="3"/>
  <c r="C238" i="3"/>
  <c r="J237" i="3"/>
  <c r="F237" i="3"/>
  <c r="C237" i="3"/>
  <c r="C236" i="3"/>
  <c r="J235" i="3"/>
  <c r="F235" i="3"/>
  <c r="C235" i="3"/>
  <c r="C234" i="3"/>
  <c r="J233" i="3"/>
  <c r="F233" i="3"/>
  <c r="C233" i="3"/>
  <c r="J232" i="3"/>
  <c r="F232" i="3"/>
  <c r="C232" i="3"/>
  <c r="C231" i="3"/>
  <c r="F230" i="3"/>
  <c r="C230" i="3"/>
  <c r="J229" i="3"/>
  <c r="F229" i="3"/>
  <c r="C229" i="3"/>
  <c r="J228" i="3"/>
  <c r="F228" i="3"/>
  <c r="C228" i="3"/>
  <c r="C227" i="3"/>
  <c r="J226" i="3"/>
  <c r="F226" i="3"/>
  <c r="C226" i="3"/>
  <c r="J225" i="3"/>
  <c r="F225" i="3"/>
  <c r="C225" i="3"/>
  <c r="J224" i="3"/>
  <c r="F224" i="3"/>
  <c r="C224" i="3"/>
  <c r="C223" i="3"/>
  <c r="J222" i="3"/>
  <c r="F222" i="3"/>
  <c r="C222" i="3"/>
  <c r="J221" i="3"/>
  <c r="F221" i="3"/>
  <c r="C221" i="3"/>
  <c r="J220" i="3"/>
  <c r="F220" i="3"/>
  <c r="C220" i="3"/>
  <c r="C219" i="3"/>
  <c r="J218" i="3"/>
  <c r="F218" i="3"/>
  <c r="C218" i="3"/>
  <c r="C217" i="3"/>
  <c r="C215" i="3"/>
  <c r="J212" i="3"/>
  <c r="F212" i="3"/>
  <c r="D212" i="3"/>
  <c r="D213" i="3" s="1"/>
  <c r="C212" i="3"/>
  <c r="C211" i="3"/>
  <c r="J210" i="3"/>
  <c r="F210" i="3"/>
  <c r="C210" i="3"/>
  <c r="J209" i="3"/>
  <c r="F209" i="3"/>
  <c r="C209" i="3"/>
  <c r="J208" i="3"/>
  <c r="F208" i="3"/>
  <c r="C208" i="3"/>
  <c r="C207" i="3"/>
  <c r="O206" i="3"/>
  <c r="J206" i="3"/>
  <c r="F206" i="3"/>
  <c r="C206" i="3"/>
  <c r="O205" i="3"/>
  <c r="J205" i="3"/>
  <c r="F205" i="3"/>
  <c r="C205" i="3"/>
  <c r="O204" i="3"/>
  <c r="J204" i="3"/>
  <c r="F204" i="3"/>
  <c r="C204" i="3"/>
  <c r="O203" i="3"/>
  <c r="C203" i="3"/>
  <c r="O202" i="3"/>
  <c r="J202" i="3"/>
  <c r="F202" i="3"/>
  <c r="C202" i="3"/>
  <c r="O201" i="3"/>
  <c r="J201" i="3"/>
  <c r="F201" i="3"/>
  <c r="C201" i="3"/>
  <c r="S200" i="3"/>
  <c r="O200" i="3"/>
  <c r="J200" i="3"/>
  <c r="F200" i="3"/>
  <c r="C200" i="3"/>
  <c r="S199" i="3"/>
  <c r="O199" i="3"/>
  <c r="S198" i="3"/>
  <c r="O198" i="3"/>
  <c r="J198" i="3"/>
  <c r="F198" i="3"/>
  <c r="S197" i="3"/>
  <c r="O197" i="3"/>
  <c r="J197" i="3"/>
  <c r="F197" i="3"/>
  <c r="S196" i="3"/>
  <c r="O196" i="3"/>
  <c r="J196" i="3"/>
  <c r="F196" i="3"/>
  <c r="T195" i="3"/>
  <c r="U194" i="3" s="1"/>
  <c r="S195" i="3"/>
  <c r="O195" i="3"/>
  <c r="J195" i="3"/>
  <c r="F195" i="3"/>
  <c r="G194" i="3" s="1"/>
  <c r="S194" i="3"/>
  <c r="P194" i="3"/>
  <c r="J194" i="3"/>
  <c r="C162" i="3"/>
  <c r="C163" i="3" s="1"/>
  <c r="C164" i="3" s="1"/>
  <c r="C165" i="3" s="1"/>
  <c r="C166" i="3" s="1"/>
  <c r="C167" i="3" s="1"/>
  <c r="C152" i="3"/>
  <c r="C151" i="3"/>
  <c r="C150" i="3"/>
  <c r="C149" i="3"/>
  <c r="C148" i="3"/>
  <c r="C147" i="3"/>
  <c r="C146" i="3"/>
  <c r="J145" i="3"/>
  <c r="F145" i="3"/>
  <c r="C145" i="3"/>
  <c r="J144" i="3"/>
  <c r="F144" i="3"/>
  <c r="C144" i="3"/>
  <c r="J143" i="3"/>
  <c r="F143" i="3"/>
  <c r="C143" i="3"/>
  <c r="C142" i="3"/>
  <c r="J141" i="3"/>
  <c r="F141" i="3"/>
  <c r="C141" i="3"/>
  <c r="J140" i="3"/>
  <c r="F140" i="3"/>
  <c r="C140" i="3"/>
  <c r="J139" i="3"/>
  <c r="F139" i="3"/>
  <c r="C139" i="3"/>
  <c r="C138" i="3"/>
  <c r="J137" i="3"/>
  <c r="F137" i="3"/>
  <c r="C137" i="3"/>
  <c r="J136" i="3"/>
  <c r="F136" i="3"/>
  <c r="C136" i="3"/>
  <c r="J135" i="3"/>
  <c r="F135" i="3"/>
  <c r="C135" i="3"/>
  <c r="C134" i="3"/>
  <c r="J133" i="3"/>
  <c r="F133" i="3"/>
  <c r="C133" i="3"/>
  <c r="C132" i="3"/>
  <c r="J131" i="3"/>
  <c r="F131" i="3"/>
  <c r="C131" i="3"/>
  <c r="J130" i="3"/>
  <c r="F130" i="3"/>
  <c r="C130" i="3"/>
  <c r="C129" i="3"/>
  <c r="F128" i="3"/>
  <c r="C128" i="3"/>
  <c r="F127" i="3"/>
  <c r="C127" i="3"/>
  <c r="J126" i="3"/>
  <c r="F126" i="3"/>
  <c r="C126" i="3"/>
  <c r="C125" i="3"/>
  <c r="J124" i="3"/>
  <c r="F124" i="3"/>
  <c r="C124" i="3"/>
  <c r="J123" i="3"/>
  <c r="F123" i="3"/>
  <c r="C123" i="3"/>
  <c r="J122" i="3"/>
  <c r="F122" i="3"/>
  <c r="C122" i="3"/>
  <c r="C121" i="3"/>
  <c r="J120" i="3"/>
  <c r="F120" i="3"/>
  <c r="C120" i="3"/>
  <c r="J119" i="3"/>
  <c r="F119" i="3"/>
  <c r="C119" i="3"/>
  <c r="J118" i="3"/>
  <c r="F118" i="3"/>
  <c r="C118" i="3"/>
  <c r="C117" i="3"/>
  <c r="J116" i="3"/>
  <c r="F116" i="3"/>
  <c r="C116" i="3"/>
  <c r="C115" i="3"/>
  <c r="C113" i="3"/>
  <c r="F110" i="3"/>
  <c r="D110" i="3"/>
  <c r="D111" i="3" s="1"/>
  <c r="C109" i="3"/>
  <c r="J108" i="3"/>
  <c r="F108" i="3"/>
  <c r="C108" i="3"/>
  <c r="C107" i="3"/>
  <c r="F106" i="3"/>
  <c r="C106" i="3"/>
  <c r="J105" i="3"/>
  <c r="F105" i="3"/>
  <c r="C15" i="5" s="1"/>
  <c r="C105" i="3"/>
  <c r="C104" i="3"/>
  <c r="O103" i="3"/>
  <c r="J103" i="3"/>
  <c r="F103" i="3"/>
  <c r="C103" i="3"/>
  <c r="O102" i="3"/>
  <c r="J102" i="3"/>
  <c r="F102" i="3"/>
  <c r="C102" i="3"/>
  <c r="O101" i="3"/>
  <c r="J101" i="3"/>
  <c r="F101" i="3"/>
  <c r="C11" i="5" s="1"/>
  <c r="C101" i="3"/>
  <c r="O100" i="3"/>
  <c r="C100" i="3"/>
  <c r="S99" i="3"/>
  <c r="O99" i="3"/>
  <c r="J99" i="3"/>
  <c r="F99" i="3"/>
  <c r="C99" i="3"/>
  <c r="S98" i="3"/>
  <c r="O98" i="3"/>
  <c r="J98" i="3"/>
  <c r="F98" i="3"/>
  <c r="C98" i="3"/>
  <c r="S97" i="3"/>
  <c r="O97" i="3"/>
  <c r="J97" i="3"/>
  <c r="F97" i="3"/>
  <c r="C97" i="3"/>
  <c r="S96" i="3"/>
  <c r="O96" i="3"/>
  <c r="S95" i="3"/>
  <c r="O95" i="3"/>
  <c r="J95" i="3"/>
  <c r="F95" i="3"/>
  <c r="S94" i="3"/>
  <c r="O94" i="3"/>
  <c r="J94" i="3"/>
  <c r="F94" i="3"/>
  <c r="S93" i="3"/>
  <c r="O93" i="3"/>
  <c r="J93" i="3"/>
  <c r="F93" i="3"/>
  <c r="G91" i="3" s="1"/>
  <c r="S92" i="3"/>
  <c r="O92" i="3"/>
  <c r="J92" i="3"/>
  <c r="F92" i="3"/>
  <c r="S91" i="3"/>
  <c r="T92" i="3" s="1"/>
  <c r="P91" i="3"/>
  <c r="C72" i="3"/>
  <c r="C73" i="3" s="1"/>
  <c r="C74" i="3" s="1"/>
  <c r="C75" i="3" s="1"/>
  <c r="C76" i="3" s="1"/>
  <c r="C77" i="3" s="1"/>
  <c r="C63" i="3"/>
  <c r="C62" i="3"/>
  <c r="C61" i="3"/>
  <c r="C60" i="3"/>
  <c r="C59" i="3"/>
  <c r="C58" i="3"/>
  <c r="C57" i="3"/>
  <c r="C56" i="3"/>
  <c r="J55" i="3"/>
  <c r="F55" i="3"/>
  <c r="C55" i="3"/>
  <c r="J54" i="3"/>
  <c r="F54" i="3"/>
  <c r="C54" i="3"/>
  <c r="J53" i="3"/>
  <c r="F53" i="3"/>
  <c r="C53" i="3"/>
  <c r="C52" i="3"/>
  <c r="J51" i="3"/>
  <c r="F51" i="3"/>
  <c r="C51" i="3"/>
  <c r="J50" i="3"/>
  <c r="F50" i="3"/>
  <c r="C50" i="3"/>
  <c r="J49" i="3"/>
  <c r="D14" i="5" s="1"/>
  <c r="F49" i="3"/>
  <c r="C49" i="3"/>
  <c r="C48" i="3"/>
  <c r="J47" i="3"/>
  <c r="F47" i="3"/>
  <c r="C47" i="3"/>
  <c r="J46" i="3"/>
  <c r="F46" i="3"/>
  <c r="C46" i="3"/>
  <c r="J45" i="3"/>
  <c r="F45" i="3"/>
  <c r="C45" i="3"/>
  <c r="J44" i="3"/>
  <c r="F44" i="3"/>
  <c r="C44" i="3"/>
  <c r="C43" i="3"/>
  <c r="C42" i="3"/>
  <c r="J41" i="3"/>
  <c r="F41" i="3"/>
  <c r="C41" i="3"/>
  <c r="J40" i="3"/>
  <c r="D12" i="5" s="1"/>
  <c r="F40" i="3"/>
  <c r="C40" i="3"/>
  <c r="C39" i="3"/>
  <c r="J38" i="3"/>
  <c r="C38" i="3"/>
  <c r="J37" i="3"/>
  <c r="F37" i="3"/>
  <c r="C37" i="3"/>
  <c r="J36" i="3"/>
  <c r="F36" i="3"/>
  <c r="C36" i="3"/>
  <c r="C35" i="3"/>
  <c r="J34" i="3"/>
  <c r="F34" i="3"/>
  <c r="C34" i="3"/>
  <c r="J33" i="3"/>
  <c r="F33" i="3"/>
  <c r="C33" i="3"/>
  <c r="J32" i="3"/>
  <c r="D10" i="5" s="1"/>
  <c r="F32" i="3"/>
  <c r="C32" i="3"/>
  <c r="C31" i="3"/>
  <c r="J30" i="3"/>
  <c r="F30" i="3"/>
  <c r="C30" i="3"/>
  <c r="J29" i="3"/>
  <c r="F29" i="3"/>
  <c r="C29" i="3"/>
  <c r="J28" i="3"/>
  <c r="F28" i="3"/>
  <c r="C28" i="3"/>
  <c r="C27" i="3"/>
  <c r="J26" i="3"/>
  <c r="F26" i="3"/>
  <c r="C26" i="3"/>
  <c r="C25" i="3"/>
  <c r="C23" i="3"/>
  <c r="D20" i="3"/>
  <c r="J20" i="3" s="1"/>
  <c r="C19" i="3"/>
  <c r="J18" i="3"/>
  <c r="F18" i="3"/>
  <c r="C18" i="3"/>
  <c r="J17" i="3"/>
  <c r="F17" i="3"/>
  <c r="C17" i="3"/>
  <c r="J16" i="3"/>
  <c r="F16" i="3"/>
  <c r="C16" i="3"/>
  <c r="C15" i="3"/>
  <c r="J14" i="3"/>
  <c r="F14" i="3"/>
  <c r="C14" i="5" s="1"/>
  <c r="C14" i="3"/>
  <c r="O13" i="3"/>
  <c r="J13" i="3"/>
  <c r="F13" i="3"/>
  <c r="C13" i="5" s="1"/>
  <c r="C13" i="3"/>
  <c r="O12" i="3"/>
  <c r="J12" i="3"/>
  <c r="D5" i="5" s="1"/>
  <c r="F12" i="3"/>
  <c r="C12" i="5" s="1"/>
  <c r="C12" i="3"/>
  <c r="O11" i="3"/>
  <c r="C11" i="3"/>
  <c r="O10" i="3"/>
  <c r="J10" i="3"/>
  <c r="F10" i="3"/>
  <c r="C10" i="5" s="1"/>
  <c r="C10" i="3"/>
  <c r="O9" i="3"/>
  <c r="J9" i="3"/>
  <c r="F9" i="3"/>
  <c r="C9" i="5" s="1"/>
  <c r="C9" i="3"/>
  <c r="O8" i="3"/>
  <c r="J8" i="3"/>
  <c r="D4" i="5" s="1"/>
  <c r="F8" i="3"/>
  <c r="C8" i="5" s="1"/>
  <c r="C8" i="3"/>
  <c r="S7" i="3"/>
  <c r="O7" i="3"/>
  <c r="S6" i="3"/>
  <c r="O6" i="3"/>
  <c r="J6" i="3"/>
  <c r="F6" i="3"/>
  <c r="C6" i="5" s="1"/>
  <c r="S5" i="3"/>
  <c r="O5" i="3"/>
  <c r="J5" i="3"/>
  <c r="F5" i="3"/>
  <c r="C5" i="5" s="1"/>
  <c r="S4" i="3"/>
  <c r="O4" i="3"/>
  <c r="J4" i="3"/>
  <c r="F4" i="3"/>
  <c r="C4" i="5" s="1"/>
  <c r="T3" i="3"/>
  <c r="T10" i="3" s="1"/>
  <c r="S3" i="3"/>
  <c r="Q3" i="3"/>
  <c r="O3" i="3"/>
  <c r="P2" i="3" s="1"/>
  <c r="J3" i="3"/>
  <c r="F3" i="3"/>
  <c r="C3" i="5" s="1"/>
  <c r="U2" i="3"/>
  <c r="S2" i="3"/>
  <c r="L2" i="3"/>
  <c r="J2" i="3"/>
  <c r="G2" i="3"/>
  <c r="C964" i="2"/>
  <c r="C963" i="2"/>
  <c r="C962" i="2"/>
  <c r="C961" i="2"/>
  <c r="C960" i="2"/>
  <c r="C959" i="2"/>
  <c r="C958" i="2"/>
  <c r="J957" i="2"/>
  <c r="F957" i="2"/>
  <c r="C957" i="2"/>
  <c r="J956" i="2"/>
  <c r="F956" i="2"/>
  <c r="C956" i="2"/>
  <c r="J955" i="2"/>
  <c r="C955" i="2"/>
  <c r="C954" i="2"/>
  <c r="J953" i="2"/>
  <c r="F953" i="2"/>
  <c r="C953" i="2"/>
  <c r="J952" i="2"/>
  <c r="F952" i="2"/>
  <c r="C952" i="2"/>
  <c r="J951" i="2"/>
  <c r="F951" i="2"/>
  <c r="C951" i="2"/>
  <c r="C950" i="2"/>
  <c r="J949" i="2"/>
  <c r="F949" i="2"/>
  <c r="C949" i="2"/>
  <c r="J948" i="2"/>
  <c r="F948" i="2"/>
  <c r="C948" i="2"/>
  <c r="J947" i="2"/>
  <c r="F947" i="2"/>
  <c r="C947" i="2"/>
  <c r="C946" i="2"/>
  <c r="J945" i="2"/>
  <c r="F945" i="2"/>
  <c r="C945" i="2"/>
  <c r="C944" i="2"/>
  <c r="J943" i="2"/>
  <c r="F943" i="2"/>
  <c r="C943" i="2"/>
  <c r="J942" i="2"/>
  <c r="F942" i="2"/>
  <c r="C942" i="2"/>
  <c r="C941" i="2"/>
  <c r="J940" i="2"/>
  <c r="F940" i="2"/>
  <c r="C940" i="2"/>
  <c r="J939" i="2"/>
  <c r="F939" i="2"/>
  <c r="C939" i="2"/>
  <c r="J938" i="2"/>
  <c r="F938" i="2"/>
  <c r="C938" i="2"/>
  <c r="C937" i="2"/>
  <c r="J936" i="2"/>
  <c r="F936" i="2"/>
  <c r="C936" i="2"/>
  <c r="J935" i="2"/>
  <c r="F935" i="2"/>
  <c r="C935" i="2"/>
  <c r="J934" i="2"/>
  <c r="F934" i="2"/>
  <c r="C934" i="2"/>
  <c r="C933" i="2"/>
  <c r="J932" i="2"/>
  <c r="F932" i="2"/>
  <c r="C932" i="2"/>
  <c r="J931" i="2"/>
  <c r="F931" i="2"/>
  <c r="C931" i="2"/>
  <c r="J930" i="2"/>
  <c r="F930" i="2"/>
  <c r="C930" i="2"/>
  <c r="C929" i="2"/>
  <c r="J928" i="2"/>
  <c r="F928" i="2"/>
  <c r="C928" i="2"/>
  <c r="C927" i="2"/>
  <c r="C925" i="2"/>
  <c r="D924" i="2"/>
  <c r="J924" i="2" s="1"/>
  <c r="C924" i="2"/>
  <c r="D923" i="2"/>
  <c r="F923" i="2" s="1"/>
  <c r="C923" i="2"/>
  <c r="J922" i="2"/>
  <c r="D922" i="2"/>
  <c r="F922" i="2" s="1"/>
  <c r="C922" i="2"/>
  <c r="C921" i="2"/>
  <c r="J920" i="2"/>
  <c r="F920" i="2"/>
  <c r="C920" i="2"/>
  <c r="J919" i="2"/>
  <c r="F919" i="2"/>
  <c r="C919" i="2"/>
  <c r="J918" i="2"/>
  <c r="F918" i="2"/>
  <c r="C918" i="2"/>
  <c r="C917" i="2"/>
  <c r="J916" i="2"/>
  <c r="F916" i="2"/>
  <c r="C916" i="2"/>
  <c r="O915" i="2"/>
  <c r="J915" i="2"/>
  <c r="F915" i="2"/>
  <c r="C915" i="2"/>
  <c r="O914" i="2"/>
  <c r="J914" i="2"/>
  <c r="F914" i="2"/>
  <c r="C914" i="2"/>
  <c r="O913" i="2"/>
  <c r="J913" i="2"/>
  <c r="F913" i="2"/>
  <c r="C913" i="2"/>
  <c r="O912" i="2"/>
  <c r="J912" i="2"/>
  <c r="C912" i="2"/>
  <c r="O911" i="2"/>
  <c r="J911" i="2"/>
  <c r="F911" i="2"/>
  <c r="C911" i="2"/>
  <c r="S910" i="2"/>
  <c r="O910" i="2"/>
  <c r="S909" i="2"/>
  <c r="O909" i="2"/>
  <c r="J909" i="2"/>
  <c r="F909" i="2"/>
  <c r="S908" i="2"/>
  <c r="O908" i="2"/>
  <c r="J908" i="2"/>
  <c r="F908" i="2"/>
  <c r="S907" i="2"/>
  <c r="O907" i="2"/>
  <c r="P905" i="2" s="1"/>
  <c r="J907" i="2"/>
  <c r="F907" i="2"/>
  <c r="S906" i="2"/>
  <c r="T906" i="2" s="1"/>
  <c r="T908" i="2" s="1"/>
  <c r="O906" i="2"/>
  <c r="J906" i="2"/>
  <c r="F906" i="2"/>
  <c r="G905" i="2" s="1"/>
  <c r="S905" i="2"/>
  <c r="C871" i="2"/>
  <c r="C870" i="2"/>
  <c r="C869" i="2"/>
  <c r="C868" i="2"/>
  <c r="C867" i="2"/>
  <c r="C866" i="2"/>
  <c r="C865" i="2"/>
  <c r="J864" i="2"/>
  <c r="F864" i="2"/>
  <c r="C864" i="2"/>
  <c r="J863" i="2"/>
  <c r="F863" i="2"/>
  <c r="C863" i="2"/>
  <c r="F862" i="2"/>
  <c r="C862" i="2"/>
  <c r="C861" i="2"/>
  <c r="J860" i="2"/>
  <c r="F860" i="2"/>
  <c r="C860" i="2"/>
  <c r="J859" i="2"/>
  <c r="F859" i="2"/>
  <c r="C859" i="2"/>
  <c r="J858" i="2"/>
  <c r="F858" i="2"/>
  <c r="C858" i="2"/>
  <c r="C857" i="2"/>
  <c r="J856" i="2"/>
  <c r="F856" i="2"/>
  <c r="C856" i="2"/>
  <c r="J855" i="2"/>
  <c r="F855" i="2"/>
  <c r="C855" i="2"/>
  <c r="J854" i="2"/>
  <c r="F854" i="2"/>
  <c r="C854" i="2"/>
  <c r="C853" i="2"/>
  <c r="J852" i="2"/>
  <c r="F852" i="2"/>
  <c r="C852" i="2"/>
  <c r="C851" i="2"/>
  <c r="J850" i="2"/>
  <c r="F850" i="2"/>
  <c r="C850" i="2"/>
  <c r="J849" i="2"/>
  <c r="F849" i="2"/>
  <c r="C849" i="2"/>
  <c r="C848" i="2"/>
  <c r="J847" i="2"/>
  <c r="F847" i="2"/>
  <c r="C847" i="2"/>
  <c r="J846" i="2"/>
  <c r="F846" i="2"/>
  <c r="C846" i="2"/>
  <c r="J845" i="2"/>
  <c r="F845" i="2"/>
  <c r="C845" i="2"/>
  <c r="C844" i="2"/>
  <c r="J843" i="2"/>
  <c r="F843" i="2"/>
  <c r="C843" i="2"/>
  <c r="J842" i="2"/>
  <c r="F842" i="2"/>
  <c r="C842" i="2"/>
  <c r="J841" i="2"/>
  <c r="F841" i="2"/>
  <c r="C841" i="2"/>
  <c r="C840" i="2"/>
  <c r="J839" i="2"/>
  <c r="F839" i="2"/>
  <c r="C839" i="2"/>
  <c r="J838" i="2"/>
  <c r="F838" i="2"/>
  <c r="C838" i="2"/>
  <c r="J837" i="2"/>
  <c r="F837" i="2"/>
  <c r="C837" i="2"/>
  <c r="C836" i="2"/>
  <c r="J835" i="2"/>
  <c r="F835" i="2"/>
  <c r="C835" i="2"/>
  <c r="C834" i="2"/>
  <c r="C832" i="2"/>
  <c r="J829" i="2"/>
  <c r="F829" i="2"/>
  <c r="D829" i="2"/>
  <c r="D830" i="2" s="1"/>
  <c r="C829" i="2"/>
  <c r="C828" i="2"/>
  <c r="J827" i="2"/>
  <c r="F827" i="2"/>
  <c r="C827" i="2"/>
  <c r="J826" i="2"/>
  <c r="F826" i="2"/>
  <c r="C826" i="2"/>
  <c r="J825" i="2"/>
  <c r="F825" i="2"/>
  <c r="C825" i="2"/>
  <c r="F824" i="2"/>
  <c r="C824" i="2"/>
  <c r="O823" i="2"/>
  <c r="J823" i="2"/>
  <c r="F823" i="2"/>
  <c r="C823" i="2"/>
  <c r="O822" i="2"/>
  <c r="J822" i="2"/>
  <c r="F822" i="2"/>
  <c r="C822" i="2"/>
  <c r="O821" i="2"/>
  <c r="J821" i="2"/>
  <c r="F821" i="2"/>
  <c r="C821" i="2"/>
  <c r="O820" i="2"/>
  <c r="J820" i="2"/>
  <c r="F820" i="2"/>
  <c r="C820" i="2"/>
  <c r="S819" i="2"/>
  <c r="O819" i="2"/>
  <c r="J819" i="2"/>
  <c r="F819" i="2"/>
  <c r="C819" i="2"/>
  <c r="S818" i="2"/>
  <c r="O818" i="2"/>
  <c r="J818" i="2"/>
  <c r="F818" i="2"/>
  <c r="C818" i="2"/>
  <c r="S817" i="2"/>
  <c r="O817" i="2"/>
  <c r="S816" i="2"/>
  <c r="O816" i="2"/>
  <c r="J816" i="2"/>
  <c r="F816" i="2"/>
  <c r="S815" i="2"/>
  <c r="O815" i="2"/>
  <c r="J815" i="2"/>
  <c r="F815" i="2"/>
  <c r="S814" i="2"/>
  <c r="O814" i="2"/>
  <c r="P812" i="2" s="1"/>
  <c r="J814" i="2"/>
  <c r="F814" i="2"/>
  <c r="S813" i="2"/>
  <c r="T813" i="2" s="1"/>
  <c r="U812" i="2" s="1"/>
  <c r="O813" i="2"/>
  <c r="J813" i="2"/>
  <c r="F813" i="2"/>
  <c r="S812" i="2"/>
  <c r="G812" i="2"/>
  <c r="C795" i="2"/>
  <c r="C796" i="2" s="1"/>
  <c r="C797" i="2" s="1"/>
  <c r="C798" i="2" s="1"/>
  <c r="C794" i="2"/>
  <c r="C761" i="2"/>
  <c r="C760" i="2"/>
  <c r="C759" i="2"/>
  <c r="C758" i="2"/>
  <c r="C757" i="2"/>
  <c r="C756" i="2"/>
  <c r="C755" i="2"/>
  <c r="J754" i="2"/>
  <c r="F754" i="2"/>
  <c r="C754" i="2"/>
  <c r="J753" i="2"/>
  <c r="F753" i="2"/>
  <c r="C753" i="2"/>
  <c r="J752" i="2"/>
  <c r="F752" i="2"/>
  <c r="C752" i="2"/>
  <c r="C751" i="2"/>
  <c r="J750" i="2"/>
  <c r="F750" i="2"/>
  <c r="C750" i="2"/>
  <c r="J749" i="2"/>
  <c r="F749" i="2"/>
  <c r="C749" i="2"/>
  <c r="J748" i="2"/>
  <c r="F748" i="2"/>
  <c r="C748" i="2"/>
  <c r="C747" i="2"/>
  <c r="J746" i="2"/>
  <c r="F746" i="2"/>
  <c r="C746" i="2"/>
  <c r="J745" i="2"/>
  <c r="F745" i="2"/>
  <c r="C745" i="2"/>
  <c r="J744" i="2"/>
  <c r="F744" i="2"/>
  <c r="C744" i="2"/>
  <c r="C743" i="2"/>
  <c r="J742" i="2"/>
  <c r="F742" i="2"/>
  <c r="C742" i="2"/>
  <c r="C741" i="2"/>
  <c r="J740" i="2"/>
  <c r="F740" i="2"/>
  <c r="C740" i="2"/>
  <c r="J739" i="2"/>
  <c r="F739" i="2"/>
  <c r="C739" i="2"/>
  <c r="C738" i="2"/>
  <c r="J737" i="2"/>
  <c r="F737" i="2"/>
  <c r="C737" i="2"/>
  <c r="J736" i="2"/>
  <c r="F736" i="2"/>
  <c r="C736" i="2"/>
  <c r="J735" i="2"/>
  <c r="F735" i="2"/>
  <c r="C735" i="2"/>
  <c r="C734" i="2"/>
  <c r="J733" i="2"/>
  <c r="F733" i="2"/>
  <c r="C733" i="2"/>
  <c r="J732" i="2"/>
  <c r="F732" i="2"/>
  <c r="C732" i="2"/>
  <c r="J731" i="2"/>
  <c r="F731" i="2"/>
  <c r="C731" i="2"/>
  <c r="C730" i="2"/>
  <c r="J729" i="2"/>
  <c r="F729" i="2"/>
  <c r="C729" i="2"/>
  <c r="J728" i="2"/>
  <c r="F728" i="2"/>
  <c r="C728" i="2"/>
  <c r="J727" i="2"/>
  <c r="F727" i="2"/>
  <c r="C727" i="2"/>
  <c r="C726" i="2"/>
  <c r="J725" i="2"/>
  <c r="F725" i="2"/>
  <c r="C725" i="2"/>
  <c r="C724" i="2"/>
  <c r="C722" i="2"/>
  <c r="F719" i="2"/>
  <c r="D719" i="2"/>
  <c r="D720" i="2" s="1"/>
  <c r="C718" i="2"/>
  <c r="J717" i="2"/>
  <c r="F717" i="2"/>
  <c r="C717" i="2"/>
  <c r="J716" i="2"/>
  <c r="F716" i="2"/>
  <c r="C716" i="2"/>
  <c r="J715" i="2"/>
  <c r="F715" i="2"/>
  <c r="C715" i="2"/>
  <c r="C714" i="2"/>
  <c r="J713" i="2"/>
  <c r="F713" i="2"/>
  <c r="C713" i="2"/>
  <c r="O712" i="2"/>
  <c r="J712" i="2"/>
  <c r="F712" i="2"/>
  <c r="C712" i="2"/>
  <c r="O711" i="2"/>
  <c r="J711" i="2"/>
  <c r="F711" i="2"/>
  <c r="C711" i="2"/>
  <c r="O710" i="2"/>
  <c r="J710" i="2"/>
  <c r="F710" i="2"/>
  <c r="C710" i="2"/>
  <c r="O709" i="2"/>
  <c r="J709" i="2"/>
  <c r="F709" i="2"/>
  <c r="C709" i="2"/>
  <c r="O708" i="2"/>
  <c r="J708" i="2"/>
  <c r="F708" i="2"/>
  <c r="C708" i="2"/>
  <c r="S707" i="2"/>
  <c r="O707" i="2"/>
  <c r="S706" i="2"/>
  <c r="O706" i="2"/>
  <c r="J706" i="2"/>
  <c r="F706" i="2"/>
  <c r="S705" i="2"/>
  <c r="O705" i="2"/>
  <c r="J705" i="2"/>
  <c r="F705" i="2"/>
  <c r="S704" i="2"/>
  <c r="O704" i="2"/>
  <c r="J704" i="2"/>
  <c r="F704" i="2"/>
  <c r="S703" i="2"/>
  <c r="O703" i="2"/>
  <c r="P702" i="2" s="1"/>
  <c r="J703" i="2"/>
  <c r="F703" i="2"/>
  <c r="S702" i="2"/>
  <c r="T702" i="2" s="1"/>
  <c r="C685" i="2"/>
  <c r="C686" i="2" s="1"/>
  <c r="C684" i="2"/>
  <c r="C683" i="2"/>
  <c r="C682" i="2"/>
  <c r="C649" i="2"/>
  <c r="C648" i="2"/>
  <c r="C647" i="2"/>
  <c r="C646" i="2"/>
  <c r="C645" i="2"/>
  <c r="C644" i="2"/>
  <c r="C643" i="2"/>
  <c r="J642" i="2"/>
  <c r="F642" i="2"/>
  <c r="C642" i="2"/>
  <c r="J641" i="2"/>
  <c r="F641" i="2"/>
  <c r="C641" i="2"/>
  <c r="F640" i="2"/>
  <c r="C640" i="2"/>
  <c r="C639" i="2"/>
  <c r="J638" i="2"/>
  <c r="F638" i="2"/>
  <c r="C638" i="2"/>
  <c r="J637" i="2"/>
  <c r="F637" i="2"/>
  <c r="C637" i="2"/>
  <c r="J636" i="2"/>
  <c r="F636" i="2"/>
  <c r="C636" i="2"/>
  <c r="C635" i="2"/>
  <c r="J634" i="2"/>
  <c r="F634" i="2"/>
  <c r="C634" i="2"/>
  <c r="J633" i="2"/>
  <c r="F633" i="2"/>
  <c r="C633" i="2"/>
  <c r="J632" i="2"/>
  <c r="F632" i="2"/>
  <c r="C632" i="2"/>
  <c r="C631" i="2"/>
  <c r="J630" i="2"/>
  <c r="F630" i="2"/>
  <c r="C630" i="2"/>
  <c r="C629" i="2"/>
  <c r="J628" i="2"/>
  <c r="F628" i="2"/>
  <c r="C628" i="2"/>
  <c r="J627" i="2"/>
  <c r="F627" i="2"/>
  <c r="C627" i="2"/>
  <c r="C626" i="2"/>
  <c r="F625" i="2"/>
  <c r="C625" i="2"/>
  <c r="J624" i="2"/>
  <c r="F624" i="2"/>
  <c r="C624" i="2"/>
  <c r="J623" i="2"/>
  <c r="F623" i="2"/>
  <c r="C623" i="2"/>
  <c r="C622" i="2"/>
  <c r="J621" i="2"/>
  <c r="F621" i="2"/>
  <c r="C621" i="2"/>
  <c r="J620" i="2"/>
  <c r="F620" i="2"/>
  <c r="C620" i="2"/>
  <c r="J619" i="2"/>
  <c r="F619" i="2"/>
  <c r="C619" i="2"/>
  <c r="C618" i="2"/>
  <c r="J617" i="2"/>
  <c r="F617" i="2"/>
  <c r="C617" i="2"/>
  <c r="J616" i="2"/>
  <c r="F616" i="2"/>
  <c r="C616" i="2"/>
  <c r="J615" i="2"/>
  <c r="F615" i="2"/>
  <c r="C615" i="2"/>
  <c r="C614" i="2"/>
  <c r="J613" i="2"/>
  <c r="F613" i="2"/>
  <c r="C613" i="2"/>
  <c r="C612" i="2"/>
  <c r="C610" i="2"/>
  <c r="F607" i="2"/>
  <c r="D607" i="2"/>
  <c r="D608" i="2" s="1"/>
  <c r="C606" i="2"/>
  <c r="J605" i="2"/>
  <c r="F605" i="2"/>
  <c r="C605" i="2"/>
  <c r="J604" i="2"/>
  <c r="F604" i="2"/>
  <c r="C604" i="2"/>
  <c r="J603" i="2"/>
  <c r="F603" i="2"/>
  <c r="C603" i="2"/>
  <c r="C602" i="2"/>
  <c r="J601" i="2"/>
  <c r="F601" i="2"/>
  <c r="C601" i="2"/>
  <c r="O600" i="2"/>
  <c r="J600" i="2"/>
  <c r="F600" i="2"/>
  <c r="C600" i="2"/>
  <c r="O599" i="2"/>
  <c r="J599" i="2"/>
  <c r="F599" i="2"/>
  <c r="C599" i="2"/>
  <c r="O598" i="2"/>
  <c r="J598" i="2"/>
  <c r="F598" i="2"/>
  <c r="C598" i="2"/>
  <c r="O597" i="2"/>
  <c r="J597" i="2"/>
  <c r="F597" i="2"/>
  <c r="C597" i="2"/>
  <c r="O596" i="2"/>
  <c r="J596" i="2"/>
  <c r="F596" i="2"/>
  <c r="C596" i="2"/>
  <c r="O595" i="2"/>
  <c r="S594" i="2"/>
  <c r="O594" i="2"/>
  <c r="J594" i="2"/>
  <c r="F594" i="2"/>
  <c r="S593" i="2"/>
  <c r="O593" i="2"/>
  <c r="J593" i="2"/>
  <c r="F593" i="2"/>
  <c r="S592" i="2"/>
  <c r="O592" i="2"/>
  <c r="J592" i="2"/>
  <c r="F592" i="2"/>
  <c r="S591" i="2"/>
  <c r="O591" i="2"/>
  <c r="J591" i="2"/>
  <c r="F591" i="2"/>
  <c r="S590" i="2"/>
  <c r="T590" i="2" s="1"/>
  <c r="P590" i="2"/>
  <c r="G590" i="2"/>
  <c r="C576" i="2"/>
  <c r="C577" i="2" s="1"/>
  <c r="C578" i="2" s="1"/>
  <c r="C575" i="2"/>
  <c r="C574" i="2"/>
  <c r="C541" i="2"/>
  <c r="C540" i="2"/>
  <c r="C539" i="2"/>
  <c r="C538" i="2"/>
  <c r="C537" i="2"/>
  <c r="C536" i="2"/>
  <c r="C535" i="2"/>
  <c r="J534" i="2"/>
  <c r="F534" i="2"/>
  <c r="C534" i="2"/>
  <c r="J533" i="2"/>
  <c r="F533" i="2"/>
  <c r="C533" i="2"/>
  <c r="J532" i="2"/>
  <c r="F532" i="2"/>
  <c r="C532" i="2"/>
  <c r="C531" i="2"/>
  <c r="J530" i="2"/>
  <c r="F530" i="2"/>
  <c r="C530" i="2"/>
  <c r="J529" i="2"/>
  <c r="F529" i="2"/>
  <c r="C529" i="2"/>
  <c r="J528" i="2"/>
  <c r="F528" i="2"/>
  <c r="C528" i="2"/>
  <c r="C527" i="2"/>
  <c r="J526" i="2"/>
  <c r="F526" i="2"/>
  <c r="C526" i="2"/>
  <c r="J525" i="2"/>
  <c r="F525" i="2"/>
  <c r="C525" i="2"/>
  <c r="J524" i="2"/>
  <c r="F524" i="2"/>
  <c r="C524" i="2"/>
  <c r="C523" i="2"/>
  <c r="J522" i="2"/>
  <c r="F522" i="2"/>
  <c r="C522" i="2"/>
  <c r="C521" i="2"/>
  <c r="J520" i="2"/>
  <c r="F520" i="2"/>
  <c r="C520" i="2"/>
  <c r="J519" i="2"/>
  <c r="F519" i="2"/>
  <c r="C519" i="2"/>
  <c r="C518" i="2"/>
  <c r="J517" i="2"/>
  <c r="F517" i="2"/>
  <c r="C517" i="2"/>
  <c r="J516" i="2"/>
  <c r="F516" i="2"/>
  <c r="C516" i="2"/>
  <c r="J515" i="2"/>
  <c r="F515" i="2"/>
  <c r="C515" i="2"/>
  <c r="C514" i="2"/>
  <c r="J513" i="2"/>
  <c r="C513" i="2"/>
  <c r="J512" i="2"/>
  <c r="F512" i="2"/>
  <c r="C512" i="2"/>
  <c r="J511" i="2"/>
  <c r="F511" i="2"/>
  <c r="C511" i="2"/>
  <c r="C510" i="2"/>
  <c r="J509" i="2"/>
  <c r="F509" i="2"/>
  <c r="C509" i="2"/>
  <c r="J508" i="2"/>
  <c r="F508" i="2"/>
  <c r="C508" i="2"/>
  <c r="J507" i="2"/>
  <c r="F507" i="2"/>
  <c r="C507" i="2"/>
  <c r="C506" i="2"/>
  <c r="J505" i="2"/>
  <c r="F505" i="2"/>
  <c r="C505" i="2"/>
  <c r="C504" i="2"/>
  <c r="C502" i="2"/>
  <c r="F499" i="2"/>
  <c r="D499" i="2"/>
  <c r="D500" i="2" s="1"/>
  <c r="C498" i="2"/>
  <c r="J497" i="2"/>
  <c r="F497" i="2"/>
  <c r="C497" i="2"/>
  <c r="J496" i="2"/>
  <c r="F496" i="2"/>
  <c r="C496" i="2"/>
  <c r="J495" i="2"/>
  <c r="F495" i="2"/>
  <c r="C495" i="2"/>
  <c r="C494" i="2"/>
  <c r="J493" i="2"/>
  <c r="F493" i="2"/>
  <c r="C493" i="2"/>
  <c r="O492" i="2"/>
  <c r="J492" i="2"/>
  <c r="F492" i="2"/>
  <c r="C492" i="2"/>
  <c r="O491" i="2"/>
  <c r="J491" i="2"/>
  <c r="F491" i="2"/>
  <c r="C491" i="2"/>
  <c r="O490" i="2"/>
  <c r="J490" i="2"/>
  <c r="F490" i="2"/>
  <c r="C490" i="2"/>
  <c r="O489" i="2"/>
  <c r="J489" i="2"/>
  <c r="F489" i="2"/>
  <c r="C489" i="2"/>
  <c r="O488" i="2"/>
  <c r="J488" i="2"/>
  <c r="F488" i="2"/>
  <c r="C488" i="2"/>
  <c r="O487" i="2"/>
  <c r="S486" i="2"/>
  <c r="O486" i="2"/>
  <c r="J486" i="2"/>
  <c r="F486" i="2"/>
  <c r="S485" i="2"/>
  <c r="O485" i="2"/>
  <c r="J485" i="2"/>
  <c r="F485" i="2"/>
  <c r="S484" i="2"/>
  <c r="O484" i="2"/>
  <c r="J484" i="2"/>
  <c r="F484" i="2"/>
  <c r="S483" i="2"/>
  <c r="O483" i="2"/>
  <c r="J483" i="2"/>
  <c r="F483" i="2"/>
  <c r="S482" i="2"/>
  <c r="T482" i="2" s="1"/>
  <c r="P482" i="2"/>
  <c r="G482" i="2"/>
  <c r="C467" i="2"/>
  <c r="C468" i="2" s="1"/>
  <c r="C469" i="2" s="1"/>
  <c r="C466" i="2"/>
  <c r="C465" i="2"/>
  <c r="C432" i="2"/>
  <c r="C431" i="2"/>
  <c r="C430" i="2"/>
  <c r="C429" i="2"/>
  <c r="C428" i="2"/>
  <c r="C427" i="2"/>
  <c r="C426" i="2"/>
  <c r="J425" i="2"/>
  <c r="F425" i="2"/>
  <c r="C425" i="2"/>
  <c r="J424" i="2"/>
  <c r="F424" i="2"/>
  <c r="C424" i="2"/>
  <c r="J423" i="2"/>
  <c r="F423" i="2"/>
  <c r="C423" i="2"/>
  <c r="C422" i="2"/>
  <c r="J421" i="2"/>
  <c r="F421" i="2"/>
  <c r="C421" i="2"/>
  <c r="J420" i="2"/>
  <c r="F420" i="2"/>
  <c r="C420" i="2"/>
  <c r="J419" i="2"/>
  <c r="F419" i="2"/>
  <c r="C419" i="2"/>
  <c r="C418" i="2"/>
  <c r="J417" i="2"/>
  <c r="F417" i="2"/>
  <c r="C417" i="2"/>
  <c r="J416" i="2"/>
  <c r="F416" i="2"/>
  <c r="C416" i="2"/>
  <c r="J415" i="2"/>
  <c r="F415" i="2"/>
  <c r="C415" i="2"/>
  <c r="C414" i="2"/>
  <c r="J413" i="2"/>
  <c r="F413" i="2"/>
  <c r="C413" i="2"/>
  <c r="C412" i="2"/>
  <c r="J411" i="2"/>
  <c r="F411" i="2"/>
  <c r="C411" i="2"/>
  <c r="J410" i="2"/>
  <c r="F410" i="2"/>
  <c r="C410" i="2"/>
  <c r="C409" i="2"/>
  <c r="F408" i="2"/>
  <c r="C408" i="2"/>
  <c r="J407" i="2"/>
  <c r="F407" i="2"/>
  <c r="C407" i="2"/>
  <c r="J406" i="2"/>
  <c r="F406" i="2"/>
  <c r="C406" i="2"/>
  <c r="C405" i="2"/>
  <c r="J404" i="2"/>
  <c r="F404" i="2"/>
  <c r="C404" i="2"/>
  <c r="J403" i="2"/>
  <c r="F403" i="2"/>
  <c r="C403" i="2"/>
  <c r="J402" i="2"/>
  <c r="F402" i="2"/>
  <c r="C402" i="2"/>
  <c r="C401" i="2"/>
  <c r="J400" i="2"/>
  <c r="F400" i="2"/>
  <c r="C400" i="2"/>
  <c r="J399" i="2"/>
  <c r="F399" i="2"/>
  <c r="C399" i="2"/>
  <c r="J398" i="2"/>
  <c r="F398" i="2"/>
  <c r="C398" i="2"/>
  <c r="C397" i="2"/>
  <c r="J396" i="2"/>
  <c r="F396" i="2"/>
  <c r="C396" i="2"/>
  <c r="C395" i="2"/>
  <c r="C393" i="2"/>
  <c r="D390" i="2"/>
  <c r="D391" i="2" s="1"/>
  <c r="C389" i="2"/>
  <c r="J388" i="2"/>
  <c r="F388" i="2"/>
  <c r="C388" i="2"/>
  <c r="J387" i="2"/>
  <c r="F387" i="2"/>
  <c r="C387" i="2"/>
  <c r="J386" i="2"/>
  <c r="F386" i="2"/>
  <c r="C386" i="2"/>
  <c r="C385" i="2"/>
  <c r="O384" i="2"/>
  <c r="J384" i="2"/>
  <c r="F384" i="2"/>
  <c r="C384" i="2"/>
  <c r="O383" i="2"/>
  <c r="J383" i="2"/>
  <c r="F383" i="2"/>
  <c r="C383" i="2"/>
  <c r="O382" i="2"/>
  <c r="J382" i="2"/>
  <c r="F382" i="2"/>
  <c r="C382" i="2"/>
  <c r="O381" i="2"/>
  <c r="J381" i="2"/>
  <c r="F381" i="2"/>
  <c r="C381" i="2"/>
  <c r="O380" i="2"/>
  <c r="J380" i="2"/>
  <c r="F380" i="2"/>
  <c r="C380" i="2"/>
  <c r="O379" i="2"/>
  <c r="J379" i="2"/>
  <c r="F379" i="2"/>
  <c r="C379" i="2"/>
  <c r="S378" i="2"/>
  <c r="O378" i="2"/>
  <c r="S377" i="2"/>
  <c r="O377" i="2"/>
  <c r="J377" i="2"/>
  <c r="F377" i="2"/>
  <c r="S376" i="2"/>
  <c r="O376" i="2"/>
  <c r="J376" i="2"/>
  <c r="F376" i="2"/>
  <c r="S375" i="2"/>
  <c r="O375" i="2"/>
  <c r="J375" i="2"/>
  <c r="F375" i="2"/>
  <c r="S374" i="2"/>
  <c r="O374" i="2"/>
  <c r="J374" i="2"/>
  <c r="F374" i="2"/>
  <c r="S373" i="2"/>
  <c r="T373" i="2" s="1"/>
  <c r="P373" i="2"/>
  <c r="C339" i="2"/>
  <c r="C338" i="2"/>
  <c r="C337" i="2"/>
  <c r="C336" i="2"/>
  <c r="C335" i="2"/>
  <c r="C334" i="2"/>
  <c r="C333" i="2"/>
  <c r="J332" i="2"/>
  <c r="F332" i="2"/>
  <c r="C332" i="2"/>
  <c r="J331" i="2"/>
  <c r="F331" i="2"/>
  <c r="C331" i="2"/>
  <c r="J330" i="2"/>
  <c r="F330" i="2"/>
  <c r="C330" i="2"/>
  <c r="C329" i="2"/>
  <c r="J328" i="2"/>
  <c r="F328" i="2"/>
  <c r="C328" i="2"/>
  <c r="J327" i="2"/>
  <c r="F327" i="2"/>
  <c r="C327" i="2"/>
  <c r="J326" i="2"/>
  <c r="F326" i="2"/>
  <c r="C326" i="2"/>
  <c r="C325" i="2"/>
  <c r="J324" i="2"/>
  <c r="F324" i="2"/>
  <c r="C324" i="2"/>
  <c r="J323" i="2"/>
  <c r="F323" i="2"/>
  <c r="C323" i="2"/>
  <c r="J322" i="2"/>
  <c r="F322" i="2"/>
  <c r="C322" i="2"/>
  <c r="C321" i="2"/>
  <c r="J320" i="2"/>
  <c r="F320" i="2"/>
  <c r="C320" i="2"/>
  <c r="C319" i="2"/>
  <c r="J318" i="2"/>
  <c r="F318" i="2"/>
  <c r="C318" i="2"/>
  <c r="J317" i="2"/>
  <c r="F317" i="2"/>
  <c r="C317" i="2"/>
  <c r="C316" i="2"/>
  <c r="J315" i="2"/>
  <c r="F315" i="2"/>
  <c r="C315" i="2"/>
  <c r="J314" i="2"/>
  <c r="F314" i="2"/>
  <c r="C314" i="2"/>
  <c r="J313" i="2"/>
  <c r="F313" i="2"/>
  <c r="C313" i="2"/>
  <c r="C312" i="2"/>
  <c r="J311" i="2"/>
  <c r="F311" i="2"/>
  <c r="C311" i="2"/>
  <c r="J310" i="2"/>
  <c r="F310" i="2"/>
  <c r="C310" i="2"/>
  <c r="J309" i="2"/>
  <c r="F309" i="2"/>
  <c r="C309" i="2"/>
  <c r="C308" i="2"/>
  <c r="J307" i="2"/>
  <c r="F307" i="2"/>
  <c r="C307" i="2"/>
  <c r="J306" i="2"/>
  <c r="F306" i="2"/>
  <c r="C306" i="2"/>
  <c r="J305" i="2"/>
  <c r="F305" i="2"/>
  <c r="C305" i="2"/>
  <c r="C304" i="2"/>
  <c r="J303" i="2"/>
  <c r="F303" i="2"/>
  <c r="C303" i="2"/>
  <c r="C302" i="2"/>
  <c r="C300" i="2"/>
  <c r="J297" i="2"/>
  <c r="F297" i="2"/>
  <c r="D297" i="2"/>
  <c r="D298" i="2" s="1"/>
  <c r="C296" i="2"/>
  <c r="J295" i="2"/>
  <c r="F295" i="2"/>
  <c r="C295" i="2"/>
  <c r="J294" i="2"/>
  <c r="F294" i="2"/>
  <c r="C294" i="2"/>
  <c r="J293" i="2"/>
  <c r="F293" i="2"/>
  <c r="C293" i="2"/>
  <c r="F292" i="2"/>
  <c r="C292" i="2"/>
  <c r="O291" i="2"/>
  <c r="J291" i="2"/>
  <c r="F291" i="2"/>
  <c r="C291" i="2"/>
  <c r="O290" i="2"/>
  <c r="J290" i="2"/>
  <c r="F290" i="2"/>
  <c r="C290" i="2"/>
  <c r="O289" i="2"/>
  <c r="J289" i="2"/>
  <c r="F289" i="2"/>
  <c r="C289" i="2"/>
  <c r="O288" i="2"/>
  <c r="J288" i="2"/>
  <c r="F288" i="2"/>
  <c r="C288" i="2"/>
  <c r="O287" i="2"/>
  <c r="J287" i="2"/>
  <c r="F287" i="2"/>
  <c r="C287" i="2"/>
  <c r="O286" i="2"/>
  <c r="J286" i="2"/>
  <c r="F286" i="2"/>
  <c r="C286" i="2"/>
  <c r="S285" i="2"/>
  <c r="O285" i="2"/>
  <c r="S284" i="2"/>
  <c r="O284" i="2"/>
  <c r="J284" i="2"/>
  <c r="F284" i="2"/>
  <c r="S283" i="2"/>
  <c r="O283" i="2"/>
  <c r="J283" i="2"/>
  <c r="F283" i="2"/>
  <c r="S282" i="2"/>
  <c r="O282" i="2"/>
  <c r="J282" i="2"/>
  <c r="F282" i="2"/>
  <c r="S281" i="2"/>
  <c r="O281" i="2"/>
  <c r="J281" i="2"/>
  <c r="F281" i="2"/>
  <c r="G280" i="2" s="1"/>
  <c r="T280" i="2"/>
  <c r="S280" i="2"/>
  <c r="P280" i="2"/>
  <c r="J280" i="2"/>
  <c r="C252" i="2"/>
  <c r="C251" i="2"/>
  <c r="C250" i="2"/>
  <c r="C249" i="2"/>
  <c r="C248" i="2"/>
  <c r="C247" i="2"/>
  <c r="C246" i="2"/>
  <c r="J245" i="2"/>
  <c r="F245" i="2"/>
  <c r="C245" i="2"/>
  <c r="J244" i="2"/>
  <c r="F244" i="2"/>
  <c r="C244" i="2"/>
  <c r="J243" i="2"/>
  <c r="F243" i="2"/>
  <c r="C243" i="2"/>
  <c r="C242" i="2"/>
  <c r="J241" i="2"/>
  <c r="F241" i="2"/>
  <c r="C241" i="2"/>
  <c r="J240" i="2"/>
  <c r="F240" i="2"/>
  <c r="C240" i="2"/>
  <c r="J239" i="2"/>
  <c r="F239" i="2"/>
  <c r="C239" i="2"/>
  <c r="C238" i="2"/>
  <c r="J237" i="2"/>
  <c r="F237" i="2"/>
  <c r="C237" i="2"/>
  <c r="J236" i="2"/>
  <c r="F236" i="2"/>
  <c r="C236" i="2"/>
  <c r="J235" i="2"/>
  <c r="F235" i="2"/>
  <c r="C235" i="2"/>
  <c r="C234" i="2"/>
  <c r="J233" i="2"/>
  <c r="F233" i="2"/>
  <c r="C233" i="2"/>
  <c r="C232" i="2"/>
  <c r="J231" i="2"/>
  <c r="F231" i="2"/>
  <c r="C231" i="2"/>
  <c r="J230" i="2"/>
  <c r="F230" i="2"/>
  <c r="C230" i="2"/>
  <c r="C229" i="2"/>
  <c r="J228" i="2"/>
  <c r="F228" i="2"/>
  <c r="C228" i="2"/>
  <c r="J227" i="2"/>
  <c r="F227" i="2"/>
  <c r="C227" i="2"/>
  <c r="J226" i="2"/>
  <c r="F226" i="2"/>
  <c r="C226" i="2"/>
  <c r="C225" i="2"/>
  <c r="J224" i="2"/>
  <c r="F224" i="2"/>
  <c r="C224" i="2"/>
  <c r="J223" i="2"/>
  <c r="F223" i="2"/>
  <c r="C223" i="2"/>
  <c r="J222" i="2"/>
  <c r="F222" i="2"/>
  <c r="C222" i="2"/>
  <c r="C221" i="2"/>
  <c r="J220" i="2"/>
  <c r="F220" i="2"/>
  <c r="C220" i="2"/>
  <c r="J219" i="2"/>
  <c r="F219" i="2"/>
  <c r="C219" i="2"/>
  <c r="J218" i="2"/>
  <c r="F218" i="2"/>
  <c r="C218" i="2"/>
  <c r="C217" i="2"/>
  <c r="J216" i="2"/>
  <c r="F216" i="2"/>
  <c r="C216" i="2"/>
  <c r="C215" i="2"/>
  <c r="C213" i="2"/>
  <c r="J210" i="2"/>
  <c r="F210" i="2"/>
  <c r="D210" i="2"/>
  <c r="D211" i="2" s="1"/>
  <c r="C209" i="2"/>
  <c r="J208" i="2"/>
  <c r="F208" i="2"/>
  <c r="C208" i="2"/>
  <c r="J207" i="2"/>
  <c r="F207" i="2"/>
  <c r="C207" i="2"/>
  <c r="J206" i="2"/>
  <c r="F206" i="2"/>
  <c r="C206" i="2"/>
  <c r="C205" i="2"/>
  <c r="J204" i="2"/>
  <c r="F204" i="2"/>
  <c r="C204" i="2"/>
  <c r="J203" i="2"/>
  <c r="F203" i="2"/>
  <c r="C203" i="2"/>
  <c r="J202" i="2"/>
  <c r="F202" i="2"/>
  <c r="C202" i="2"/>
  <c r="J201" i="2"/>
  <c r="F201" i="2"/>
  <c r="C201" i="2"/>
  <c r="O200" i="2"/>
  <c r="J200" i="2"/>
  <c r="F200" i="2"/>
  <c r="C200" i="2"/>
  <c r="O199" i="2"/>
  <c r="J199" i="2"/>
  <c r="F199" i="2"/>
  <c r="C199" i="2"/>
  <c r="S198" i="2"/>
  <c r="O198" i="2"/>
  <c r="S197" i="2"/>
  <c r="O197" i="2"/>
  <c r="J197" i="2"/>
  <c r="F197" i="2"/>
  <c r="S196" i="2"/>
  <c r="O196" i="2"/>
  <c r="J196" i="2"/>
  <c r="F196" i="2"/>
  <c r="S195" i="2"/>
  <c r="O195" i="2"/>
  <c r="J195" i="2"/>
  <c r="F195" i="2"/>
  <c r="S194" i="2"/>
  <c r="O194" i="2"/>
  <c r="J194" i="2"/>
  <c r="F194" i="2"/>
  <c r="G193" i="2" s="1"/>
  <c r="T193" i="2"/>
  <c r="S193" i="2"/>
  <c r="O193" i="2"/>
  <c r="P193" i="2" s="1"/>
  <c r="C180" i="2"/>
  <c r="C181" i="2" s="1"/>
  <c r="C182" i="2" s="1"/>
  <c r="C179" i="2"/>
  <c r="C178" i="2"/>
  <c r="C145" i="2"/>
  <c r="C144" i="2"/>
  <c r="C143" i="2"/>
  <c r="C142" i="2"/>
  <c r="C141" i="2"/>
  <c r="C140" i="2"/>
  <c r="C139" i="2"/>
  <c r="J138" i="2"/>
  <c r="F138" i="2"/>
  <c r="C138" i="2"/>
  <c r="J137" i="2"/>
  <c r="F137" i="2"/>
  <c r="C137" i="2"/>
  <c r="J136" i="2"/>
  <c r="F136" i="2"/>
  <c r="C136" i="2"/>
  <c r="C135" i="2"/>
  <c r="J134" i="2"/>
  <c r="F134" i="2"/>
  <c r="C134" i="2"/>
  <c r="J133" i="2"/>
  <c r="F133" i="2"/>
  <c r="C133" i="2"/>
  <c r="J132" i="2"/>
  <c r="F132" i="2"/>
  <c r="C132" i="2"/>
  <c r="C131" i="2"/>
  <c r="J130" i="2"/>
  <c r="F130" i="2"/>
  <c r="C130" i="2"/>
  <c r="J129" i="2"/>
  <c r="F129" i="2"/>
  <c r="C129" i="2"/>
  <c r="J128" i="2"/>
  <c r="F128" i="2"/>
  <c r="C128" i="2"/>
  <c r="C127" i="2"/>
  <c r="J126" i="2"/>
  <c r="F126" i="2"/>
  <c r="C126" i="2"/>
  <c r="C125" i="2"/>
  <c r="J124" i="2"/>
  <c r="F124" i="2"/>
  <c r="C124" i="2"/>
  <c r="J123" i="2"/>
  <c r="F123" i="2"/>
  <c r="C123" i="2"/>
  <c r="C122" i="2"/>
  <c r="J121" i="2"/>
  <c r="F121" i="2"/>
  <c r="C121" i="2"/>
  <c r="J120" i="2"/>
  <c r="F120" i="2"/>
  <c r="C120" i="2"/>
  <c r="J119" i="2"/>
  <c r="F119" i="2"/>
  <c r="C119" i="2"/>
  <c r="C118" i="2"/>
  <c r="J117" i="2"/>
  <c r="F117" i="2"/>
  <c r="C117" i="2"/>
  <c r="J116" i="2"/>
  <c r="F116" i="2"/>
  <c r="C116" i="2"/>
  <c r="J115" i="2"/>
  <c r="F115" i="2"/>
  <c r="C115" i="2"/>
  <c r="C114" i="2"/>
  <c r="J113" i="2"/>
  <c r="F113" i="2"/>
  <c r="C113" i="2"/>
  <c r="J112" i="2"/>
  <c r="F112" i="2"/>
  <c r="C112" i="2"/>
  <c r="J111" i="2"/>
  <c r="F111" i="2"/>
  <c r="C111" i="2"/>
  <c r="C110" i="2"/>
  <c r="J109" i="2"/>
  <c r="F109" i="2"/>
  <c r="C109" i="2"/>
  <c r="C108" i="2"/>
  <c r="C106" i="2"/>
  <c r="J103" i="2"/>
  <c r="F103" i="2"/>
  <c r="D103" i="2"/>
  <c r="D104" i="2" s="1"/>
  <c r="C102" i="2"/>
  <c r="J101" i="2"/>
  <c r="F101" i="2"/>
  <c r="C101" i="2"/>
  <c r="J100" i="2"/>
  <c r="D57" i="5" s="1"/>
  <c r="F100" i="2"/>
  <c r="C100" i="2"/>
  <c r="C99" i="2"/>
  <c r="F98" i="2"/>
  <c r="C98" i="2"/>
  <c r="J97" i="2"/>
  <c r="F97" i="2"/>
  <c r="C97" i="2"/>
  <c r="J96" i="2"/>
  <c r="F96" i="2"/>
  <c r="C96" i="2"/>
  <c r="O95" i="2"/>
  <c r="J95" i="2"/>
  <c r="F95" i="2"/>
  <c r="C95" i="2"/>
  <c r="O94" i="2"/>
  <c r="J94" i="2"/>
  <c r="F94" i="2"/>
  <c r="C94" i="2"/>
  <c r="S93" i="2"/>
  <c r="O93" i="2"/>
  <c r="J93" i="2"/>
  <c r="F93" i="2"/>
  <c r="C93" i="2"/>
  <c r="S92" i="2"/>
  <c r="O92" i="2"/>
  <c r="J92" i="2"/>
  <c r="F92" i="2"/>
  <c r="C92" i="2"/>
  <c r="S91" i="2"/>
  <c r="O91" i="2"/>
  <c r="S90" i="2"/>
  <c r="O90" i="2"/>
  <c r="J90" i="2"/>
  <c r="F90" i="2"/>
  <c r="S89" i="2"/>
  <c r="O89" i="2"/>
  <c r="J89" i="2"/>
  <c r="F89" i="2"/>
  <c r="S88" i="2"/>
  <c r="O88" i="2"/>
  <c r="J88" i="2"/>
  <c r="F88" i="2"/>
  <c r="S87" i="2"/>
  <c r="O87" i="2"/>
  <c r="P86" i="2" s="1"/>
  <c r="R3" i="2" s="1"/>
  <c r="J87" i="2"/>
  <c r="F87" i="2"/>
  <c r="T86" i="2"/>
  <c r="S86" i="2"/>
  <c r="J86" i="2"/>
  <c r="G86" i="2"/>
  <c r="C61" i="2"/>
  <c r="C60" i="2"/>
  <c r="C59" i="2"/>
  <c r="C58" i="2"/>
  <c r="C57" i="2"/>
  <c r="C56" i="2"/>
  <c r="C55" i="2"/>
  <c r="J54" i="2"/>
  <c r="F54" i="2"/>
  <c r="C54" i="2"/>
  <c r="J53" i="2"/>
  <c r="F53" i="2"/>
  <c r="C53" i="2"/>
  <c r="J52" i="2"/>
  <c r="F52" i="2"/>
  <c r="C52" i="2"/>
  <c r="C51" i="2"/>
  <c r="J50" i="2"/>
  <c r="F50" i="2"/>
  <c r="C50" i="2"/>
  <c r="J49" i="2"/>
  <c r="F49" i="2"/>
  <c r="C49" i="2"/>
  <c r="J48" i="2"/>
  <c r="D65" i="5" s="1"/>
  <c r="F48" i="2"/>
  <c r="C65" i="5" s="1"/>
  <c r="C48" i="2"/>
  <c r="C47" i="2"/>
  <c r="J46" i="2"/>
  <c r="F46" i="2"/>
  <c r="C46" i="2"/>
  <c r="J45" i="2"/>
  <c r="F45" i="2"/>
  <c r="C45" i="2"/>
  <c r="J44" i="2"/>
  <c r="F44" i="2"/>
  <c r="C44" i="2"/>
  <c r="C43" i="2"/>
  <c r="J42" i="2"/>
  <c r="F42" i="2"/>
  <c r="C42" i="2"/>
  <c r="C41" i="2"/>
  <c r="J40" i="2"/>
  <c r="F40" i="2"/>
  <c r="C40" i="2"/>
  <c r="J39" i="2"/>
  <c r="D63" i="5" s="1"/>
  <c r="F39" i="2"/>
  <c r="C39" i="2"/>
  <c r="C38" i="2"/>
  <c r="J37" i="2"/>
  <c r="F37" i="2"/>
  <c r="C37" i="2"/>
  <c r="J36" i="2"/>
  <c r="D62" i="5" s="1"/>
  <c r="F36" i="2"/>
  <c r="C36" i="2"/>
  <c r="F35" i="2"/>
  <c r="C35" i="2"/>
  <c r="C34" i="2"/>
  <c r="J33" i="2"/>
  <c r="F33" i="2"/>
  <c r="C33" i="2"/>
  <c r="J32" i="2"/>
  <c r="F32" i="2"/>
  <c r="C32" i="2"/>
  <c r="J31" i="2"/>
  <c r="D61" i="5" s="1"/>
  <c r="F31" i="2"/>
  <c r="C61" i="5" s="1"/>
  <c r="C31" i="2"/>
  <c r="C30" i="2"/>
  <c r="J29" i="2"/>
  <c r="F29" i="2"/>
  <c r="C29" i="2"/>
  <c r="J28" i="2"/>
  <c r="F28" i="2"/>
  <c r="C28" i="2"/>
  <c r="J27" i="2"/>
  <c r="F27" i="2"/>
  <c r="C27" i="2"/>
  <c r="C26" i="2"/>
  <c r="J25" i="2"/>
  <c r="F25" i="2"/>
  <c r="C25" i="2"/>
  <c r="C24" i="2"/>
  <c r="C22" i="2"/>
  <c r="J19" i="2"/>
  <c r="F19" i="2"/>
  <c r="D19" i="2"/>
  <c r="D20" i="2" s="1"/>
  <c r="C18" i="2"/>
  <c r="J17" i="2"/>
  <c r="F17" i="2"/>
  <c r="C17" i="2"/>
  <c r="J16" i="2"/>
  <c r="F16" i="2"/>
  <c r="C16" i="2"/>
  <c r="J15" i="2"/>
  <c r="F15" i="2"/>
  <c r="C57" i="5" s="1"/>
  <c r="C15" i="2"/>
  <c r="C14" i="2"/>
  <c r="O13" i="2"/>
  <c r="J13" i="2"/>
  <c r="F13" i="2"/>
  <c r="C13" i="2"/>
  <c r="O12" i="2"/>
  <c r="F12" i="2"/>
  <c r="C12" i="2"/>
  <c r="O11" i="2"/>
  <c r="J11" i="2"/>
  <c r="D56" i="5" s="1"/>
  <c r="F11" i="2"/>
  <c r="C56" i="5" s="1"/>
  <c r="C11" i="2"/>
  <c r="O10" i="2"/>
  <c r="J10" i="2"/>
  <c r="F10" i="2"/>
  <c r="C10" i="2"/>
  <c r="O9" i="2"/>
  <c r="J9" i="2"/>
  <c r="F9" i="2"/>
  <c r="C9" i="2"/>
  <c r="S8" i="2"/>
  <c r="O8" i="2"/>
  <c r="J8" i="2"/>
  <c r="F8" i="2"/>
  <c r="C8" i="2"/>
  <c r="S7" i="2"/>
  <c r="O7" i="2"/>
  <c r="S6" i="2"/>
  <c r="O6" i="2"/>
  <c r="J6" i="2"/>
  <c r="F6" i="2"/>
  <c r="S5" i="2"/>
  <c r="O5" i="2"/>
  <c r="J5" i="2"/>
  <c r="F5" i="2"/>
  <c r="S4" i="2"/>
  <c r="O4" i="2"/>
  <c r="P2" i="2" s="1"/>
  <c r="Q3" i="2" s="1"/>
  <c r="J4" i="2"/>
  <c r="F4" i="2"/>
  <c r="S3" i="2"/>
  <c r="O3" i="2"/>
  <c r="J3" i="2"/>
  <c r="F3" i="2"/>
  <c r="C54" i="5" s="1"/>
  <c r="T2" i="2"/>
  <c r="Q17" i="2" s="1"/>
  <c r="L2" i="2"/>
  <c r="G2" i="2"/>
  <c r="C924" i="1"/>
  <c r="C923" i="1"/>
  <c r="C922" i="1"/>
  <c r="C921" i="1"/>
  <c r="J920" i="1"/>
  <c r="F920" i="1"/>
  <c r="C920" i="1"/>
  <c r="J919" i="1"/>
  <c r="F919" i="1"/>
  <c r="C919" i="1"/>
  <c r="J918" i="1"/>
  <c r="F918" i="1"/>
  <c r="C918" i="1"/>
  <c r="C917" i="1"/>
  <c r="J916" i="1"/>
  <c r="F916" i="1"/>
  <c r="C916" i="1"/>
  <c r="J915" i="1"/>
  <c r="F915" i="1"/>
  <c r="C915" i="1"/>
  <c r="J914" i="1"/>
  <c r="F914" i="1"/>
  <c r="C914" i="1"/>
  <c r="C913" i="1"/>
  <c r="J912" i="1"/>
  <c r="F912" i="1"/>
  <c r="C912" i="1"/>
  <c r="J911" i="1"/>
  <c r="F911" i="1"/>
  <c r="C911" i="1"/>
  <c r="J910" i="1"/>
  <c r="F910" i="1"/>
  <c r="C910" i="1"/>
  <c r="J909" i="1"/>
  <c r="F909" i="1"/>
  <c r="C909" i="1"/>
  <c r="C908" i="1"/>
  <c r="J907" i="1"/>
  <c r="F907" i="1"/>
  <c r="C907" i="1"/>
  <c r="J906" i="1"/>
  <c r="F906" i="1"/>
  <c r="C906" i="1"/>
  <c r="C905" i="1"/>
  <c r="J904" i="1"/>
  <c r="F904" i="1"/>
  <c r="C904" i="1"/>
  <c r="J903" i="1"/>
  <c r="F903" i="1"/>
  <c r="C903" i="1"/>
  <c r="J902" i="1"/>
  <c r="F902" i="1"/>
  <c r="C902" i="1"/>
  <c r="C901" i="1"/>
  <c r="J900" i="1"/>
  <c r="F900" i="1"/>
  <c r="C900" i="1"/>
  <c r="J899" i="1"/>
  <c r="F899" i="1"/>
  <c r="C899" i="1"/>
  <c r="J898" i="1"/>
  <c r="F898" i="1"/>
  <c r="C898" i="1"/>
  <c r="C897" i="1"/>
  <c r="J896" i="1"/>
  <c r="F896" i="1"/>
  <c r="C896" i="1"/>
  <c r="J895" i="1"/>
  <c r="F895" i="1"/>
  <c r="C895" i="1"/>
  <c r="J894" i="1"/>
  <c r="F894" i="1"/>
  <c r="C894" i="1"/>
  <c r="C893" i="1"/>
  <c r="J892" i="1"/>
  <c r="F892" i="1"/>
  <c r="C892" i="1"/>
  <c r="C891" i="1"/>
  <c r="C889" i="1"/>
  <c r="F886" i="1"/>
  <c r="D886" i="1"/>
  <c r="D887" i="1" s="1"/>
  <c r="C885" i="1"/>
  <c r="J884" i="1"/>
  <c r="F884" i="1"/>
  <c r="C884" i="1"/>
  <c r="J883" i="1"/>
  <c r="F883" i="1"/>
  <c r="C883" i="1"/>
  <c r="J882" i="1"/>
  <c r="F882" i="1"/>
  <c r="C882" i="1"/>
  <c r="C881" i="1"/>
  <c r="J880" i="1"/>
  <c r="F880" i="1"/>
  <c r="C880" i="1"/>
  <c r="O879" i="1"/>
  <c r="J879" i="1"/>
  <c r="F879" i="1"/>
  <c r="C879" i="1"/>
  <c r="O878" i="1"/>
  <c r="J878" i="1"/>
  <c r="F878" i="1"/>
  <c r="C878" i="1"/>
  <c r="O877" i="1"/>
  <c r="J877" i="1"/>
  <c r="F877" i="1"/>
  <c r="C877" i="1"/>
  <c r="O876" i="1"/>
  <c r="P870" i="1" s="1"/>
  <c r="J876" i="1"/>
  <c r="F876" i="1"/>
  <c r="C876" i="1"/>
  <c r="S875" i="1"/>
  <c r="O875" i="1"/>
  <c r="F875" i="1"/>
  <c r="C875" i="1"/>
  <c r="S874" i="1"/>
  <c r="O874" i="1"/>
  <c r="J874" i="1"/>
  <c r="F874" i="1"/>
  <c r="S873" i="1"/>
  <c r="O873" i="1"/>
  <c r="J873" i="1"/>
  <c r="F873" i="1"/>
  <c r="S872" i="1"/>
  <c r="O872" i="1"/>
  <c r="J872" i="1"/>
  <c r="F872" i="1"/>
  <c r="S871" i="1"/>
  <c r="O871" i="1"/>
  <c r="J871" i="1"/>
  <c r="F871" i="1"/>
  <c r="T870" i="1"/>
  <c r="S870" i="1"/>
  <c r="G870" i="1"/>
  <c r="C805" i="1"/>
  <c r="C804" i="1"/>
  <c r="C803" i="1"/>
  <c r="C802" i="1"/>
  <c r="J801" i="1"/>
  <c r="F801" i="1"/>
  <c r="C801" i="1"/>
  <c r="J800" i="1"/>
  <c r="F800" i="1"/>
  <c r="C800" i="1"/>
  <c r="J799" i="1"/>
  <c r="F799" i="1"/>
  <c r="C799" i="1"/>
  <c r="C798" i="1"/>
  <c r="J797" i="1"/>
  <c r="F797" i="1"/>
  <c r="C797" i="1"/>
  <c r="J796" i="1"/>
  <c r="F796" i="1"/>
  <c r="C796" i="1"/>
  <c r="J795" i="1"/>
  <c r="F795" i="1"/>
  <c r="C795" i="1"/>
  <c r="C794" i="1"/>
  <c r="J793" i="1"/>
  <c r="F793" i="1"/>
  <c r="C793" i="1"/>
  <c r="J792" i="1"/>
  <c r="F792" i="1"/>
  <c r="C792" i="1"/>
  <c r="J791" i="1"/>
  <c r="F791" i="1"/>
  <c r="C791" i="1"/>
  <c r="J790" i="1"/>
  <c r="F790" i="1"/>
  <c r="C790" i="1"/>
  <c r="C789" i="1"/>
  <c r="J788" i="1"/>
  <c r="F788" i="1"/>
  <c r="C788" i="1"/>
  <c r="J787" i="1"/>
  <c r="F787" i="1"/>
  <c r="C787" i="1"/>
  <c r="C786" i="1"/>
  <c r="J785" i="1"/>
  <c r="F785" i="1"/>
  <c r="C785" i="1"/>
  <c r="J784" i="1"/>
  <c r="F784" i="1"/>
  <c r="C784" i="1"/>
  <c r="J783" i="1"/>
  <c r="F783" i="1"/>
  <c r="C783" i="1"/>
  <c r="C782" i="1"/>
  <c r="J781" i="1"/>
  <c r="F781" i="1"/>
  <c r="C781" i="1"/>
  <c r="J780" i="1"/>
  <c r="F780" i="1"/>
  <c r="C780" i="1"/>
  <c r="J779" i="1"/>
  <c r="F779" i="1"/>
  <c r="C779" i="1"/>
  <c r="C778" i="1"/>
  <c r="J777" i="1"/>
  <c r="F777" i="1"/>
  <c r="C777" i="1"/>
  <c r="J776" i="1"/>
  <c r="F776" i="1"/>
  <c r="C776" i="1"/>
  <c r="J775" i="1"/>
  <c r="F775" i="1"/>
  <c r="C775" i="1"/>
  <c r="C774" i="1"/>
  <c r="J773" i="1"/>
  <c r="F773" i="1"/>
  <c r="C773" i="1"/>
  <c r="C772" i="1"/>
  <c r="C770" i="1"/>
  <c r="D767" i="1"/>
  <c r="D768" i="1" s="1"/>
  <c r="C766" i="1"/>
  <c r="J765" i="1"/>
  <c r="F765" i="1"/>
  <c r="C765" i="1"/>
  <c r="J764" i="1"/>
  <c r="F764" i="1"/>
  <c r="C764" i="1"/>
  <c r="J763" i="1"/>
  <c r="F763" i="1"/>
  <c r="C763" i="1"/>
  <c r="C762" i="1"/>
  <c r="J761" i="1"/>
  <c r="F761" i="1"/>
  <c r="C761" i="1"/>
  <c r="O760" i="1"/>
  <c r="J760" i="1"/>
  <c r="F760" i="1"/>
  <c r="C760" i="1"/>
  <c r="O759" i="1"/>
  <c r="J759" i="1"/>
  <c r="F759" i="1"/>
  <c r="C759" i="1"/>
  <c r="S758" i="1"/>
  <c r="O758" i="1"/>
  <c r="J758" i="1"/>
  <c r="F758" i="1"/>
  <c r="C758" i="1"/>
  <c r="S757" i="1"/>
  <c r="O757" i="1"/>
  <c r="J757" i="1"/>
  <c r="F757" i="1"/>
  <c r="C757" i="1"/>
  <c r="S756" i="1"/>
  <c r="O756" i="1"/>
  <c r="J756" i="1"/>
  <c r="F756" i="1"/>
  <c r="C756" i="1"/>
  <c r="S755" i="1"/>
  <c r="O755" i="1"/>
  <c r="J755" i="1"/>
  <c r="F755" i="1"/>
  <c r="S754" i="1"/>
  <c r="O754" i="1"/>
  <c r="J754" i="1"/>
  <c r="F754" i="1"/>
  <c r="S753" i="1"/>
  <c r="O753" i="1"/>
  <c r="J753" i="1"/>
  <c r="F753" i="1"/>
  <c r="S752" i="1"/>
  <c r="O752" i="1"/>
  <c r="P751" i="1" s="1"/>
  <c r="J752" i="1"/>
  <c r="F752" i="1"/>
  <c r="S751" i="1"/>
  <c r="T751" i="1" s="1"/>
  <c r="C732" i="1"/>
  <c r="C733" i="1" s="1"/>
  <c r="C734" i="1" s="1"/>
  <c r="C735" i="1" s="1"/>
  <c r="C736" i="1" s="1"/>
  <c r="C737" i="1" s="1"/>
  <c r="C738" i="1" s="1"/>
  <c r="C739" i="1" s="1"/>
  <c r="C740" i="1" s="1"/>
  <c r="D731" i="1"/>
  <c r="D732" i="1" s="1"/>
  <c r="D733" i="1" s="1"/>
  <c r="D734" i="1" s="1"/>
  <c r="D735" i="1" s="1"/>
  <c r="D736" i="1" s="1"/>
  <c r="D737" i="1" s="1"/>
  <c r="D738" i="1" s="1"/>
  <c r="D739" i="1" s="1"/>
  <c r="D740" i="1" s="1"/>
  <c r="C731" i="1"/>
  <c r="C696" i="1"/>
  <c r="C695" i="1"/>
  <c r="C694" i="1"/>
  <c r="C693" i="1"/>
  <c r="J692" i="1"/>
  <c r="F692" i="1"/>
  <c r="C692" i="1"/>
  <c r="J691" i="1"/>
  <c r="F691" i="1"/>
  <c r="C691" i="1"/>
  <c r="J690" i="1"/>
  <c r="F690" i="1"/>
  <c r="C690" i="1"/>
  <c r="C689" i="1"/>
  <c r="J688" i="1"/>
  <c r="F688" i="1"/>
  <c r="C688" i="1"/>
  <c r="J687" i="1"/>
  <c r="F687" i="1"/>
  <c r="C687" i="1"/>
  <c r="J686" i="1"/>
  <c r="F686" i="1"/>
  <c r="C686" i="1"/>
  <c r="C685" i="1"/>
  <c r="J684" i="1"/>
  <c r="F684" i="1"/>
  <c r="C684" i="1"/>
  <c r="J683" i="1"/>
  <c r="F683" i="1"/>
  <c r="C683" i="1"/>
  <c r="J682" i="1"/>
  <c r="F682" i="1"/>
  <c r="C682" i="1"/>
  <c r="J681" i="1"/>
  <c r="F681" i="1"/>
  <c r="C681" i="1"/>
  <c r="C680" i="1"/>
  <c r="J679" i="1"/>
  <c r="F679" i="1"/>
  <c r="C679" i="1"/>
  <c r="J678" i="1"/>
  <c r="F678" i="1"/>
  <c r="C678" i="1"/>
  <c r="C677" i="1"/>
  <c r="J676" i="1"/>
  <c r="F676" i="1"/>
  <c r="C676" i="1"/>
  <c r="J675" i="1"/>
  <c r="F675" i="1"/>
  <c r="C675" i="1"/>
  <c r="J674" i="1"/>
  <c r="F674" i="1"/>
  <c r="C674" i="1"/>
  <c r="C673" i="1"/>
  <c r="J672" i="1"/>
  <c r="F672" i="1"/>
  <c r="C672" i="1"/>
  <c r="J671" i="1"/>
  <c r="F671" i="1"/>
  <c r="C671" i="1"/>
  <c r="J670" i="1"/>
  <c r="F670" i="1"/>
  <c r="C670" i="1"/>
  <c r="C669" i="1"/>
  <c r="J668" i="1"/>
  <c r="F668" i="1"/>
  <c r="C668" i="1"/>
  <c r="J667" i="1"/>
  <c r="F667" i="1"/>
  <c r="C667" i="1"/>
  <c r="J666" i="1"/>
  <c r="F666" i="1"/>
  <c r="C666" i="1"/>
  <c r="C665" i="1"/>
  <c r="J664" i="1"/>
  <c r="F664" i="1"/>
  <c r="C664" i="1"/>
  <c r="C663" i="1"/>
  <c r="C661" i="1"/>
  <c r="J658" i="1"/>
  <c r="F658" i="1"/>
  <c r="D658" i="1"/>
  <c r="D659" i="1" s="1"/>
  <c r="C657" i="1"/>
  <c r="J656" i="1"/>
  <c r="F656" i="1"/>
  <c r="C656" i="1"/>
  <c r="J655" i="1"/>
  <c r="F655" i="1"/>
  <c r="C655" i="1"/>
  <c r="J654" i="1"/>
  <c r="F654" i="1"/>
  <c r="C654" i="1"/>
  <c r="O653" i="1"/>
  <c r="C653" i="1"/>
  <c r="S652" i="1"/>
  <c r="O652" i="1"/>
  <c r="J652" i="1"/>
  <c r="F652" i="1"/>
  <c r="C652" i="1"/>
  <c r="S651" i="1"/>
  <c r="O651" i="1"/>
  <c r="J651" i="1"/>
  <c r="F651" i="1"/>
  <c r="C651" i="1"/>
  <c r="S650" i="1"/>
  <c r="O650" i="1"/>
  <c r="J650" i="1"/>
  <c r="F650" i="1"/>
  <c r="C650" i="1"/>
  <c r="S649" i="1"/>
  <c r="O649" i="1"/>
  <c r="J649" i="1"/>
  <c r="F649" i="1"/>
  <c r="C649" i="1"/>
  <c r="S648" i="1"/>
  <c r="O648" i="1"/>
  <c r="J648" i="1"/>
  <c r="F648" i="1"/>
  <c r="C648" i="1"/>
  <c r="S647" i="1"/>
  <c r="O647" i="1"/>
  <c r="J647" i="1"/>
  <c r="F647" i="1"/>
  <c r="C647" i="1"/>
  <c r="S646" i="1"/>
  <c r="O646" i="1"/>
  <c r="J646" i="1"/>
  <c r="F646" i="1"/>
  <c r="S645" i="1"/>
  <c r="O645" i="1"/>
  <c r="J645" i="1"/>
  <c r="F645" i="1"/>
  <c r="S644" i="1"/>
  <c r="O644" i="1"/>
  <c r="J644" i="1"/>
  <c r="F644" i="1"/>
  <c r="S643" i="1"/>
  <c r="O643" i="1"/>
  <c r="J643" i="1"/>
  <c r="F643" i="1"/>
  <c r="S642" i="1"/>
  <c r="T642" i="1" s="1"/>
  <c r="P642" i="1"/>
  <c r="G642" i="1"/>
  <c r="C622" i="1"/>
  <c r="C623" i="1" s="1"/>
  <c r="C624" i="1" s="1"/>
  <c r="C625" i="1" s="1"/>
  <c r="C615" i="1"/>
  <c r="C614" i="1"/>
  <c r="C613" i="1"/>
  <c r="C612" i="1"/>
  <c r="J611" i="1"/>
  <c r="F611" i="1"/>
  <c r="C611" i="1"/>
  <c r="J610" i="1"/>
  <c r="F610" i="1"/>
  <c r="C610" i="1"/>
  <c r="J609" i="1"/>
  <c r="F609" i="1"/>
  <c r="C609" i="1"/>
  <c r="C608" i="1"/>
  <c r="J607" i="1"/>
  <c r="F607" i="1"/>
  <c r="C607" i="1"/>
  <c r="J606" i="1"/>
  <c r="F606" i="1"/>
  <c r="C606" i="1"/>
  <c r="J605" i="1"/>
  <c r="F605" i="1"/>
  <c r="C605" i="1"/>
  <c r="C604" i="1"/>
  <c r="J603" i="1"/>
  <c r="F603" i="1"/>
  <c r="C603" i="1"/>
  <c r="J602" i="1"/>
  <c r="F602" i="1"/>
  <c r="C602" i="1"/>
  <c r="J601" i="1"/>
  <c r="F601" i="1"/>
  <c r="C601" i="1"/>
  <c r="J600" i="1"/>
  <c r="F600" i="1"/>
  <c r="C600" i="1"/>
  <c r="C599" i="1"/>
  <c r="J598" i="1"/>
  <c r="F598" i="1"/>
  <c r="C598" i="1"/>
  <c r="J597" i="1"/>
  <c r="F597" i="1"/>
  <c r="C597" i="1"/>
  <c r="C596" i="1"/>
  <c r="F595" i="1"/>
  <c r="C595" i="1"/>
  <c r="J594" i="1"/>
  <c r="F594" i="1"/>
  <c r="C594" i="1"/>
  <c r="J593" i="1"/>
  <c r="F593" i="1"/>
  <c r="C593" i="1"/>
  <c r="C592" i="1"/>
  <c r="J591" i="1"/>
  <c r="F591" i="1"/>
  <c r="C591" i="1"/>
  <c r="J590" i="1"/>
  <c r="F590" i="1"/>
  <c r="C590" i="1"/>
  <c r="J589" i="1"/>
  <c r="F589" i="1"/>
  <c r="C589" i="1"/>
  <c r="C588" i="1"/>
  <c r="J587" i="1"/>
  <c r="F587" i="1"/>
  <c r="C587" i="1"/>
  <c r="J586" i="1"/>
  <c r="F586" i="1"/>
  <c r="C586" i="1"/>
  <c r="J585" i="1"/>
  <c r="F585" i="1"/>
  <c r="C585" i="1"/>
  <c r="C584" i="1"/>
  <c r="J583" i="1"/>
  <c r="F583" i="1"/>
  <c r="C583" i="1"/>
  <c r="C582" i="1"/>
  <c r="C580" i="1"/>
  <c r="D577" i="1"/>
  <c r="D578" i="1" s="1"/>
  <c r="C577" i="1"/>
  <c r="C576" i="1"/>
  <c r="J575" i="1"/>
  <c r="F575" i="1"/>
  <c r="C575" i="1"/>
  <c r="J574" i="1"/>
  <c r="F574" i="1"/>
  <c r="C574" i="1"/>
  <c r="J573" i="1"/>
  <c r="F573" i="1"/>
  <c r="C573" i="1"/>
  <c r="C572" i="1"/>
  <c r="O571" i="1"/>
  <c r="J571" i="1"/>
  <c r="F571" i="1"/>
  <c r="C571" i="1"/>
  <c r="O570" i="1"/>
  <c r="J570" i="1"/>
  <c r="F570" i="1"/>
  <c r="C570" i="1"/>
  <c r="O569" i="1"/>
  <c r="J569" i="1"/>
  <c r="F569" i="1"/>
  <c r="C569" i="1"/>
  <c r="O568" i="1"/>
  <c r="J568" i="1"/>
  <c r="F568" i="1"/>
  <c r="C568" i="1"/>
  <c r="O567" i="1"/>
  <c r="J567" i="1"/>
  <c r="F567" i="1"/>
  <c r="C567" i="1"/>
  <c r="S566" i="1"/>
  <c r="O566" i="1"/>
  <c r="J566" i="1"/>
  <c r="F566" i="1"/>
  <c r="C566" i="1"/>
  <c r="S565" i="1"/>
  <c r="O565" i="1"/>
  <c r="J565" i="1"/>
  <c r="F565" i="1"/>
  <c r="S564" i="1"/>
  <c r="O564" i="1"/>
  <c r="J564" i="1"/>
  <c r="F564" i="1"/>
  <c r="S563" i="1"/>
  <c r="O563" i="1"/>
  <c r="J563" i="1"/>
  <c r="F563" i="1"/>
  <c r="S562" i="1"/>
  <c r="O562" i="1"/>
  <c r="J562" i="1"/>
  <c r="F562" i="1"/>
  <c r="S561" i="1"/>
  <c r="T561" i="1" s="1"/>
  <c r="P561" i="1"/>
  <c r="D532" i="1"/>
  <c r="D533" i="1" s="1"/>
  <c r="D534" i="1" s="1"/>
  <c r="D535" i="1" s="1"/>
  <c r="D536" i="1" s="1"/>
  <c r="D537" i="1" s="1"/>
  <c r="D538" i="1" s="1"/>
  <c r="D539" i="1" s="1"/>
  <c r="D540" i="1" s="1"/>
  <c r="D541" i="1" s="1"/>
  <c r="C532" i="1"/>
  <c r="C533" i="1" s="1"/>
  <c r="C534" i="1" s="1"/>
  <c r="C535" i="1" s="1"/>
  <c r="C536" i="1" s="1"/>
  <c r="C537" i="1" s="1"/>
  <c r="C538" i="1" s="1"/>
  <c r="C539" i="1" s="1"/>
  <c r="C540" i="1" s="1"/>
  <c r="C541" i="1" s="1"/>
  <c r="C497" i="1"/>
  <c r="C496" i="1"/>
  <c r="C495" i="1"/>
  <c r="C494" i="1"/>
  <c r="C493" i="1"/>
  <c r="J492" i="1"/>
  <c r="F492" i="1"/>
  <c r="C492" i="1"/>
  <c r="F491" i="1"/>
  <c r="C491" i="1"/>
  <c r="J490" i="1"/>
  <c r="F490" i="1"/>
  <c r="C490" i="1"/>
  <c r="C489" i="1"/>
  <c r="J488" i="1"/>
  <c r="F488" i="1"/>
  <c r="C488" i="1"/>
  <c r="J487" i="1"/>
  <c r="F487" i="1"/>
  <c r="C487" i="1"/>
  <c r="J486" i="1"/>
  <c r="F486" i="1"/>
  <c r="C486" i="1"/>
  <c r="C485" i="1"/>
  <c r="J484" i="1"/>
  <c r="F484" i="1"/>
  <c r="C484" i="1"/>
  <c r="J483" i="1"/>
  <c r="F483" i="1"/>
  <c r="C483" i="1"/>
  <c r="J482" i="1"/>
  <c r="F482" i="1"/>
  <c r="C482" i="1"/>
  <c r="J481" i="1"/>
  <c r="F481" i="1"/>
  <c r="C481" i="1"/>
  <c r="C480" i="1"/>
  <c r="J479" i="1"/>
  <c r="F479" i="1"/>
  <c r="C479" i="1"/>
  <c r="J478" i="1"/>
  <c r="F478" i="1"/>
  <c r="C478" i="1"/>
  <c r="C477" i="1"/>
  <c r="J476" i="1"/>
  <c r="F476" i="1"/>
  <c r="C476" i="1"/>
  <c r="J475" i="1"/>
  <c r="F475" i="1"/>
  <c r="C475" i="1"/>
  <c r="J474" i="1"/>
  <c r="F474" i="1"/>
  <c r="C474" i="1"/>
  <c r="C473" i="1"/>
  <c r="J472" i="1"/>
  <c r="F472" i="1"/>
  <c r="C472" i="1"/>
  <c r="J471" i="1"/>
  <c r="F471" i="1"/>
  <c r="C471" i="1"/>
  <c r="J470" i="1"/>
  <c r="F470" i="1"/>
  <c r="C470" i="1"/>
  <c r="C469" i="1"/>
  <c r="J468" i="1"/>
  <c r="F468" i="1"/>
  <c r="C468" i="1"/>
  <c r="J467" i="1"/>
  <c r="F467" i="1"/>
  <c r="C467" i="1"/>
  <c r="J466" i="1"/>
  <c r="F466" i="1"/>
  <c r="C466" i="1"/>
  <c r="C465" i="1"/>
  <c r="J464" i="1"/>
  <c r="F464" i="1"/>
  <c r="C464" i="1"/>
  <c r="C463" i="1"/>
  <c r="C461" i="1"/>
  <c r="F458" i="1"/>
  <c r="D458" i="1"/>
  <c r="D459" i="1" s="1"/>
  <c r="C457" i="1"/>
  <c r="J456" i="1"/>
  <c r="F456" i="1"/>
  <c r="C456" i="1"/>
  <c r="J455" i="1"/>
  <c r="F455" i="1"/>
  <c r="C455" i="1"/>
  <c r="J454" i="1"/>
  <c r="F454" i="1"/>
  <c r="C454" i="1"/>
  <c r="C453" i="1"/>
  <c r="O452" i="1"/>
  <c r="J452" i="1"/>
  <c r="F452" i="1"/>
  <c r="C452" i="1"/>
  <c r="O451" i="1"/>
  <c r="J451" i="1"/>
  <c r="F451" i="1"/>
  <c r="C451" i="1"/>
  <c r="O450" i="1"/>
  <c r="J450" i="1"/>
  <c r="F450" i="1"/>
  <c r="C450" i="1"/>
  <c r="O449" i="1"/>
  <c r="J449" i="1"/>
  <c r="F449" i="1"/>
  <c r="C449" i="1"/>
  <c r="O448" i="1"/>
  <c r="J448" i="1"/>
  <c r="F448" i="1"/>
  <c r="C448" i="1"/>
  <c r="O447" i="1"/>
  <c r="J447" i="1"/>
  <c r="F447" i="1"/>
  <c r="C447" i="1"/>
  <c r="O446" i="1"/>
  <c r="J446" i="1"/>
  <c r="F446" i="1"/>
  <c r="S445" i="1"/>
  <c r="O445" i="1"/>
  <c r="J445" i="1"/>
  <c r="F445" i="1"/>
  <c r="S444" i="1"/>
  <c r="O444" i="1"/>
  <c r="J444" i="1"/>
  <c r="F444" i="1"/>
  <c r="S443" i="1"/>
  <c r="O443" i="1"/>
  <c r="J443" i="1"/>
  <c r="F443" i="1"/>
  <c r="T442" i="1"/>
  <c r="S442" i="1"/>
  <c r="P442" i="1"/>
  <c r="G442" i="1"/>
  <c r="C412" i="1"/>
  <c r="C411" i="1"/>
  <c r="C410" i="1"/>
  <c r="C409" i="1"/>
  <c r="C408" i="1"/>
  <c r="C407" i="1"/>
  <c r="C406" i="1"/>
  <c r="J405" i="1"/>
  <c r="F405" i="1"/>
  <c r="C405" i="1"/>
  <c r="J404" i="1"/>
  <c r="F404" i="1"/>
  <c r="C404" i="1"/>
  <c r="J403" i="1"/>
  <c r="F403" i="1"/>
  <c r="C403" i="1"/>
  <c r="C402" i="1"/>
  <c r="J401" i="1"/>
  <c r="C401" i="1"/>
  <c r="J400" i="1"/>
  <c r="F400" i="1"/>
  <c r="C400" i="1"/>
  <c r="J399" i="1"/>
  <c r="F399" i="1"/>
  <c r="C399" i="1"/>
  <c r="C398" i="1"/>
  <c r="J397" i="1"/>
  <c r="F397" i="1"/>
  <c r="C397" i="1"/>
  <c r="J396" i="1"/>
  <c r="F396" i="1"/>
  <c r="C396" i="1"/>
  <c r="J395" i="1"/>
  <c r="F395" i="1"/>
  <c r="C395" i="1"/>
  <c r="J394" i="1"/>
  <c r="F394" i="1"/>
  <c r="C394" i="1"/>
  <c r="C393" i="1"/>
  <c r="J392" i="1"/>
  <c r="F392" i="1"/>
  <c r="C392" i="1"/>
  <c r="J391" i="1"/>
  <c r="F391" i="1"/>
  <c r="C391" i="1"/>
  <c r="C390" i="1"/>
  <c r="F389" i="1"/>
  <c r="C389" i="1"/>
  <c r="J388" i="1"/>
  <c r="F388" i="1"/>
  <c r="C388" i="1"/>
  <c r="J387" i="1"/>
  <c r="F387" i="1"/>
  <c r="C387" i="1"/>
  <c r="C386" i="1"/>
  <c r="J385" i="1"/>
  <c r="F385" i="1"/>
  <c r="C385" i="1"/>
  <c r="J384" i="1"/>
  <c r="F384" i="1"/>
  <c r="C384" i="1"/>
  <c r="J383" i="1"/>
  <c r="F383" i="1"/>
  <c r="C383" i="1"/>
  <c r="C382" i="1"/>
  <c r="J381" i="1"/>
  <c r="F381" i="1"/>
  <c r="C381" i="1"/>
  <c r="J380" i="1"/>
  <c r="F380" i="1"/>
  <c r="C380" i="1"/>
  <c r="J379" i="1"/>
  <c r="F379" i="1"/>
  <c r="C379" i="1"/>
  <c r="C378" i="1"/>
  <c r="J377" i="1"/>
  <c r="F377" i="1"/>
  <c r="C377" i="1"/>
  <c r="C376" i="1"/>
  <c r="C374" i="1"/>
  <c r="F371" i="1"/>
  <c r="D371" i="1"/>
  <c r="D372" i="1" s="1"/>
  <c r="C370" i="1"/>
  <c r="J369" i="1"/>
  <c r="F369" i="1"/>
  <c r="C369" i="1"/>
  <c r="J368" i="1"/>
  <c r="F368" i="1"/>
  <c r="C368" i="1"/>
  <c r="J367" i="1"/>
  <c r="F367" i="1"/>
  <c r="C367" i="1"/>
  <c r="C366" i="1"/>
  <c r="O365" i="1"/>
  <c r="J365" i="1"/>
  <c r="F365" i="1"/>
  <c r="C365" i="1"/>
  <c r="O364" i="1"/>
  <c r="J364" i="1"/>
  <c r="F364" i="1"/>
  <c r="C364" i="1"/>
  <c r="O363" i="1"/>
  <c r="J363" i="1"/>
  <c r="F363" i="1"/>
  <c r="C363" i="1"/>
  <c r="O362" i="1"/>
  <c r="J362" i="1"/>
  <c r="F362" i="1"/>
  <c r="C362" i="1"/>
  <c r="O361" i="1"/>
  <c r="J361" i="1"/>
  <c r="F361" i="1"/>
  <c r="C361" i="1"/>
  <c r="S360" i="1"/>
  <c r="O360" i="1"/>
  <c r="J360" i="1"/>
  <c r="F360" i="1"/>
  <c r="G355" i="1" s="1"/>
  <c r="C360" i="1"/>
  <c r="S359" i="1"/>
  <c r="O359" i="1"/>
  <c r="J359" i="1"/>
  <c r="F359" i="1"/>
  <c r="S358" i="1"/>
  <c r="O358" i="1"/>
  <c r="J358" i="1"/>
  <c r="F358" i="1"/>
  <c r="S357" i="1"/>
  <c r="O357" i="1"/>
  <c r="J357" i="1"/>
  <c r="F357" i="1"/>
  <c r="S356" i="1"/>
  <c r="O356" i="1"/>
  <c r="P355" i="1" s="1"/>
  <c r="J356" i="1"/>
  <c r="F356" i="1"/>
  <c r="S355" i="1"/>
  <c r="T355" i="1" s="1"/>
  <c r="C347" i="1"/>
  <c r="C346" i="1"/>
  <c r="C345" i="1"/>
  <c r="C344" i="1"/>
  <c r="J343" i="1"/>
  <c r="F343" i="1"/>
  <c r="C343" i="1"/>
  <c r="J342" i="1"/>
  <c r="F342" i="1"/>
  <c r="C342" i="1"/>
  <c r="J341" i="1"/>
  <c r="F341" i="1"/>
  <c r="C341" i="1"/>
  <c r="C340" i="1"/>
  <c r="J339" i="1"/>
  <c r="F339" i="1"/>
  <c r="C339" i="1"/>
  <c r="J338" i="1"/>
  <c r="F338" i="1"/>
  <c r="C338" i="1"/>
  <c r="J337" i="1"/>
  <c r="F337" i="1"/>
  <c r="C337" i="1"/>
  <c r="C336" i="1"/>
  <c r="J335" i="1"/>
  <c r="F335" i="1"/>
  <c r="C335" i="1"/>
  <c r="J334" i="1"/>
  <c r="F334" i="1"/>
  <c r="C334" i="1"/>
  <c r="J333" i="1"/>
  <c r="F333" i="1"/>
  <c r="C333" i="1"/>
  <c r="J332" i="1"/>
  <c r="F332" i="1"/>
  <c r="C332" i="1"/>
  <c r="C331" i="1"/>
  <c r="J330" i="1"/>
  <c r="F330" i="1"/>
  <c r="C330" i="1"/>
  <c r="J329" i="1"/>
  <c r="F329" i="1"/>
  <c r="C329" i="1"/>
  <c r="C328" i="1"/>
  <c r="F327" i="1"/>
  <c r="C327" i="1"/>
  <c r="J326" i="1"/>
  <c r="F326" i="1"/>
  <c r="C326" i="1"/>
  <c r="J325" i="1"/>
  <c r="F325" i="1"/>
  <c r="C325" i="1"/>
  <c r="C324" i="1"/>
  <c r="J323" i="1"/>
  <c r="F323" i="1"/>
  <c r="C323" i="1"/>
  <c r="J322" i="1"/>
  <c r="F322" i="1"/>
  <c r="C322" i="1"/>
  <c r="J321" i="1"/>
  <c r="F321" i="1"/>
  <c r="C321" i="1"/>
  <c r="C320" i="1"/>
  <c r="J319" i="1"/>
  <c r="F319" i="1"/>
  <c r="C319" i="1"/>
  <c r="J318" i="1"/>
  <c r="F318" i="1"/>
  <c r="C318" i="1"/>
  <c r="J317" i="1"/>
  <c r="F317" i="1"/>
  <c r="C317" i="1"/>
  <c r="C316" i="1"/>
  <c r="J315" i="1"/>
  <c r="F315" i="1"/>
  <c r="C315" i="1"/>
  <c r="C314" i="1"/>
  <c r="C312" i="1"/>
  <c r="F309" i="1"/>
  <c r="D309" i="1"/>
  <c r="D310" i="1" s="1"/>
  <c r="C308" i="1"/>
  <c r="J307" i="1"/>
  <c r="F307" i="1"/>
  <c r="C307" i="1"/>
  <c r="J306" i="1"/>
  <c r="F306" i="1"/>
  <c r="C306" i="1"/>
  <c r="O305" i="1"/>
  <c r="J305" i="1"/>
  <c r="F305" i="1"/>
  <c r="G293" i="1" s="1"/>
  <c r="C305" i="1"/>
  <c r="O304" i="1"/>
  <c r="C304" i="1"/>
  <c r="O303" i="1"/>
  <c r="J303" i="1"/>
  <c r="F303" i="1"/>
  <c r="C303" i="1"/>
  <c r="O302" i="1"/>
  <c r="J302" i="1"/>
  <c r="F302" i="1"/>
  <c r="C302" i="1"/>
  <c r="O301" i="1"/>
  <c r="J301" i="1"/>
  <c r="F301" i="1"/>
  <c r="C301" i="1"/>
  <c r="O300" i="1"/>
  <c r="J300" i="1"/>
  <c r="F300" i="1"/>
  <c r="C300" i="1"/>
  <c r="O299" i="1"/>
  <c r="J299" i="1"/>
  <c r="F299" i="1"/>
  <c r="C299" i="1"/>
  <c r="O298" i="1"/>
  <c r="J298" i="1"/>
  <c r="F298" i="1"/>
  <c r="C298" i="1"/>
  <c r="S297" i="1"/>
  <c r="O297" i="1"/>
  <c r="J297" i="1"/>
  <c r="F297" i="1"/>
  <c r="S296" i="1"/>
  <c r="O296" i="1"/>
  <c r="J296" i="1"/>
  <c r="F296" i="1"/>
  <c r="S295" i="1"/>
  <c r="O295" i="1"/>
  <c r="J295" i="1"/>
  <c r="F295" i="1"/>
  <c r="S294" i="1"/>
  <c r="O294" i="1"/>
  <c r="P293" i="1" s="1"/>
  <c r="J294" i="1"/>
  <c r="F294" i="1"/>
  <c r="T293" i="1"/>
  <c r="S293" i="1"/>
  <c r="C257" i="1"/>
  <c r="C258" i="1" s="1"/>
  <c r="C259" i="1" s="1"/>
  <c r="C260" i="1" s="1"/>
  <c r="C261" i="1" s="1"/>
  <c r="C262" i="1" s="1"/>
  <c r="C263" i="1" s="1"/>
  <c r="C264" i="1" s="1"/>
  <c r="C265" i="1" s="1"/>
  <c r="C221" i="1"/>
  <c r="C220" i="1"/>
  <c r="C219" i="1"/>
  <c r="C218" i="1"/>
  <c r="J217" i="1"/>
  <c r="F217" i="1"/>
  <c r="C217" i="1"/>
  <c r="J216" i="1"/>
  <c r="F216" i="1"/>
  <c r="C216" i="1"/>
  <c r="F215" i="1"/>
  <c r="C215" i="1"/>
  <c r="C214" i="1"/>
  <c r="J213" i="1"/>
  <c r="F213" i="1"/>
  <c r="C213" i="1"/>
  <c r="J212" i="1"/>
  <c r="F212" i="1"/>
  <c r="C212" i="1"/>
  <c r="J211" i="1"/>
  <c r="F211" i="1"/>
  <c r="C211" i="1"/>
  <c r="C210" i="1"/>
  <c r="J209" i="1"/>
  <c r="F209" i="1"/>
  <c r="C209" i="1"/>
  <c r="J208" i="1"/>
  <c r="F208" i="1"/>
  <c r="C208" i="1"/>
  <c r="J207" i="1"/>
  <c r="F207" i="1"/>
  <c r="C207" i="1"/>
  <c r="J206" i="1"/>
  <c r="C206" i="1"/>
  <c r="C205" i="1"/>
  <c r="J204" i="1"/>
  <c r="F204" i="1"/>
  <c r="C204" i="1"/>
  <c r="J203" i="1"/>
  <c r="F203" i="1"/>
  <c r="C203" i="1"/>
  <c r="C202" i="1"/>
  <c r="J201" i="1"/>
  <c r="F201" i="1"/>
  <c r="C201" i="1"/>
  <c r="J200" i="1"/>
  <c r="F200" i="1"/>
  <c r="C200" i="1"/>
  <c r="J199" i="1"/>
  <c r="F199" i="1"/>
  <c r="C199" i="1"/>
  <c r="C198" i="1"/>
  <c r="J197" i="1"/>
  <c r="F197" i="1"/>
  <c r="C197" i="1"/>
  <c r="J196" i="1"/>
  <c r="F196" i="1"/>
  <c r="C196" i="1"/>
  <c r="J195" i="1"/>
  <c r="F195" i="1"/>
  <c r="C195" i="1"/>
  <c r="C194" i="1"/>
  <c r="J193" i="1"/>
  <c r="F193" i="1"/>
  <c r="C193" i="1"/>
  <c r="J192" i="1"/>
  <c r="F192" i="1"/>
  <c r="C192" i="1"/>
  <c r="J191" i="1"/>
  <c r="F191" i="1"/>
  <c r="C191" i="1"/>
  <c r="C190" i="1"/>
  <c r="J189" i="1"/>
  <c r="F189" i="1"/>
  <c r="C189" i="1"/>
  <c r="C188" i="1"/>
  <c r="C186" i="1"/>
  <c r="D183" i="1"/>
  <c r="C182" i="1"/>
  <c r="J181" i="1"/>
  <c r="F181" i="1"/>
  <c r="C181" i="1"/>
  <c r="J180" i="1"/>
  <c r="F180" i="1"/>
  <c r="C180" i="1"/>
  <c r="J179" i="1"/>
  <c r="F179" i="1"/>
  <c r="C179" i="1"/>
  <c r="C178" i="1"/>
  <c r="O177" i="1"/>
  <c r="J177" i="1"/>
  <c r="F177" i="1"/>
  <c r="C177" i="1"/>
  <c r="O176" i="1"/>
  <c r="J176" i="1"/>
  <c r="F176" i="1"/>
  <c r="C176" i="1"/>
  <c r="O175" i="1"/>
  <c r="J175" i="1"/>
  <c r="F175" i="1"/>
  <c r="C175" i="1"/>
  <c r="O174" i="1"/>
  <c r="J174" i="1"/>
  <c r="E39" i="5" s="1"/>
  <c r="F174" i="1"/>
  <c r="C174" i="1"/>
  <c r="O173" i="1"/>
  <c r="J173" i="1"/>
  <c r="F173" i="1"/>
  <c r="C173" i="1"/>
  <c r="O172" i="1"/>
  <c r="J172" i="1"/>
  <c r="F172" i="1"/>
  <c r="C172" i="1"/>
  <c r="S171" i="1"/>
  <c r="O171" i="1"/>
  <c r="J171" i="1"/>
  <c r="F171" i="1"/>
  <c r="S170" i="1"/>
  <c r="O170" i="1"/>
  <c r="J170" i="1"/>
  <c r="F170" i="1"/>
  <c r="S169" i="1"/>
  <c r="O169" i="1"/>
  <c r="J169" i="1"/>
  <c r="F169" i="1"/>
  <c r="S168" i="1"/>
  <c r="O168" i="1"/>
  <c r="J168" i="1"/>
  <c r="F168" i="1"/>
  <c r="S167" i="1"/>
  <c r="T167" i="1" s="1"/>
  <c r="P167" i="1"/>
  <c r="G167" i="1"/>
  <c r="C133" i="1"/>
  <c r="C132" i="1"/>
  <c r="C131" i="1"/>
  <c r="C130" i="1"/>
  <c r="J129" i="1"/>
  <c r="F129" i="1"/>
  <c r="C129" i="1"/>
  <c r="J128" i="1"/>
  <c r="F128" i="1"/>
  <c r="C128" i="1"/>
  <c r="J127" i="1"/>
  <c r="F127" i="1"/>
  <c r="C127" i="1"/>
  <c r="C126" i="1"/>
  <c r="J125" i="1"/>
  <c r="F125" i="1"/>
  <c r="C125" i="1"/>
  <c r="J124" i="1"/>
  <c r="F124" i="1"/>
  <c r="C124" i="1"/>
  <c r="J123" i="1"/>
  <c r="F123" i="1"/>
  <c r="C123" i="1"/>
  <c r="C122" i="1"/>
  <c r="J121" i="1"/>
  <c r="F121" i="1"/>
  <c r="C121" i="1"/>
  <c r="J120" i="1"/>
  <c r="F120" i="1"/>
  <c r="C120" i="1"/>
  <c r="J119" i="1"/>
  <c r="F119" i="1"/>
  <c r="C119" i="1"/>
  <c r="J118" i="1"/>
  <c r="F118" i="1"/>
  <c r="C118" i="1"/>
  <c r="C117" i="1"/>
  <c r="J116" i="1"/>
  <c r="F116" i="1"/>
  <c r="C116" i="1"/>
  <c r="J115" i="1"/>
  <c r="F115" i="1"/>
  <c r="C115" i="1"/>
  <c r="C114" i="1"/>
  <c r="J113" i="1"/>
  <c r="F113" i="1"/>
  <c r="C113" i="1"/>
  <c r="J112" i="1"/>
  <c r="F112" i="1"/>
  <c r="C112" i="1"/>
  <c r="J111" i="1"/>
  <c r="F111" i="1"/>
  <c r="C111" i="1"/>
  <c r="C110" i="1"/>
  <c r="J109" i="1"/>
  <c r="F109" i="1"/>
  <c r="C109" i="1"/>
  <c r="J108" i="1"/>
  <c r="F108" i="1"/>
  <c r="C108" i="1"/>
  <c r="J107" i="1"/>
  <c r="F107" i="1"/>
  <c r="C107" i="1"/>
  <c r="C106" i="1"/>
  <c r="J105" i="1"/>
  <c r="F105" i="1"/>
  <c r="C105" i="1"/>
  <c r="J104" i="1"/>
  <c r="F104" i="1"/>
  <c r="C104" i="1"/>
  <c r="J103" i="1"/>
  <c r="F103" i="1"/>
  <c r="C103" i="1"/>
  <c r="C102" i="1"/>
  <c r="J101" i="1"/>
  <c r="F101" i="1"/>
  <c r="C101" i="1"/>
  <c r="C100" i="1"/>
  <c r="C98" i="1"/>
  <c r="J95" i="1"/>
  <c r="F95" i="1"/>
  <c r="D95" i="1"/>
  <c r="C95" i="1" s="1"/>
  <c r="O94" i="1"/>
  <c r="C94" i="1"/>
  <c r="O93" i="1"/>
  <c r="J93" i="1"/>
  <c r="F93" i="1"/>
  <c r="C93" i="1"/>
  <c r="O92" i="1"/>
  <c r="J92" i="1"/>
  <c r="F92" i="1"/>
  <c r="C92" i="1"/>
  <c r="O91" i="1"/>
  <c r="J91" i="1"/>
  <c r="F91" i="1"/>
  <c r="C91" i="1"/>
  <c r="O90" i="1"/>
  <c r="C90" i="1"/>
  <c r="O89" i="1"/>
  <c r="J89" i="1"/>
  <c r="F89" i="1"/>
  <c r="C89" i="1"/>
  <c r="O88" i="1"/>
  <c r="J88" i="1"/>
  <c r="F88" i="1"/>
  <c r="C88" i="1"/>
  <c r="O87" i="1"/>
  <c r="J87" i="1"/>
  <c r="F87" i="1"/>
  <c r="C87" i="1"/>
  <c r="O86" i="1"/>
  <c r="J86" i="1"/>
  <c r="F86" i="1"/>
  <c r="C86" i="1"/>
  <c r="S85" i="1"/>
  <c r="O85" i="1"/>
  <c r="J85" i="1"/>
  <c r="F85" i="1"/>
  <c r="C85" i="1"/>
  <c r="S84" i="1"/>
  <c r="O84" i="1"/>
  <c r="J84" i="1"/>
  <c r="F84" i="1"/>
  <c r="G79" i="1" s="1"/>
  <c r="C84" i="1"/>
  <c r="S83" i="1"/>
  <c r="O83" i="1"/>
  <c r="J83" i="1"/>
  <c r="F83" i="1"/>
  <c r="S82" i="1"/>
  <c r="O82" i="1"/>
  <c r="J82" i="1"/>
  <c r="F82" i="1"/>
  <c r="S81" i="1"/>
  <c r="O81" i="1"/>
  <c r="J81" i="1"/>
  <c r="F81" i="1"/>
  <c r="S80" i="1"/>
  <c r="O80" i="1"/>
  <c r="J80" i="1"/>
  <c r="F80" i="1"/>
  <c r="S79" i="1"/>
  <c r="T79" i="1" s="1"/>
  <c r="P79" i="1"/>
  <c r="C58" i="1"/>
  <c r="C57" i="1"/>
  <c r="C56" i="1"/>
  <c r="C55" i="1"/>
  <c r="C54" i="1"/>
  <c r="J53" i="1"/>
  <c r="F53" i="1"/>
  <c r="C53" i="1"/>
  <c r="J52" i="1"/>
  <c r="D49" i="5" s="1"/>
  <c r="F52" i="1"/>
  <c r="C52" i="1"/>
  <c r="F51" i="1"/>
  <c r="C51" i="1"/>
  <c r="C50" i="1"/>
  <c r="J49" i="1"/>
  <c r="F49" i="1"/>
  <c r="C49" i="1"/>
  <c r="J48" i="1"/>
  <c r="F48" i="1"/>
  <c r="C48" i="1"/>
  <c r="J47" i="1"/>
  <c r="F47" i="1"/>
  <c r="C47" i="1"/>
  <c r="C46" i="1"/>
  <c r="J45" i="1"/>
  <c r="F45" i="1"/>
  <c r="C45" i="1"/>
  <c r="J44" i="1"/>
  <c r="F44" i="1"/>
  <c r="C44" i="1"/>
  <c r="J43" i="1"/>
  <c r="F43" i="1"/>
  <c r="C43" i="1"/>
  <c r="C42" i="1"/>
  <c r="J41" i="1"/>
  <c r="D47" i="5" s="1"/>
  <c r="F41" i="1"/>
  <c r="C47" i="5" s="1"/>
  <c r="C41" i="1"/>
  <c r="C40" i="1"/>
  <c r="J39" i="1"/>
  <c r="F39" i="1"/>
  <c r="C39" i="1"/>
  <c r="J38" i="1"/>
  <c r="F38" i="1"/>
  <c r="C46" i="5" s="1"/>
  <c r="C38" i="1"/>
  <c r="C37" i="1"/>
  <c r="J36" i="1"/>
  <c r="F36" i="1"/>
  <c r="C36" i="1"/>
  <c r="J35" i="1"/>
  <c r="F35" i="1"/>
  <c r="C35" i="1"/>
  <c r="J34" i="1"/>
  <c r="D45" i="5" s="1"/>
  <c r="F34" i="1"/>
  <c r="C34" i="1"/>
  <c r="C33" i="1"/>
  <c r="J32" i="1"/>
  <c r="F32" i="1"/>
  <c r="C32" i="1"/>
  <c r="J31" i="1"/>
  <c r="F31" i="1"/>
  <c r="C31" i="1"/>
  <c r="J30" i="1"/>
  <c r="F30" i="1"/>
  <c r="C44" i="5" s="1"/>
  <c r="C30" i="1"/>
  <c r="C29" i="1"/>
  <c r="J28" i="1"/>
  <c r="F28" i="1"/>
  <c r="C28" i="1"/>
  <c r="J27" i="1"/>
  <c r="F27" i="1"/>
  <c r="C27" i="1"/>
  <c r="J26" i="1"/>
  <c r="F26" i="1"/>
  <c r="C26" i="1"/>
  <c r="C25" i="1"/>
  <c r="J24" i="1"/>
  <c r="F24" i="1"/>
  <c r="C24" i="1"/>
  <c r="C23" i="1"/>
  <c r="C21" i="1"/>
  <c r="J18" i="1"/>
  <c r="F18" i="1"/>
  <c r="D18" i="1"/>
  <c r="D19" i="1" s="1"/>
  <c r="C18" i="1"/>
  <c r="C17" i="1"/>
  <c r="J16" i="1"/>
  <c r="F16" i="1"/>
  <c r="C16" i="1"/>
  <c r="J15" i="1"/>
  <c r="F15" i="1"/>
  <c r="C15" i="1"/>
  <c r="J14" i="1"/>
  <c r="F14" i="1"/>
  <c r="C40" i="5" s="1"/>
  <c r="C14" i="1"/>
  <c r="C13" i="1"/>
  <c r="Y12" i="1"/>
  <c r="W12" i="1"/>
  <c r="O12" i="1"/>
  <c r="J12" i="1"/>
  <c r="F12" i="1"/>
  <c r="C12" i="1"/>
  <c r="Y11" i="1"/>
  <c r="W11" i="1"/>
  <c r="O11" i="1"/>
  <c r="J11" i="1"/>
  <c r="F11" i="1"/>
  <c r="C11" i="1"/>
  <c r="Y10" i="1"/>
  <c r="W10" i="1"/>
  <c r="S10" i="1"/>
  <c r="O10" i="1"/>
  <c r="J10" i="1"/>
  <c r="D39" i="5" s="1"/>
  <c r="F10" i="1"/>
  <c r="C10" i="1"/>
  <c r="Y9" i="1"/>
  <c r="W9" i="1"/>
  <c r="S9" i="1"/>
  <c r="O9" i="1"/>
  <c r="J9" i="1"/>
  <c r="F9" i="1"/>
  <c r="C9" i="1"/>
  <c r="Y8" i="1"/>
  <c r="W8" i="1"/>
  <c r="S8" i="1"/>
  <c r="O8" i="1"/>
  <c r="J8" i="1"/>
  <c r="F8" i="1"/>
  <c r="C8" i="1"/>
  <c r="Y7" i="1"/>
  <c r="W7" i="1"/>
  <c r="S7" i="1"/>
  <c r="O7" i="1"/>
  <c r="J7" i="1"/>
  <c r="F7" i="1"/>
  <c r="C7" i="1"/>
  <c r="Y6" i="1"/>
  <c r="W6" i="1"/>
  <c r="S6" i="1"/>
  <c r="O6" i="1"/>
  <c r="J6" i="1"/>
  <c r="F6" i="1"/>
  <c r="Y5" i="1"/>
  <c r="W5" i="1"/>
  <c r="S5" i="1"/>
  <c r="O5" i="1"/>
  <c r="J5" i="1"/>
  <c r="F5" i="1"/>
  <c r="Y4" i="1"/>
  <c r="W4" i="1"/>
  <c r="S4" i="1"/>
  <c r="O4" i="1"/>
  <c r="J4" i="1"/>
  <c r="F4" i="1"/>
  <c r="Y3" i="1"/>
  <c r="W3" i="1"/>
  <c r="S3" i="1"/>
  <c r="R3" i="1"/>
  <c r="O3" i="1"/>
  <c r="P2" i="1" s="1"/>
  <c r="Q3" i="1" s="1"/>
  <c r="J3" i="1"/>
  <c r="F3" i="1"/>
  <c r="Y2" i="1"/>
  <c r="T2" i="1"/>
  <c r="T14" i="1" s="1"/>
  <c r="S2" i="1"/>
  <c r="L2" i="1"/>
  <c r="G2" i="1"/>
  <c r="C19" i="1" l="1"/>
  <c r="J19" i="1"/>
  <c r="F19" i="1"/>
  <c r="D20" i="1"/>
  <c r="D37" i="5"/>
  <c r="D38" i="5"/>
  <c r="C45" i="5"/>
  <c r="D48" i="5"/>
  <c r="D96" i="1"/>
  <c r="F372" i="1"/>
  <c r="D373" i="1"/>
  <c r="C372" i="1"/>
  <c r="J372" i="1"/>
  <c r="F459" i="1"/>
  <c r="D460" i="1"/>
  <c r="C459" i="1"/>
  <c r="J459" i="1"/>
  <c r="J20" i="2"/>
  <c r="F20" i="2"/>
  <c r="D21" i="2"/>
  <c r="C20" i="2"/>
  <c r="F608" i="2"/>
  <c r="D609" i="2"/>
  <c r="C608" i="2"/>
  <c r="J608" i="2"/>
  <c r="F720" i="2"/>
  <c r="G702" i="2" s="1"/>
  <c r="D721" i="2"/>
  <c r="C720" i="2"/>
  <c r="J720" i="2"/>
  <c r="C49" i="5"/>
  <c r="J104" i="2"/>
  <c r="F104" i="2"/>
  <c r="D105" i="2"/>
  <c r="C104" i="2"/>
  <c r="D184" i="1"/>
  <c r="C183" i="1"/>
  <c r="D579" i="1"/>
  <c r="C578" i="1"/>
  <c r="J578" i="1"/>
  <c r="F578" i="1"/>
  <c r="D769" i="1"/>
  <c r="C768" i="1"/>
  <c r="J768" i="1"/>
  <c r="F768" i="1"/>
  <c r="J211" i="2"/>
  <c r="F211" i="2"/>
  <c r="D212" i="2"/>
  <c r="C211" i="2"/>
  <c r="J298" i="2"/>
  <c r="F298" i="2"/>
  <c r="D299" i="2"/>
  <c r="C298" i="2"/>
  <c r="J830" i="2"/>
  <c r="F830" i="2"/>
  <c r="D831" i="2"/>
  <c r="C830" i="2"/>
  <c r="C37" i="5"/>
  <c r="C38" i="5"/>
  <c r="T13" i="1"/>
  <c r="D44" i="5"/>
  <c r="D46" i="5"/>
  <c r="C48" i="5"/>
  <c r="J183" i="1"/>
  <c r="F310" i="1"/>
  <c r="D311" i="1"/>
  <c r="C310" i="1"/>
  <c r="J310" i="1"/>
  <c r="J659" i="1"/>
  <c r="F659" i="1"/>
  <c r="D660" i="1"/>
  <c r="C659" i="1"/>
  <c r="F887" i="1"/>
  <c r="D888" i="1"/>
  <c r="C887" i="1"/>
  <c r="J887" i="1"/>
  <c r="D392" i="2"/>
  <c r="C391" i="2"/>
  <c r="F391" i="2"/>
  <c r="F500" i="2"/>
  <c r="D501" i="2"/>
  <c r="C500" i="2"/>
  <c r="J500" i="2"/>
  <c r="J309" i="1"/>
  <c r="J371" i="1"/>
  <c r="J458" i="1"/>
  <c r="F577" i="1"/>
  <c r="G561" i="1" s="1"/>
  <c r="C658" i="1"/>
  <c r="F767" i="1"/>
  <c r="G751" i="1" s="1"/>
  <c r="C39" i="5"/>
  <c r="J886" i="1"/>
  <c r="D54" i="5"/>
  <c r="C55" i="5"/>
  <c r="C19" i="2"/>
  <c r="C62" i="5"/>
  <c r="C64" i="5"/>
  <c r="C66" i="5"/>
  <c r="C103" i="2"/>
  <c r="C210" i="2"/>
  <c r="C297" i="2"/>
  <c r="F390" i="2"/>
  <c r="G373" i="2" s="1"/>
  <c r="H2" i="2" s="1"/>
  <c r="J499" i="2"/>
  <c r="J607" i="2"/>
  <c r="J719" i="2"/>
  <c r="C60" i="5"/>
  <c r="D645" i="3"/>
  <c r="C644" i="3"/>
  <c r="J644" i="3"/>
  <c r="F644" i="3"/>
  <c r="C309" i="1"/>
  <c r="C371" i="1"/>
  <c r="C458" i="1"/>
  <c r="J577" i="1"/>
  <c r="J767" i="1"/>
  <c r="D40" i="5"/>
  <c r="C886" i="1"/>
  <c r="D55" i="5"/>
  <c r="D64" i="5"/>
  <c r="D66" i="5"/>
  <c r="J390" i="2"/>
  <c r="C499" i="2"/>
  <c r="C607" i="2"/>
  <c r="C719" i="2"/>
  <c r="J923" i="2"/>
  <c r="J425" i="3"/>
  <c r="F425" i="3"/>
  <c r="D426" i="3"/>
  <c r="C425" i="3"/>
  <c r="C767" i="1"/>
  <c r="C43" i="5"/>
  <c r="Q16" i="2"/>
  <c r="C390" i="2"/>
  <c r="C63" i="5"/>
  <c r="D112" i="3"/>
  <c r="C111" i="3"/>
  <c r="F111" i="3"/>
  <c r="D863" i="3"/>
  <c r="C862" i="3"/>
  <c r="J862" i="3"/>
  <c r="F862" i="3"/>
  <c r="D43" i="5"/>
  <c r="D926" i="2"/>
  <c r="F924" i="2"/>
  <c r="T11" i="3"/>
  <c r="U91" i="3"/>
  <c r="J213" i="3"/>
  <c r="F213" i="3"/>
  <c r="D214" i="3"/>
  <c r="C213" i="3"/>
  <c r="J753" i="3"/>
  <c r="F753" i="3"/>
  <c r="D754" i="3"/>
  <c r="C753" i="3"/>
  <c r="D60" i="5"/>
  <c r="F20" i="3"/>
  <c r="D21" i="3"/>
  <c r="D315" i="3"/>
  <c r="D532" i="3"/>
  <c r="F643" i="3"/>
  <c r="F861" i="3"/>
  <c r="D3" i="5"/>
  <c r="F975" i="3"/>
  <c r="V2" i="4"/>
  <c r="D560" i="4"/>
  <c r="F558" i="4"/>
  <c r="C558" i="4"/>
  <c r="J558" i="4"/>
  <c r="D11" i="5"/>
  <c r="D15" i="5"/>
  <c r="C110" i="3"/>
  <c r="J110" i="3"/>
  <c r="F314" i="3"/>
  <c r="F424" i="3"/>
  <c r="F752" i="3"/>
  <c r="C976" i="3"/>
  <c r="C218" i="4"/>
  <c r="J219" i="4"/>
  <c r="J218" i="4"/>
  <c r="F219" i="4"/>
  <c r="F218" i="4"/>
  <c r="C20" i="3"/>
  <c r="D13" i="5"/>
  <c r="C7" i="5"/>
  <c r="C643" i="3"/>
  <c r="C861" i="3"/>
  <c r="D978" i="3"/>
  <c r="D6" i="5"/>
  <c r="F976" i="3"/>
  <c r="D9" i="5"/>
  <c r="C22" i="5"/>
  <c r="F21" i="4"/>
  <c r="D22" i="4"/>
  <c r="F110" i="4"/>
  <c r="J215" i="4"/>
  <c r="F216" i="4"/>
  <c r="G214" i="4" s="1"/>
  <c r="J348" i="4"/>
  <c r="F349" i="4"/>
  <c r="F447" i="4"/>
  <c r="J557" i="4"/>
  <c r="J671" i="4"/>
  <c r="J988" i="4"/>
  <c r="F988" i="4"/>
  <c r="D989" i="4"/>
  <c r="C26" i="5"/>
  <c r="D31" i="5"/>
  <c r="D21" i="5"/>
  <c r="H11" i="4"/>
  <c r="D22" i="5"/>
  <c r="D23" i="5"/>
  <c r="J21" i="4"/>
  <c r="D30" i="5"/>
  <c r="D111" i="4"/>
  <c r="J349" i="4"/>
  <c r="D351" i="4"/>
  <c r="D448" i="4"/>
  <c r="C557" i="4"/>
  <c r="D672" i="4"/>
  <c r="G852" i="4"/>
  <c r="U852" i="4"/>
  <c r="V851" i="4" s="1"/>
  <c r="J870" i="4"/>
  <c r="C870" i="4"/>
  <c r="D871" i="4"/>
  <c r="F870" i="4"/>
  <c r="Q2" i="12"/>
  <c r="M2" i="12"/>
  <c r="C20" i="5"/>
  <c r="C110" i="4"/>
  <c r="G196" i="4"/>
  <c r="C216" i="4"/>
  <c r="C447" i="4"/>
  <c r="C23" i="5"/>
  <c r="C988" i="4"/>
  <c r="O2" i="12"/>
  <c r="K3" i="12"/>
  <c r="K2" i="12"/>
  <c r="P2" i="12"/>
  <c r="O3" i="12"/>
  <c r="Q3" i="12"/>
  <c r="R2" i="12"/>
  <c r="M3" i="12"/>
  <c r="N2" i="12"/>
  <c r="B10" i="9"/>
  <c r="B15" i="9" s="1"/>
  <c r="V12" i="4" l="1"/>
  <c r="D533" i="3"/>
  <c r="C532" i="3"/>
  <c r="F532" i="3"/>
  <c r="J214" i="3"/>
  <c r="D216" i="3"/>
  <c r="F214" i="3"/>
  <c r="C214" i="3"/>
  <c r="D503" i="2"/>
  <c r="F501" i="2"/>
  <c r="C501" i="2"/>
  <c r="J501" i="2"/>
  <c r="D394" i="2"/>
  <c r="F392" i="2"/>
  <c r="C392" i="2"/>
  <c r="J392" i="2"/>
  <c r="C579" i="1"/>
  <c r="J579" i="1"/>
  <c r="D581" i="1"/>
  <c r="F579" i="1"/>
  <c r="D723" i="2"/>
  <c r="F721" i="2"/>
  <c r="C721" i="2"/>
  <c r="J721" i="2"/>
  <c r="D611" i="2"/>
  <c r="F609" i="2"/>
  <c r="C609" i="2"/>
  <c r="J609" i="2"/>
  <c r="D462" i="1"/>
  <c r="F460" i="1"/>
  <c r="C460" i="1"/>
  <c r="J460" i="1"/>
  <c r="D375" i="1"/>
  <c r="F373" i="1"/>
  <c r="C373" i="1"/>
  <c r="J373" i="1"/>
  <c r="F871" i="4"/>
  <c r="D872" i="4"/>
  <c r="C871" i="4"/>
  <c r="J448" i="4"/>
  <c r="D449" i="4"/>
  <c r="F448" i="4"/>
  <c r="C448" i="4"/>
  <c r="J989" i="4"/>
  <c r="D991" i="4"/>
  <c r="F989" i="4"/>
  <c r="C989" i="4"/>
  <c r="C22" i="4"/>
  <c r="D24" i="4"/>
  <c r="J22" i="4"/>
  <c r="F22" i="4"/>
  <c r="J979" i="3"/>
  <c r="F978" i="3"/>
  <c r="G974" i="3" s="1"/>
  <c r="J978" i="3"/>
  <c r="F979" i="3"/>
  <c r="C978" i="3"/>
  <c r="C315" i="3"/>
  <c r="J315" i="3"/>
  <c r="F315" i="3"/>
  <c r="D316" i="3"/>
  <c r="C645" i="3"/>
  <c r="J645" i="3"/>
  <c r="D647" i="3"/>
  <c r="F645" i="3"/>
  <c r="J831" i="2"/>
  <c r="D833" i="2"/>
  <c r="F831" i="2"/>
  <c r="C831" i="2"/>
  <c r="J299" i="2"/>
  <c r="D301" i="2"/>
  <c r="F299" i="2"/>
  <c r="C299" i="2"/>
  <c r="J212" i="2"/>
  <c r="D214" i="2"/>
  <c r="F212" i="2"/>
  <c r="C212" i="2"/>
  <c r="J111" i="4"/>
  <c r="D112" i="4"/>
  <c r="F111" i="4"/>
  <c r="C111" i="4"/>
  <c r="J352" i="4"/>
  <c r="J351" i="4"/>
  <c r="F352" i="4"/>
  <c r="F351" i="4"/>
  <c r="G347" i="4" s="1"/>
  <c r="C351" i="4"/>
  <c r="H19" i="4"/>
  <c r="F561" i="4"/>
  <c r="C560" i="4"/>
  <c r="J560" i="4"/>
  <c r="J561" i="4"/>
  <c r="F560" i="4"/>
  <c r="G556" i="4" s="1"/>
  <c r="V13" i="4"/>
  <c r="C21" i="3"/>
  <c r="J21" i="3"/>
  <c r="F21" i="3"/>
  <c r="D22" i="3"/>
  <c r="C863" i="3"/>
  <c r="J863" i="3"/>
  <c r="D865" i="3"/>
  <c r="F863" i="3"/>
  <c r="D114" i="3"/>
  <c r="F112" i="3"/>
  <c r="C112" i="3"/>
  <c r="J112" i="3"/>
  <c r="J660" i="1"/>
  <c r="D662" i="1"/>
  <c r="F660" i="1"/>
  <c r="C660" i="1"/>
  <c r="D185" i="1"/>
  <c r="C184" i="1"/>
  <c r="J184" i="1"/>
  <c r="F184" i="1"/>
  <c r="J105" i="2"/>
  <c r="D58" i="5" s="1"/>
  <c r="D107" i="2"/>
  <c r="F105" i="2"/>
  <c r="C105" i="2"/>
  <c r="C96" i="1"/>
  <c r="J96" i="1"/>
  <c r="F96" i="1"/>
  <c r="D97" i="1"/>
  <c r="C672" i="4"/>
  <c r="J672" i="4"/>
  <c r="D674" i="4"/>
  <c r="F672" i="4"/>
  <c r="J754" i="3"/>
  <c r="D756" i="3"/>
  <c r="F754" i="3"/>
  <c r="C754" i="3"/>
  <c r="F927" i="2"/>
  <c r="F926" i="2"/>
  <c r="J927" i="2"/>
  <c r="C926" i="2"/>
  <c r="J926" i="2"/>
  <c r="J426" i="3"/>
  <c r="D428" i="3"/>
  <c r="F426" i="3"/>
  <c r="C426" i="3"/>
  <c r="D890" i="1"/>
  <c r="F888" i="1"/>
  <c r="C888" i="1"/>
  <c r="J888" i="1"/>
  <c r="D313" i="1"/>
  <c r="F311" i="1"/>
  <c r="C311" i="1"/>
  <c r="J311" i="1"/>
  <c r="C769" i="1"/>
  <c r="J769" i="1"/>
  <c r="D771" i="1"/>
  <c r="F769" i="1"/>
  <c r="F21" i="2"/>
  <c r="C58" i="5" s="1"/>
  <c r="D23" i="2"/>
  <c r="C21" i="2"/>
  <c r="C20" i="1"/>
  <c r="J20" i="1"/>
  <c r="D22" i="1"/>
  <c r="F20" i="1"/>
  <c r="F314" i="1" l="1"/>
  <c r="C313" i="1"/>
  <c r="J313" i="1"/>
  <c r="J314" i="1"/>
  <c r="F313" i="1"/>
  <c r="F891" i="1"/>
  <c r="C890" i="1"/>
  <c r="J890" i="1"/>
  <c r="J891" i="1"/>
  <c r="F890" i="1"/>
  <c r="J757" i="3"/>
  <c r="F756" i="3"/>
  <c r="F757" i="3"/>
  <c r="G752" i="3" s="1"/>
  <c r="C756" i="3"/>
  <c r="J756" i="3"/>
  <c r="J674" i="4"/>
  <c r="F674" i="4"/>
  <c r="J675" i="4"/>
  <c r="F675" i="4"/>
  <c r="C674" i="4"/>
  <c r="C865" i="3"/>
  <c r="J865" i="3"/>
  <c r="J866" i="3"/>
  <c r="F865" i="3"/>
  <c r="F866" i="3"/>
  <c r="G861" i="3" s="1"/>
  <c r="F648" i="3"/>
  <c r="C647" i="3"/>
  <c r="F647" i="3"/>
  <c r="J648" i="3"/>
  <c r="C581" i="1"/>
  <c r="J581" i="1"/>
  <c r="J582" i="1"/>
  <c r="F581" i="1"/>
  <c r="F582" i="1"/>
  <c r="J108" i="2"/>
  <c r="F107" i="2"/>
  <c r="F108" i="2"/>
  <c r="C107" i="2"/>
  <c r="J107" i="2"/>
  <c r="J663" i="1"/>
  <c r="F662" i="1"/>
  <c r="F663" i="1"/>
  <c r="C662" i="1"/>
  <c r="J662" i="1"/>
  <c r="F112" i="4"/>
  <c r="C112" i="4"/>
  <c r="D114" i="4"/>
  <c r="J112" i="4"/>
  <c r="D24" i="5" s="1"/>
  <c r="J215" i="2"/>
  <c r="F214" i="2"/>
  <c r="F215" i="2"/>
  <c r="C214" i="2"/>
  <c r="J214" i="2"/>
  <c r="J302" i="2"/>
  <c r="F301" i="2"/>
  <c r="F302" i="2"/>
  <c r="C301" i="2"/>
  <c r="J301" i="2"/>
  <c r="J834" i="2"/>
  <c r="F833" i="2"/>
  <c r="F834" i="2"/>
  <c r="C833" i="2"/>
  <c r="J833" i="2"/>
  <c r="J872" i="4"/>
  <c r="D874" i="4"/>
  <c r="F872" i="4"/>
  <c r="C872" i="4"/>
  <c r="J217" i="3"/>
  <c r="F216" i="3"/>
  <c r="F217" i="3"/>
  <c r="G212" i="3" s="1"/>
  <c r="C216" i="3"/>
  <c r="J216" i="3"/>
  <c r="D535" i="3"/>
  <c r="C533" i="3"/>
  <c r="F533" i="3"/>
  <c r="C771" i="1"/>
  <c r="J771" i="1"/>
  <c r="J772" i="1"/>
  <c r="F771" i="1"/>
  <c r="F772" i="1"/>
  <c r="C185" i="1"/>
  <c r="J185" i="1"/>
  <c r="F185" i="1"/>
  <c r="D187" i="1"/>
  <c r="J115" i="3"/>
  <c r="F115" i="3"/>
  <c r="G110" i="3" s="1"/>
  <c r="C114" i="3"/>
  <c r="F114" i="3"/>
  <c r="F25" i="4"/>
  <c r="F24" i="4"/>
  <c r="C24" i="4"/>
  <c r="J25" i="4"/>
  <c r="J24" i="4"/>
  <c r="J992" i="4"/>
  <c r="F991" i="4"/>
  <c r="G987" i="4" s="1"/>
  <c r="F992" i="4"/>
  <c r="C991" i="4"/>
  <c r="J991" i="4"/>
  <c r="F449" i="4"/>
  <c r="C24" i="5" s="1"/>
  <c r="C449" i="4"/>
  <c r="D451" i="4"/>
  <c r="J449" i="4"/>
  <c r="F376" i="1"/>
  <c r="C375" i="1"/>
  <c r="J375" i="1"/>
  <c r="J376" i="1"/>
  <c r="F375" i="1"/>
  <c r="F463" i="1"/>
  <c r="C462" i="1"/>
  <c r="J462" i="1"/>
  <c r="J463" i="1"/>
  <c r="F462" i="1"/>
  <c r="F612" i="2"/>
  <c r="C611" i="2"/>
  <c r="J611" i="2"/>
  <c r="J612" i="2"/>
  <c r="F611" i="2"/>
  <c r="F724" i="2"/>
  <c r="C723" i="2"/>
  <c r="J723" i="2"/>
  <c r="J724" i="2"/>
  <c r="F723" i="2"/>
  <c r="F395" i="2"/>
  <c r="C394" i="2"/>
  <c r="J394" i="2"/>
  <c r="J395" i="2"/>
  <c r="F394" i="2"/>
  <c r="F504" i="2"/>
  <c r="C503" i="2"/>
  <c r="J503" i="2"/>
  <c r="J504" i="2"/>
  <c r="F503" i="2"/>
  <c r="J22" i="1"/>
  <c r="J23" i="1"/>
  <c r="F22" i="1"/>
  <c r="F23" i="1"/>
  <c r="G4" i="1" s="1"/>
  <c r="H2" i="1" s="1"/>
  <c r="C22" i="1"/>
  <c r="J23" i="2"/>
  <c r="J24" i="2"/>
  <c r="F23" i="2"/>
  <c r="F24" i="2"/>
  <c r="C23" i="2"/>
  <c r="C41" i="5"/>
  <c r="J429" i="3"/>
  <c r="F428" i="3"/>
  <c r="F429" i="3"/>
  <c r="G424" i="3" s="1"/>
  <c r="C428" i="3"/>
  <c r="J428" i="3"/>
  <c r="G670" i="4"/>
  <c r="C97" i="1"/>
  <c r="J97" i="1"/>
  <c r="D41" i="5" s="1"/>
  <c r="D99" i="1"/>
  <c r="F97" i="1"/>
  <c r="C22" i="3"/>
  <c r="J22" i="3"/>
  <c r="D7" i="5" s="1"/>
  <c r="D24" i="3"/>
  <c r="F22" i="3"/>
  <c r="G643" i="3"/>
  <c r="C316" i="3"/>
  <c r="J316" i="3"/>
  <c r="D318" i="3"/>
  <c r="F316" i="3"/>
  <c r="D59" i="5" l="1"/>
  <c r="J318" i="3"/>
  <c r="J319" i="3"/>
  <c r="F318" i="3"/>
  <c r="F319" i="3"/>
  <c r="G314" i="3" s="1"/>
  <c r="C318" i="3"/>
  <c r="J24" i="3"/>
  <c r="J25" i="3"/>
  <c r="F24" i="3"/>
  <c r="F25" i="3"/>
  <c r="G20" i="3" s="1"/>
  <c r="H2" i="3" s="1"/>
  <c r="M2" i="3" s="1"/>
  <c r="N2" i="3" s="1"/>
  <c r="C24" i="3"/>
  <c r="J99" i="1"/>
  <c r="D42" i="5" s="1"/>
  <c r="J100" i="1"/>
  <c r="F99" i="1"/>
  <c r="F100" i="1"/>
  <c r="C99" i="1"/>
  <c r="C59" i="5"/>
  <c r="J188" i="1"/>
  <c r="F188" i="1"/>
  <c r="C187" i="1"/>
  <c r="J187" i="1"/>
  <c r="F187" i="1"/>
  <c r="C42" i="5"/>
  <c r="G20" i="4"/>
  <c r="C114" i="4"/>
  <c r="J115" i="4"/>
  <c r="D25" i="5" s="1"/>
  <c r="J114" i="4"/>
  <c r="F115" i="4"/>
  <c r="G110" i="4" s="1"/>
  <c r="F114" i="4"/>
  <c r="C25" i="5" s="1"/>
  <c r="C451" i="4"/>
  <c r="J452" i="4"/>
  <c r="J451" i="4"/>
  <c r="F452" i="4"/>
  <c r="F451" i="4"/>
  <c r="J536" i="3"/>
  <c r="F536" i="3"/>
  <c r="C535" i="3"/>
  <c r="F535" i="3"/>
  <c r="G531" i="3" s="1"/>
  <c r="J875" i="4"/>
  <c r="F874" i="4"/>
  <c r="F875" i="4"/>
  <c r="G870" i="4" s="1"/>
  <c r="C874" i="4"/>
  <c r="J874" i="4"/>
  <c r="D8" i="5" l="1"/>
  <c r="G447" i="4"/>
  <c r="H2" i="4" s="1"/>
  <c r="N2" i="4" s="1"/>
  <c r="O2" i="4" s="1"/>
</calcChain>
</file>

<file path=xl/sharedStrings.xml><?xml version="1.0" encoding="utf-8"?>
<sst xmlns="http://schemas.openxmlformats.org/spreadsheetml/2006/main" count="1491" uniqueCount="441">
  <si>
    <t>Treatment</t>
  </si>
  <si>
    <t>Week</t>
  </si>
  <si>
    <t>Days On HF diet</t>
  </si>
  <si>
    <t>Date</t>
  </si>
  <si>
    <t>Water Mass</t>
  </si>
  <si>
    <t>Av. Liquid Consumed (g/day)</t>
  </si>
  <si>
    <t>Mean</t>
  </si>
  <si>
    <t>Group mean</t>
  </si>
  <si>
    <t>Food mass (g)</t>
  </si>
  <si>
    <t>Av. Food Consumed (g/day)</t>
  </si>
  <si>
    <t>BW (g)</t>
  </si>
  <si>
    <t>Group Mean BW</t>
  </si>
  <si>
    <t>Group BW Males</t>
  </si>
  <si>
    <t>Group BW females</t>
  </si>
  <si>
    <t xml:space="preserve">Total liquid consumed </t>
  </si>
  <si>
    <t>sum for animal</t>
  </si>
  <si>
    <t>group total males</t>
  </si>
  <si>
    <t>group total females</t>
  </si>
  <si>
    <t>Food consumed</t>
  </si>
  <si>
    <t>total calories for animal</t>
  </si>
  <si>
    <t>HF1</t>
  </si>
  <si>
    <t>start baseline monitoring</t>
  </si>
  <si>
    <t>HF</t>
  </si>
  <si>
    <t>male</t>
  </si>
  <si>
    <t>cage change</t>
  </si>
  <si>
    <t>average cal per animal</t>
  </si>
  <si>
    <t>SEM</t>
  </si>
  <si>
    <t>last day of data collection</t>
  </si>
  <si>
    <t>END NAS</t>
  </si>
  <si>
    <t>HF2</t>
  </si>
  <si>
    <t>female</t>
  </si>
  <si>
    <t>Animal</t>
  </si>
  <si>
    <t>Group BW males</t>
  </si>
  <si>
    <t>Total liquid consumed</t>
  </si>
  <si>
    <t>Total for animal</t>
  </si>
  <si>
    <t>Total liquid for group males</t>
  </si>
  <si>
    <t>total for females</t>
  </si>
  <si>
    <t>BW</t>
  </si>
  <si>
    <t>SEM BW</t>
  </si>
  <si>
    <t>Cal</t>
  </si>
  <si>
    <t>SEM cal</t>
  </si>
  <si>
    <t>LF1</t>
  </si>
  <si>
    <t>LF</t>
  </si>
  <si>
    <t>Total cal group:</t>
  </si>
  <si>
    <t>sem</t>
  </si>
  <si>
    <t>last day data collection</t>
  </si>
  <si>
    <t>last data on NAS</t>
  </si>
  <si>
    <t>HF3</t>
  </si>
  <si>
    <t>NAS Concentration</t>
  </si>
  <si>
    <t>Grams SAAC</t>
  </si>
  <si>
    <t>total water consumption</t>
  </si>
  <si>
    <t>sum water for animal</t>
  </si>
  <si>
    <t>food consumed</t>
  </si>
  <si>
    <t>calories</t>
  </si>
  <si>
    <t>SAAC1</t>
  </si>
  <si>
    <t>LF2</t>
  </si>
  <si>
    <t>SAAC</t>
  </si>
  <si>
    <t>added SAAC</t>
  </si>
  <si>
    <t>HF4</t>
  </si>
  <si>
    <t>RIP</t>
  </si>
  <si>
    <t>New Caloric Restriction w/ Regular Food</t>
  </si>
  <si>
    <t>LF3</t>
  </si>
  <si>
    <t xml:space="preserve">cage change 
</t>
  </si>
  <si>
    <t>END</t>
  </si>
  <si>
    <t>SAAC2</t>
  </si>
  <si>
    <t>end NAS</t>
  </si>
  <si>
    <t>HF5</t>
  </si>
  <si>
    <t>B7</t>
  </si>
  <si>
    <t>SAAC3</t>
  </si>
  <si>
    <t>LF4</t>
  </si>
  <si>
    <t>severe CR started</t>
  </si>
  <si>
    <t>N/A</t>
  </si>
  <si>
    <t>HF6</t>
  </si>
  <si>
    <t>C6</t>
  </si>
  <si>
    <t>LF5</t>
  </si>
  <si>
    <t>NOT FED</t>
  </si>
  <si>
    <t>SAAC4</t>
  </si>
  <si>
    <t>severe CR</t>
  </si>
  <si>
    <t>LF6</t>
  </si>
  <si>
    <t>HF7</t>
  </si>
  <si>
    <t>B8</t>
  </si>
  <si>
    <t>SAAC5</t>
  </si>
  <si>
    <t>start caloric restriction</t>
  </si>
  <si>
    <t>HF8</t>
  </si>
  <si>
    <t>LF7</t>
  </si>
  <si>
    <t>DEAD</t>
  </si>
  <si>
    <t>SAAC6</t>
  </si>
  <si>
    <t>C3</t>
  </si>
  <si>
    <t>cage change (93.5)</t>
  </si>
  <si>
    <t>LF8</t>
  </si>
  <si>
    <t>HF9</t>
  </si>
  <si>
    <t>SAAC7</t>
  </si>
  <si>
    <t>C8</t>
  </si>
  <si>
    <t>HF10</t>
  </si>
  <si>
    <t>caloric restriction</t>
  </si>
  <si>
    <t>LF9</t>
  </si>
  <si>
    <t>SAAC8</t>
  </si>
  <si>
    <t>C7</t>
  </si>
  <si>
    <t>LF10</t>
  </si>
  <si>
    <t>SAAC9</t>
  </si>
  <si>
    <t>B6</t>
  </si>
  <si>
    <t>SAAC10</t>
  </si>
  <si>
    <t>Water 1</t>
  </si>
  <si>
    <t>Water 2</t>
  </si>
  <si>
    <t>Water 3</t>
  </si>
  <si>
    <t>Water 4</t>
  </si>
  <si>
    <t>Water 5</t>
  </si>
  <si>
    <t>Av water lost to drip/evaporation</t>
  </si>
  <si>
    <t>if weighed 40x each, then total amount water lost due to handling</t>
  </si>
  <si>
    <t>Av. Lost</t>
  </si>
  <si>
    <t>Average</t>
  </si>
  <si>
    <t>Males</t>
  </si>
  <si>
    <t>Females</t>
  </si>
  <si>
    <t>SACC 1</t>
  </si>
  <si>
    <t>SACC6</t>
  </si>
  <si>
    <t>SACC2</t>
  </si>
  <si>
    <t>SACC7</t>
  </si>
  <si>
    <t>SACC3</t>
  </si>
  <si>
    <t>SACC8</t>
  </si>
  <si>
    <t>SACC4</t>
  </si>
  <si>
    <t>SACC9</t>
  </si>
  <si>
    <t>SACC5</t>
  </si>
  <si>
    <t>SACC10</t>
  </si>
  <si>
    <t>STEV1</t>
  </si>
  <si>
    <t>STEV5</t>
  </si>
  <si>
    <t>STEV2</t>
  </si>
  <si>
    <t>STEV6</t>
  </si>
  <si>
    <t>STEV3</t>
  </si>
  <si>
    <t>STEV9</t>
  </si>
  <si>
    <t>STEV4</t>
  </si>
  <si>
    <t>STEV10</t>
  </si>
  <si>
    <t>STEV7</t>
  </si>
  <si>
    <t>Timeline</t>
  </si>
  <si>
    <t>Fecal sample Codes</t>
  </si>
  <si>
    <t>12/15/17: last day on stevia, last timepoint of weights 12/13/17</t>
  </si>
  <si>
    <t>Notes</t>
  </si>
  <si>
    <t>Animal name</t>
  </si>
  <si>
    <t>Coded sample name</t>
  </si>
  <si>
    <t>12/28/17: date of surgeries</t>
  </si>
  <si>
    <t>SACC1A</t>
  </si>
  <si>
    <t>SC1A</t>
  </si>
  <si>
    <t>start HF</t>
  </si>
  <si>
    <t>SACC2A</t>
  </si>
  <si>
    <t>SC2A</t>
  </si>
  <si>
    <t>1/6/18: surgeries</t>
  </si>
  <si>
    <t>Start NAS</t>
  </si>
  <si>
    <t>SACC3A</t>
  </si>
  <si>
    <t>SC3A</t>
  </si>
  <si>
    <t>1/18/18: Start caloric restriction gradual at 2g/day:</t>
  </si>
  <si>
    <t>SACC4A</t>
  </si>
  <si>
    <t>SC4A</t>
  </si>
  <si>
    <t>C2/Stev5</t>
  </si>
  <si>
    <t>SACC5A</t>
  </si>
  <si>
    <t>SC5A</t>
  </si>
  <si>
    <t>C4/Stev6</t>
  </si>
  <si>
    <t>SACC6A</t>
  </si>
  <si>
    <t>SC6A</t>
  </si>
  <si>
    <t>B6/Sacc9</t>
  </si>
  <si>
    <t>SACC7A</t>
  </si>
  <si>
    <t>SC7A</t>
  </si>
  <si>
    <t>B8/HF7</t>
  </si>
  <si>
    <t>SACC8A</t>
  </si>
  <si>
    <t>SC8A</t>
  </si>
  <si>
    <t>C8/Sacc7</t>
  </si>
  <si>
    <t>SAAC9A</t>
  </si>
  <si>
    <t>SC9A</t>
  </si>
  <si>
    <t>SACC10A</t>
  </si>
  <si>
    <t>SC10A</t>
  </si>
  <si>
    <t>1/25/18: Start Caloric restriction at 1g/day:</t>
  </si>
  <si>
    <t>C1/Stev9</t>
  </si>
  <si>
    <t>SACC1C</t>
  </si>
  <si>
    <t>SC1C</t>
  </si>
  <si>
    <t>C3/Sacc6</t>
  </si>
  <si>
    <t>SACC2C</t>
  </si>
  <si>
    <t>SC2C</t>
  </si>
  <si>
    <t>C5/Stev10</t>
  </si>
  <si>
    <t>SACC3C</t>
  </si>
  <si>
    <t>SC3C</t>
  </si>
  <si>
    <t>C6/HF6</t>
  </si>
  <si>
    <t>SACC4C</t>
  </si>
  <si>
    <t>SC4C</t>
  </si>
  <si>
    <t>C7/Sacc8</t>
  </si>
  <si>
    <t>SACC5C</t>
  </si>
  <si>
    <t>SC5C</t>
  </si>
  <si>
    <t>B7/HF5</t>
  </si>
  <si>
    <t>SACC6C</t>
  </si>
  <si>
    <t>SC6C</t>
  </si>
  <si>
    <t>2/6/18: all mice fed 1g/day</t>
  </si>
  <si>
    <t>SACC7C</t>
  </si>
  <si>
    <t>SC7C</t>
  </si>
  <si>
    <t>Spring spreadsheet: Orange indicates start of restriction for severe, yellow for gradual, green bars indicate mouse under 28g</t>
  </si>
  <si>
    <t>SACC8C</t>
  </si>
  <si>
    <t>SC8C</t>
  </si>
  <si>
    <t>SACC9C</t>
  </si>
  <si>
    <t>SC9C</t>
  </si>
  <si>
    <t>SACC10C</t>
  </si>
  <si>
    <t>SC10C</t>
  </si>
  <si>
    <t>STEV1A</t>
  </si>
  <si>
    <t>TV1A</t>
  </si>
  <si>
    <t>STEV2A</t>
  </si>
  <si>
    <t>TV2A</t>
  </si>
  <si>
    <t>STEV3A</t>
  </si>
  <si>
    <t>TV3A</t>
  </si>
  <si>
    <t>STEV4A</t>
  </si>
  <si>
    <t>TV4A</t>
  </si>
  <si>
    <t>STEV5A</t>
  </si>
  <si>
    <t>TV5A</t>
  </si>
  <si>
    <t>STEV6A</t>
  </si>
  <si>
    <t>TV6A</t>
  </si>
  <si>
    <t>TV7A</t>
  </si>
  <si>
    <t>STEV8A</t>
  </si>
  <si>
    <t>TV8A</t>
  </si>
  <si>
    <t>STEV9A</t>
  </si>
  <si>
    <t>TV9A</t>
  </si>
  <si>
    <t>STEV10A</t>
  </si>
  <si>
    <t>TV10A</t>
  </si>
  <si>
    <t>STEV1C</t>
  </si>
  <si>
    <t>TV1C</t>
  </si>
  <si>
    <t>STEV2C</t>
  </si>
  <si>
    <t>TV2C</t>
  </si>
  <si>
    <t>STEV3C</t>
  </si>
  <si>
    <t>TV3C</t>
  </si>
  <si>
    <t>STEV4C</t>
  </si>
  <si>
    <t>TV4C</t>
  </si>
  <si>
    <t>STEV5C</t>
  </si>
  <si>
    <t>TV5C</t>
  </si>
  <si>
    <t>STEV6C</t>
  </si>
  <si>
    <t>TV6C</t>
  </si>
  <si>
    <t>STEV7C</t>
  </si>
  <si>
    <t>TV7C</t>
  </si>
  <si>
    <t>STEV8C</t>
  </si>
  <si>
    <t>TV8C</t>
  </si>
  <si>
    <t>STEV9C</t>
  </si>
  <si>
    <t>TV9C</t>
  </si>
  <si>
    <t>STEV10C</t>
  </si>
  <si>
    <t>TV10C</t>
  </si>
  <si>
    <t>HF1A</t>
  </si>
  <si>
    <t>HF2A</t>
  </si>
  <si>
    <t>HF4A</t>
  </si>
  <si>
    <t>HF5A</t>
  </si>
  <si>
    <t>HF6A</t>
  </si>
  <si>
    <t>HF7A</t>
  </si>
  <si>
    <t>HF8A</t>
  </si>
  <si>
    <t>HF9A</t>
  </si>
  <si>
    <t>HF10A</t>
  </si>
  <si>
    <t>HF1C</t>
  </si>
  <si>
    <t>HF2C</t>
  </si>
  <si>
    <t>HF3C</t>
  </si>
  <si>
    <t>HF4C</t>
  </si>
  <si>
    <t>HF5C</t>
  </si>
  <si>
    <t>HF6C</t>
  </si>
  <si>
    <t>HF7C</t>
  </si>
  <si>
    <t>HF8C</t>
  </si>
  <si>
    <t>HF9C</t>
  </si>
  <si>
    <t>HF10C</t>
  </si>
  <si>
    <t>LF1A</t>
  </si>
  <si>
    <t>FL1A</t>
  </si>
  <si>
    <t>LF2A</t>
  </si>
  <si>
    <t>FL2A</t>
  </si>
  <si>
    <t>LF3A</t>
  </si>
  <si>
    <t>FL3A</t>
  </si>
  <si>
    <t>LF4A</t>
  </si>
  <si>
    <t>FL4A</t>
  </si>
  <si>
    <t>LF5A</t>
  </si>
  <si>
    <t>FL5A</t>
  </si>
  <si>
    <t>LF6A</t>
  </si>
  <si>
    <t>FL6A</t>
  </si>
  <si>
    <t>LF7A</t>
  </si>
  <si>
    <t>FL7A</t>
  </si>
  <si>
    <t>LF8A</t>
  </si>
  <si>
    <t>FL8A</t>
  </si>
  <si>
    <t>LF9A</t>
  </si>
  <si>
    <t>FL9A</t>
  </si>
  <si>
    <t>LF10A</t>
  </si>
  <si>
    <t>FL10A</t>
  </si>
  <si>
    <t>LF1C</t>
  </si>
  <si>
    <t>FL1C</t>
  </si>
  <si>
    <t>LF2C</t>
  </si>
  <si>
    <t>FL2C</t>
  </si>
  <si>
    <t>LF3C</t>
  </si>
  <si>
    <t>FL3C</t>
  </si>
  <si>
    <t>LF4C</t>
  </si>
  <si>
    <t>FL4C</t>
  </si>
  <si>
    <t>LF5C</t>
  </si>
  <si>
    <t>FL5C</t>
  </si>
  <si>
    <t>LF6C</t>
  </si>
  <si>
    <t>FL6C</t>
  </si>
  <si>
    <t>LF67C</t>
  </si>
  <si>
    <t>FL7C</t>
  </si>
  <si>
    <t>LF8C</t>
  </si>
  <si>
    <t>FL8C</t>
  </si>
  <si>
    <t>LF9C</t>
  </si>
  <si>
    <t>FL9C</t>
  </si>
  <si>
    <t>LF10C</t>
  </si>
  <si>
    <t>FL10C</t>
  </si>
  <si>
    <t>Average Liquid</t>
  </si>
  <si>
    <t>Average eating</t>
  </si>
  <si>
    <t>Average BW</t>
  </si>
  <si>
    <t>Males BW</t>
  </si>
  <si>
    <t>Females BW</t>
  </si>
  <si>
    <t>SEM males BW</t>
  </si>
  <si>
    <t>SEM females BW</t>
  </si>
  <si>
    <t>SEM food</t>
  </si>
  <si>
    <t>Mean liquid daily</t>
  </si>
  <si>
    <t>Group mean liquid daily</t>
  </si>
  <si>
    <t>Actual food consumed</t>
  </si>
  <si>
    <t>NAS concentration</t>
  </si>
  <si>
    <t>Grams Stevia</t>
  </si>
  <si>
    <t>Sum total for individual</t>
  </si>
  <si>
    <t>total liquid for females</t>
  </si>
  <si>
    <t>total liquid for males</t>
  </si>
  <si>
    <t>Food Consumed</t>
  </si>
  <si>
    <t>Calories</t>
  </si>
  <si>
    <t>stdev males calories</t>
  </si>
  <si>
    <t>sterror males calories</t>
  </si>
  <si>
    <t>stdev females calories</t>
  </si>
  <si>
    <t>st error females calories</t>
  </si>
  <si>
    <t>STEV</t>
  </si>
  <si>
    <t>added STEV</t>
  </si>
  <si>
    <t>average calories per animal</t>
  </si>
  <si>
    <t>females</t>
  </si>
  <si>
    <t>male sem</t>
  </si>
  <si>
    <t>female sem</t>
  </si>
  <si>
    <t>3.1 kcal/g</t>
  </si>
  <si>
    <t>5.24kcal/g</t>
  </si>
  <si>
    <t>Calories consumed per group:</t>
  </si>
  <si>
    <t>Stevia:</t>
  </si>
  <si>
    <t>Sacc</t>
  </si>
  <si>
    <t>males</t>
  </si>
  <si>
    <t>male SEM</t>
  </si>
  <si>
    <t>female SEM</t>
  </si>
  <si>
    <t>MALE SEM</t>
  </si>
  <si>
    <t>FEM SEM</t>
  </si>
  <si>
    <t>last day on stevia</t>
  </si>
  <si>
    <t>Mouse</t>
  </si>
  <si>
    <t>Blood glucose (mg/dL) at time 0mins</t>
  </si>
  <si>
    <t>0mins</t>
  </si>
  <si>
    <t>stederror</t>
  </si>
  <si>
    <t>average</t>
  </si>
  <si>
    <t>Blood glucose (mg/dL) at time 15mins</t>
  </si>
  <si>
    <t>Blood glucose (mg/dL) at time 30mins</t>
  </si>
  <si>
    <t>Blood glucose (mg/dL) at time 60mins</t>
  </si>
  <si>
    <t>Blood glucose (mg/dL) at time 90mins</t>
  </si>
  <si>
    <t>Blood glucose (mg/dL) at time 120mins</t>
  </si>
  <si>
    <t>AUC</t>
  </si>
  <si>
    <t>SUM</t>
  </si>
  <si>
    <t>STEV8</t>
  </si>
  <si>
    <t>Test date: 10/24/17</t>
  </si>
  <si>
    <t>Test date: 10/25/17</t>
  </si>
  <si>
    <t>Blood Glucose (mg/dL)</t>
  </si>
  <si>
    <t>Stdev</t>
  </si>
  <si>
    <t>Food order</t>
  </si>
  <si>
    <t>kg</t>
  </si>
  <si>
    <t>HF3HF8</t>
  </si>
  <si>
    <t>WEEK 6</t>
  </si>
  <si>
    <t>11/14/17 test date</t>
  </si>
  <si>
    <t>11/16/17 test date</t>
  </si>
  <si>
    <t>Xpress</t>
  </si>
  <si>
    <t>NovaMax</t>
  </si>
  <si>
    <t>SAAC 6</t>
  </si>
  <si>
    <t>LF 6</t>
  </si>
  <si>
    <t>HF 6</t>
  </si>
  <si>
    <t>LF Female</t>
  </si>
  <si>
    <t>stdev</t>
  </si>
  <si>
    <t>st error</t>
  </si>
  <si>
    <t>se</t>
  </si>
  <si>
    <t>2, 3, 4, 6, 8</t>
  </si>
  <si>
    <t>LF Male</t>
  </si>
  <si>
    <t>LFfemale</t>
  </si>
  <si>
    <t>HF male</t>
  </si>
  <si>
    <t>HF female</t>
  </si>
  <si>
    <t>sacc male</t>
  </si>
  <si>
    <t>saccfemale</t>
  </si>
  <si>
    <t>stevmale</t>
  </si>
  <si>
    <t>stev female</t>
  </si>
  <si>
    <t>Female</t>
  </si>
  <si>
    <t>MALE</t>
  </si>
  <si>
    <t xml:space="preserve">Mouse </t>
  </si>
  <si>
    <t>Saac9</t>
  </si>
  <si>
    <t>std error of mean AUC</t>
  </si>
  <si>
    <t>sacc9</t>
  </si>
  <si>
    <t>sacc1</t>
  </si>
  <si>
    <t>Initial BW (g)</t>
  </si>
  <si>
    <t>error bars for plot (males females together</t>
  </si>
  <si>
    <t>Stevia</t>
  </si>
  <si>
    <t>C2</t>
  </si>
  <si>
    <t>Dosing at 1mg glucose/kg BW</t>
  </si>
  <si>
    <t>cc to inject</t>
  </si>
  <si>
    <t>1, 5, 7, 9, 10</t>
  </si>
  <si>
    <t>XPress</t>
  </si>
  <si>
    <t>Actual Time</t>
  </si>
  <si>
    <t>0 mins (mg/mL)</t>
  </si>
  <si>
    <t>1 mins (mg/mL)</t>
  </si>
  <si>
    <t>20 mins (mg/mL)</t>
  </si>
  <si>
    <t>40 mins (mg/mL)</t>
  </si>
  <si>
    <t>60 mins (mg/mL)</t>
  </si>
  <si>
    <t>90 mins (mg/mL)</t>
  </si>
  <si>
    <t>120 mins (mg/mL)</t>
  </si>
  <si>
    <t xml:space="preserve">
</t>
  </si>
  <si>
    <t>HF Female</t>
  </si>
  <si>
    <t>2,5,6,7,8</t>
  </si>
  <si>
    <t>sacc8</t>
  </si>
  <si>
    <t>sacc2</t>
  </si>
  <si>
    <t>337/363</t>
  </si>
  <si>
    <t>HF Male</t>
  </si>
  <si>
    <t>1,3,4,9,10</t>
  </si>
  <si>
    <t>sacc10</t>
  </si>
  <si>
    <t>sacc3</t>
  </si>
  <si>
    <t>261/335</t>
  </si>
  <si>
    <t>Stev Female</t>
  </si>
  <si>
    <t>5,6,9,10</t>
  </si>
  <si>
    <t>sacc6</t>
  </si>
  <si>
    <t>sacc4</t>
  </si>
  <si>
    <t>192/184</t>
  </si>
  <si>
    <t>Stev Male</t>
  </si>
  <si>
    <t>SACC1</t>
  </si>
  <si>
    <t>1,2,3,4,7</t>
  </si>
  <si>
    <t>sacc7</t>
  </si>
  <si>
    <t>sacc5</t>
  </si>
  <si>
    <t>494//525</t>
  </si>
  <si>
    <t>370//458</t>
  </si>
  <si>
    <t>430//517</t>
  </si>
  <si>
    <t>Sacc Male</t>
  </si>
  <si>
    <t>1,2,3,4,5</t>
  </si>
  <si>
    <t>stev5</t>
  </si>
  <si>
    <t>stev1</t>
  </si>
  <si>
    <t>Sacc Female</t>
  </si>
  <si>
    <t>6,7,8,9,10</t>
  </si>
  <si>
    <t>stev6</t>
  </si>
  <si>
    <t>stev2</t>
  </si>
  <si>
    <t>stev9</t>
  </si>
  <si>
    <t>stev3</t>
  </si>
  <si>
    <t>C4</t>
  </si>
  <si>
    <t>stev10</t>
  </si>
  <si>
    <t>stev4</t>
  </si>
  <si>
    <t>hf2</t>
  </si>
  <si>
    <t>hf1</t>
  </si>
  <si>
    <t>stev7</t>
  </si>
  <si>
    <t>C1</t>
  </si>
  <si>
    <t>severe CR start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</si>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</sst>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m/d/yy"/>
    <numFmt numFmtId="167" formatCode="0.000"/>
    <numFmt numFmtId="168" formatCode="m/d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name val="Arial"/>
    </font>
    <font>
      <sz val="11"/>
      <color rgb="FF000000"/>
      <name val="Inconsolata"/>
    </font>
    <font>
      <sz val="11"/>
      <color rgb="FFF7981D"/>
      <name val="Inconsolata"/>
    </font>
    <font>
      <b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7F6000"/>
        <bgColor rgb="FF7F60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/>
    <xf numFmtId="166" fontId="4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6" fontId="0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6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wrapText="1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0" fontId="4" fillId="4" borderId="0" xfId="0" applyFont="1" applyFill="1"/>
    <xf numFmtId="0" fontId="3" fillId="4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/>
    <xf numFmtId="164" fontId="3" fillId="0" borderId="0" xfId="0" applyNumberFormat="1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6" fontId="0" fillId="5" borderId="0" xfId="0" applyNumberFormat="1" applyFont="1" applyFill="1" applyAlignment="1">
      <alignment horizontal="center" vertical="center" wrapText="1"/>
    </xf>
    <xf numFmtId="164" fontId="0" fillId="5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166" fontId="4" fillId="6" borderId="0" xfId="0" applyNumberFormat="1" applyFont="1" applyFill="1" applyAlignment="1">
      <alignment horizontal="center" wrapText="1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0" fontId="3" fillId="6" borderId="0" xfId="0" applyFont="1" applyFill="1"/>
    <xf numFmtId="166" fontId="2" fillId="5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66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5" fontId="4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166" fontId="4" fillId="0" borderId="0" xfId="0" applyNumberFormat="1" applyFont="1" applyAlignment="1">
      <alignment horizontal="center"/>
    </xf>
    <xf numFmtId="166" fontId="6" fillId="3" borderId="0" xfId="0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7" borderId="0" xfId="0" applyNumberFormat="1" applyFont="1" applyFill="1" applyAlignment="1">
      <alignment horizontal="center" wrapText="1"/>
    </xf>
    <xf numFmtId="165" fontId="4" fillId="7" borderId="0" xfId="0" applyNumberFormat="1" applyFont="1" applyFill="1" applyAlignment="1">
      <alignment horizontal="center" wrapText="1"/>
    </xf>
    <xf numFmtId="165" fontId="6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 wrapText="1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6" fontId="2" fillId="8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0" fontId="4" fillId="8" borderId="0" xfId="0" applyFont="1" applyFill="1"/>
    <xf numFmtId="164" fontId="3" fillId="0" borderId="0" xfId="0" applyNumberFormat="1" applyFont="1" applyAlignment="1">
      <alignment horizontal="center" vertical="center"/>
    </xf>
    <xf numFmtId="166" fontId="4" fillId="3" borderId="0" xfId="0" applyNumberFormat="1" applyFont="1" applyFill="1" applyAlignment="1">
      <alignment horizontal="center" wrapText="1"/>
    </xf>
    <xf numFmtId="165" fontId="4" fillId="9" borderId="0" xfId="0" applyNumberFormat="1" applyFont="1" applyFill="1" applyAlignment="1">
      <alignment horizontal="center" wrapText="1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165" fontId="6" fillId="9" borderId="0" xfId="0" applyNumberFormat="1" applyFont="1" applyFill="1" applyAlignment="1">
      <alignment horizontal="center"/>
    </xf>
    <xf numFmtId="165" fontId="2" fillId="9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4" fillId="10" borderId="0" xfId="0" applyNumberFormat="1" applyFont="1" applyFill="1" applyAlignment="1">
      <alignment horizontal="center" wrapText="1"/>
    </xf>
    <xf numFmtId="165" fontId="4" fillId="5" borderId="0" xfId="0" applyNumberFormat="1" applyFont="1" applyFill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6" fontId="4" fillId="7" borderId="0" xfId="0" applyNumberFormat="1" applyFont="1" applyFill="1" applyAlignment="1">
      <alignment horizontal="center" wrapText="1"/>
    </xf>
    <xf numFmtId="165" fontId="4" fillId="3" borderId="0" xfId="0" applyNumberFormat="1" applyFont="1" applyFill="1" applyAlignment="1">
      <alignment horizontal="center" wrapText="1"/>
    </xf>
    <xf numFmtId="165" fontId="4" fillId="10" borderId="0" xfId="0" applyNumberFormat="1" applyFont="1" applyFill="1" applyAlignment="1">
      <alignment horizontal="center" wrapText="1"/>
    </xf>
    <xf numFmtId="165" fontId="6" fillId="10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3" fillId="4" borderId="0" xfId="0" applyFont="1" applyFill="1"/>
    <xf numFmtId="0" fontId="3" fillId="0" borderId="0" xfId="0" applyFont="1" applyAlignment="1">
      <alignment horizontal="center" vertical="center"/>
    </xf>
    <xf numFmtId="165" fontId="4" fillId="11" borderId="0" xfId="0" applyNumberFormat="1" applyFont="1" applyFill="1" applyAlignment="1">
      <alignment horizontal="center" wrapText="1"/>
    </xf>
    <xf numFmtId="0" fontId="2" fillId="11" borderId="0" xfId="0" applyFont="1" applyFill="1" applyAlignment="1">
      <alignment horizontal="center" vertical="center"/>
    </xf>
    <xf numFmtId="165" fontId="4" fillId="11" borderId="0" xfId="0" applyNumberFormat="1" applyFont="1" applyFill="1" applyAlignment="1">
      <alignment horizontal="center" wrapText="1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5" fontId="3" fillId="0" borderId="0" xfId="0" applyNumberFormat="1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wrapText="1"/>
    </xf>
    <xf numFmtId="166" fontId="5" fillId="0" borderId="0" xfId="0" applyNumberFormat="1" applyFont="1" applyAlignment="1"/>
    <xf numFmtId="0" fontId="3" fillId="0" borderId="0" xfId="0" applyFont="1" applyAlignment="1">
      <alignment wrapText="1"/>
    </xf>
    <xf numFmtId="0" fontId="7" fillId="0" borderId="0" xfId="0" applyFont="1" applyAlignment="1"/>
    <xf numFmtId="166" fontId="7" fillId="0" borderId="0" xfId="0" applyNumberFormat="1" applyFont="1" applyAlignment="1"/>
    <xf numFmtId="166" fontId="3" fillId="0" borderId="0" xfId="0" applyNumberFormat="1" applyFont="1"/>
    <xf numFmtId="0" fontId="8" fillId="0" borderId="0" xfId="0" applyFont="1" applyAlignment="1">
      <alignment horizontal="center" vertical="center"/>
    </xf>
    <xf numFmtId="0" fontId="4" fillId="0" borderId="0" xfId="0" applyFont="1" applyAlignment="1"/>
    <xf numFmtId="0" fontId="8" fillId="5" borderId="0" xfId="0" applyFont="1" applyFill="1" applyAlignment="1">
      <alignment horizontal="center"/>
    </xf>
    <xf numFmtId="2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2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66" fontId="0" fillId="7" borderId="0" xfId="0" applyNumberFormat="1" applyFont="1" applyFill="1" applyAlignment="1">
      <alignment horizontal="center" vertical="center" wrapText="1"/>
    </xf>
    <xf numFmtId="164" fontId="0" fillId="7" borderId="0" xfId="0" applyNumberFormat="1" applyFont="1" applyFill="1" applyAlignment="1">
      <alignment horizontal="center" vertical="center" wrapText="1"/>
    </xf>
    <xf numFmtId="164" fontId="2" fillId="7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64" fontId="2" fillId="7" borderId="0" xfId="0" applyNumberFormat="1" applyFont="1" applyFill="1" applyAlignment="1">
      <alignment horizontal="center" vertical="center" wrapText="1"/>
    </xf>
    <xf numFmtId="165" fontId="2" fillId="7" borderId="0" xfId="0" applyNumberFormat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/>
    </xf>
    <xf numFmtId="166" fontId="2" fillId="7" borderId="0" xfId="0" applyNumberFormat="1" applyFont="1" applyFill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166" fontId="4" fillId="12" borderId="0" xfId="0" applyNumberFormat="1" applyFont="1" applyFill="1" applyAlignment="1">
      <alignment horizontal="center" wrapText="1"/>
    </xf>
    <xf numFmtId="164" fontId="2" fillId="12" borderId="0" xfId="0" applyNumberFormat="1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165" fontId="4" fillId="12" borderId="0" xfId="0" applyNumberFormat="1" applyFont="1" applyFill="1" applyAlignment="1">
      <alignment horizontal="center" wrapText="1"/>
    </xf>
    <xf numFmtId="165" fontId="2" fillId="12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165" fontId="4" fillId="0" borderId="0" xfId="0" applyNumberFormat="1" applyFont="1" applyAlignment="1"/>
    <xf numFmtId="166" fontId="5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166" fontId="3" fillId="0" borderId="0" xfId="0" applyNumberFormat="1" applyFont="1" applyAlignment="1"/>
    <xf numFmtId="0" fontId="4" fillId="7" borderId="0" xfId="0" applyFont="1" applyFill="1" applyAlignment="1">
      <alignment horizontal="center" wrapText="1"/>
    </xf>
    <xf numFmtId="2" fontId="4" fillId="7" borderId="0" xfId="0" applyNumberFormat="1" applyFont="1" applyFill="1" applyAlignment="1">
      <alignment horizontal="center" wrapText="1"/>
    </xf>
    <xf numFmtId="0" fontId="9" fillId="0" borderId="0" xfId="0" applyFont="1"/>
    <xf numFmtId="0" fontId="6" fillId="3" borderId="0" xfId="0" applyFont="1" applyFill="1" applyAlignment="1">
      <alignment horizontal="center" wrapText="1"/>
    </xf>
    <xf numFmtId="19" fontId="4" fillId="0" borderId="0" xfId="0" applyNumberFormat="1" applyFont="1" applyAlignment="1">
      <alignment horizontal="center" wrapText="1"/>
    </xf>
    <xf numFmtId="19" fontId="4" fillId="7" borderId="0" xfId="0" applyNumberFormat="1" applyFont="1" applyFill="1" applyAlignment="1">
      <alignment horizontal="center" wrapText="1"/>
    </xf>
    <xf numFmtId="0" fontId="10" fillId="0" borderId="0" xfId="0" applyFont="1" applyAlignment="1"/>
    <xf numFmtId="0" fontId="4" fillId="7" borderId="0" xfId="0" applyFont="1" applyFill="1"/>
    <xf numFmtId="0" fontId="4" fillId="4" borderId="0" xfId="0" applyFont="1" applyFill="1" applyAlignment="1">
      <alignment horizontal="center" wrapText="1"/>
    </xf>
    <xf numFmtId="2" fontId="4" fillId="4" borderId="0" xfId="0" applyNumberFormat="1" applyFont="1" applyFill="1" applyAlignment="1">
      <alignment horizontal="center" wrapText="1"/>
    </xf>
    <xf numFmtId="19" fontId="4" fillId="4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 wrapText="1"/>
    </xf>
    <xf numFmtId="19" fontId="4" fillId="2" borderId="0" xfId="0" applyNumberFormat="1" applyFont="1" applyFill="1" applyAlignment="1">
      <alignment horizontal="center" wrapText="1"/>
    </xf>
    <xf numFmtId="0" fontId="4" fillId="2" borderId="0" xfId="0" applyFont="1" applyFill="1"/>
    <xf numFmtId="0" fontId="8" fillId="0" borderId="0" xfId="0" applyFont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166" fontId="4" fillId="10" borderId="0" xfId="0" applyNumberFormat="1" applyFont="1" applyFill="1" applyAlignment="1">
      <alignment horizontal="center" wrapText="1"/>
    </xf>
    <xf numFmtId="166" fontId="0" fillId="6" borderId="0" xfId="0" applyNumberFormat="1" applyFont="1" applyFill="1" applyAlignment="1">
      <alignment horizontal="center" vertical="center" wrapText="1"/>
    </xf>
    <xf numFmtId="164" fontId="0" fillId="6" borderId="0" xfId="0" applyNumberFormat="1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65" fontId="2" fillId="6" borderId="0" xfId="0" applyNumberFormat="1" applyFont="1" applyFill="1" applyAlignment="1">
      <alignment horizontal="center" vertical="center" wrapText="1"/>
    </xf>
    <xf numFmtId="2" fontId="2" fillId="6" borderId="0" xfId="0" applyNumberFormat="1" applyFont="1" applyFill="1" applyAlignment="1">
      <alignment horizontal="center" vertical="center" wrapText="1"/>
    </xf>
    <xf numFmtId="166" fontId="0" fillId="6" borderId="0" xfId="0" applyNumberFormat="1" applyFont="1" applyFill="1" applyAlignment="1">
      <alignment horizontal="center" vertical="center" wrapText="1"/>
    </xf>
    <xf numFmtId="166" fontId="2" fillId="6" borderId="0" xfId="0" applyNumberFormat="1" applyFont="1" applyFill="1" applyAlignment="1">
      <alignment horizontal="center" vertical="center" wrapText="1"/>
    </xf>
    <xf numFmtId="166" fontId="2" fillId="6" borderId="0" xfId="0" applyNumberFormat="1" applyFont="1" applyFill="1" applyAlignment="1">
      <alignment horizontal="center" vertical="center" wrapText="1"/>
    </xf>
    <xf numFmtId="165" fontId="2" fillId="6" borderId="0" xfId="0" applyNumberFormat="1" applyFont="1" applyFill="1" applyAlignment="1">
      <alignment horizontal="center" vertical="center" wrapText="1"/>
    </xf>
    <xf numFmtId="164" fontId="0" fillId="7" borderId="0" xfId="0" applyNumberFormat="1" applyFont="1" applyFill="1" applyAlignment="1">
      <alignment horizontal="center" vertical="center" wrapText="1"/>
    </xf>
    <xf numFmtId="0" fontId="4" fillId="3" borderId="0" xfId="0" applyFont="1" applyFill="1"/>
    <xf numFmtId="165" fontId="4" fillId="9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LF3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LF!$D$167:$D$184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  <c:pt idx="17">
                  <c:v>43024</c:v>
                </c:pt>
              </c:numCache>
            </c:numRef>
          </c:xVal>
          <c:yVal>
            <c:numRef>
              <c:f>LF!$K$167:$K$185</c:f>
              <c:numCache>
                <c:formatCode>0.0</c:formatCode>
                <c:ptCount val="19"/>
                <c:pt idx="0">
                  <c:v>18.600000000000001</c:v>
                </c:pt>
                <c:pt idx="1">
                  <c:v>18</c:v>
                </c:pt>
                <c:pt idx="2">
                  <c:v>18.7</c:v>
                </c:pt>
                <c:pt idx="3">
                  <c:v>18.7</c:v>
                </c:pt>
                <c:pt idx="4">
                  <c:v>19.100000000000001</c:v>
                </c:pt>
                <c:pt idx="5">
                  <c:v>18.8</c:v>
                </c:pt>
                <c:pt idx="6">
                  <c:v>19.3</c:v>
                </c:pt>
                <c:pt idx="7">
                  <c:v>19.600000000000001</c:v>
                </c:pt>
                <c:pt idx="8">
                  <c:v>20</c:v>
                </c:pt>
                <c:pt idx="9">
                  <c:v>20.399999999999999</c:v>
                </c:pt>
                <c:pt idx="10">
                  <c:v>20.7</c:v>
                </c:pt>
                <c:pt idx="11">
                  <c:v>20.9</c:v>
                </c:pt>
                <c:pt idx="12">
                  <c:v>21</c:v>
                </c:pt>
                <c:pt idx="13">
                  <c:v>21.4</c:v>
                </c:pt>
                <c:pt idx="14">
                  <c:v>24.3</c:v>
                </c:pt>
                <c:pt idx="16">
                  <c:v>21.4</c:v>
                </c:pt>
                <c:pt idx="17">
                  <c:v>21.4</c:v>
                </c:pt>
                <c:pt idx="18">
                  <c:v>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F-4D76-944C-014417EB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1921"/>
        <c:axId val="396062131"/>
      </c:scatterChart>
      <c:valAx>
        <c:axId val="5269119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6062131"/>
        <c:crosses val="autoZero"/>
        <c:crossBetween val="midCat"/>
      </c:valAx>
      <c:valAx>
        <c:axId val="39606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269119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LF10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LF!$D$870:$D$886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LF!$K$870:$K$888</c:f>
              <c:numCache>
                <c:formatCode>0.0</c:formatCode>
                <c:ptCount val="19"/>
                <c:pt idx="0">
                  <c:v>25.6</c:v>
                </c:pt>
                <c:pt idx="1">
                  <c:v>26.4</c:v>
                </c:pt>
                <c:pt idx="2">
                  <c:v>26.2</c:v>
                </c:pt>
                <c:pt idx="3">
                  <c:v>26.5</c:v>
                </c:pt>
                <c:pt idx="4">
                  <c:v>27</c:v>
                </c:pt>
                <c:pt idx="5">
                  <c:v>26.6</c:v>
                </c:pt>
                <c:pt idx="6">
                  <c:v>27.2</c:v>
                </c:pt>
                <c:pt idx="7">
                  <c:v>26.9</c:v>
                </c:pt>
                <c:pt idx="8">
                  <c:v>27.9</c:v>
                </c:pt>
                <c:pt idx="9">
                  <c:v>26.5</c:v>
                </c:pt>
                <c:pt idx="10">
                  <c:v>26.6</c:v>
                </c:pt>
                <c:pt idx="12">
                  <c:v>28</c:v>
                </c:pt>
                <c:pt idx="13">
                  <c:v>27.6</c:v>
                </c:pt>
                <c:pt idx="14">
                  <c:v>27.6</c:v>
                </c:pt>
                <c:pt idx="16">
                  <c:v>27.8</c:v>
                </c:pt>
                <c:pt idx="17">
                  <c:v>26.9</c:v>
                </c:pt>
                <c:pt idx="18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3-4B1B-B4E2-29D3513C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15887"/>
        <c:axId val="1438833754"/>
      </c:scatterChart>
      <c:valAx>
        <c:axId val="290615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38833754"/>
        <c:crosses val="autoZero"/>
        <c:crossBetween val="midCat"/>
      </c:valAx>
      <c:valAx>
        <c:axId val="1438833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906158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LF1 Average daily food consumption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LF!$D$2:$D$18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LF!$J$2:$J$23</c:f>
              <c:numCache>
                <c:formatCode>General</c:formatCode>
                <c:ptCount val="22"/>
                <c:pt idx="1">
                  <c:v>4.2999999999999972</c:v>
                </c:pt>
                <c:pt idx="2" formatCode="0.00">
                  <c:v>4.0666666666666673</c:v>
                </c:pt>
                <c:pt idx="3">
                  <c:v>4.3500000000000014</c:v>
                </c:pt>
                <c:pt idx="4">
                  <c:v>3.8999999999999915</c:v>
                </c:pt>
                <c:pt idx="5">
                  <c:v>4.5</c:v>
                </c:pt>
                <c:pt idx="6" formatCode="0.00">
                  <c:v>4.3666666666666698</c:v>
                </c:pt>
                <c:pt idx="7">
                  <c:v>3.8999999999999986</c:v>
                </c:pt>
                <c:pt idx="8">
                  <c:v>4.3000000000000007</c:v>
                </c:pt>
                <c:pt idx="9" formatCode="0.00">
                  <c:v>4.0999999999999988</c:v>
                </c:pt>
                <c:pt idx="10">
                  <c:v>4.1500000000000021</c:v>
                </c:pt>
                <c:pt idx="12">
                  <c:v>15.799999999999997</c:v>
                </c:pt>
                <c:pt idx="13">
                  <c:v>4.1900000000000004</c:v>
                </c:pt>
                <c:pt idx="14" formatCode="0.00">
                  <c:v>4.0149999999999988</c:v>
                </c:pt>
                <c:pt idx="16">
                  <c:v>4.3999999999999986</c:v>
                </c:pt>
                <c:pt idx="17">
                  <c:v>4</c:v>
                </c:pt>
                <c:pt idx="18">
                  <c:v>5.3000000000000043</c:v>
                </c:pt>
                <c:pt idx="20">
                  <c:v>5.3499999999999979</c:v>
                </c:pt>
                <c:pt idx="21">
                  <c:v>6.1000000000000014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B-4898-96F9-E782E3BD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91544"/>
        <c:axId val="715314554"/>
      </c:scatterChart>
      <c:valAx>
        <c:axId val="397791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5314554"/>
        <c:crosses val="autoZero"/>
        <c:crossBetween val="midCat"/>
      </c:valAx>
      <c:valAx>
        <c:axId val="715314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 food per 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77915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LF1 Average liquid consumption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LF!$D$2:$D$18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LF!$F$2:$F$18</c:f>
              <c:numCache>
                <c:formatCode>#,##0.0</c:formatCode>
                <c:ptCount val="17"/>
                <c:pt idx="1">
                  <c:v>7.6999999999999886</c:v>
                </c:pt>
                <c:pt idx="2">
                  <c:v>6.0666666666666815</c:v>
                </c:pt>
                <c:pt idx="3">
                  <c:v>5.1999999999999886</c:v>
                </c:pt>
                <c:pt idx="4">
                  <c:v>10.199999999999989</c:v>
                </c:pt>
                <c:pt idx="5">
                  <c:v>8.3999999999999773</c:v>
                </c:pt>
                <c:pt idx="6">
                  <c:v>6.5666666666666629</c:v>
                </c:pt>
                <c:pt idx="7">
                  <c:v>5.8000000000000114</c:v>
                </c:pt>
                <c:pt idx="8">
                  <c:v>7.5500000000000114</c:v>
                </c:pt>
                <c:pt idx="9">
                  <c:v>7.4666666666666588</c:v>
                </c:pt>
                <c:pt idx="10">
                  <c:v>9.8000000000000114</c:v>
                </c:pt>
                <c:pt idx="12">
                  <c:v>10.099999999999966</c:v>
                </c:pt>
                <c:pt idx="13">
                  <c:v>7.2000000000000073</c:v>
                </c:pt>
                <c:pt idx="14">
                  <c:v>7.9499999999999886</c:v>
                </c:pt>
                <c:pt idx="16">
                  <c:v>8.4000000000000341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E-4945-9422-1D78A31E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37700"/>
        <c:axId val="1313437946"/>
      </c:scatterChart>
      <c:valAx>
        <c:axId val="289337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3437946"/>
        <c:crosses val="autoZero"/>
        <c:crossBetween val="midCat"/>
      </c:valAx>
      <c:valAx>
        <c:axId val="1313437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mL liquid per day</a:t>
                </a:r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893377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HF1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HF!$D$2:$D$19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HF!$K$2:$K$21</c:f>
              <c:numCache>
                <c:formatCode>0.0</c:formatCode>
                <c:ptCount val="20"/>
                <c:pt idx="0">
                  <c:v>24.1</c:v>
                </c:pt>
                <c:pt idx="1">
                  <c:v>24.3</c:v>
                </c:pt>
                <c:pt idx="2">
                  <c:v>24.7</c:v>
                </c:pt>
                <c:pt idx="3">
                  <c:v>25.7</c:v>
                </c:pt>
                <c:pt idx="4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28.4</c:v>
                </c:pt>
                <c:pt idx="9">
                  <c:v>28.9</c:v>
                </c:pt>
                <c:pt idx="10">
                  <c:v>29.4</c:v>
                </c:pt>
                <c:pt idx="11">
                  <c:v>29.8</c:v>
                </c:pt>
                <c:pt idx="13">
                  <c:v>30.7</c:v>
                </c:pt>
                <c:pt idx="14">
                  <c:v>31.1</c:v>
                </c:pt>
                <c:pt idx="15">
                  <c:v>31.7</c:v>
                </c:pt>
                <c:pt idx="17">
                  <c:v>33.200000000000003</c:v>
                </c:pt>
                <c:pt idx="18">
                  <c:v>34</c:v>
                </c:pt>
                <c:pt idx="19">
                  <c:v>34.299999999999997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A-4AF8-BD4D-5AD74F222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51933"/>
        <c:axId val="1820228183"/>
      </c:scatterChart>
      <c:valAx>
        <c:axId val="387651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20228183"/>
        <c:crosses val="autoZero"/>
        <c:crossBetween val="midCat"/>
      </c:valAx>
      <c:valAx>
        <c:axId val="1820228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876519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HF2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HF!$D$86:$D$103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HF!$K$86:$K$105</c:f>
              <c:numCache>
                <c:formatCode>0.0</c:formatCode>
                <c:ptCount val="20"/>
                <c:pt idx="0">
                  <c:v>17.5</c:v>
                </c:pt>
                <c:pt idx="1">
                  <c:v>17.600000000000001</c:v>
                </c:pt>
                <c:pt idx="2">
                  <c:v>18.2</c:v>
                </c:pt>
                <c:pt idx="3">
                  <c:v>18.2</c:v>
                </c:pt>
                <c:pt idx="4">
                  <c:v>18.899999999999999</c:v>
                </c:pt>
                <c:pt idx="6">
                  <c:v>19.399999999999999</c:v>
                </c:pt>
                <c:pt idx="7">
                  <c:v>19.2</c:v>
                </c:pt>
                <c:pt idx="8">
                  <c:v>19.3</c:v>
                </c:pt>
                <c:pt idx="9">
                  <c:v>19.399999999999999</c:v>
                </c:pt>
                <c:pt idx="10">
                  <c:v>19.3</c:v>
                </c:pt>
                <c:pt idx="11">
                  <c:v>19.8</c:v>
                </c:pt>
                <c:pt idx="13">
                  <c:v>20</c:v>
                </c:pt>
                <c:pt idx="14">
                  <c:v>21.1</c:v>
                </c:pt>
                <c:pt idx="15">
                  <c:v>21</c:v>
                </c:pt>
                <c:pt idx="17">
                  <c:v>21.6</c:v>
                </c:pt>
                <c:pt idx="18">
                  <c:v>22.5</c:v>
                </c:pt>
                <c:pt idx="19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BA-433D-A5C7-D6DFDCF7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84813"/>
        <c:axId val="181940722"/>
      </c:scatterChart>
      <c:valAx>
        <c:axId val="18555848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1940722"/>
        <c:crosses val="autoZero"/>
        <c:crossBetween val="midCat"/>
      </c:valAx>
      <c:valAx>
        <c:axId val="181940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5558481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HF3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HF!$D$193:$D$210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HF!$K$193:$K$212</c:f>
              <c:numCache>
                <c:formatCode>0.0</c:formatCode>
                <c:ptCount val="20"/>
                <c:pt idx="0">
                  <c:v>23.2</c:v>
                </c:pt>
                <c:pt idx="1">
                  <c:v>22.5</c:v>
                </c:pt>
                <c:pt idx="2">
                  <c:v>23.1</c:v>
                </c:pt>
                <c:pt idx="3">
                  <c:v>23.4</c:v>
                </c:pt>
                <c:pt idx="4">
                  <c:v>23.9</c:v>
                </c:pt>
                <c:pt idx="6">
                  <c:v>24.9</c:v>
                </c:pt>
                <c:pt idx="7">
                  <c:v>26.5</c:v>
                </c:pt>
                <c:pt idx="8">
                  <c:v>26</c:v>
                </c:pt>
                <c:pt idx="9">
                  <c:v>26.3</c:v>
                </c:pt>
                <c:pt idx="10">
                  <c:v>26.5</c:v>
                </c:pt>
                <c:pt idx="11">
                  <c:v>26.6</c:v>
                </c:pt>
                <c:pt idx="13">
                  <c:v>28</c:v>
                </c:pt>
                <c:pt idx="14">
                  <c:v>29.4</c:v>
                </c:pt>
                <c:pt idx="15">
                  <c:v>30</c:v>
                </c:pt>
                <c:pt idx="17">
                  <c:v>30.7</c:v>
                </c:pt>
                <c:pt idx="18">
                  <c:v>31.5</c:v>
                </c:pt>
                <c:pt idx="19">
                  <c:v>32.1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5-462B-A287-75EA1637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878945"/>
        <c:axId val="1917544474"/>
      </c:scatterChart>
      <c:valAx>
        <c:axId val="1310878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17544474"/>
        <c:crosses val="autoZero"/>
        <c:crossBetween val="midCat"/>
      </c:valAx>
      <c:valAx>
        <c:axId val="1917544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08789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HF4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HF!$D$280:$D$297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HF!$K$280:$K$299</c:f>
              <c:numCache>
                <c:formatCode>0.0</c:formatCode>
                <c:ptCount val="20"/>
                <c:pt idx="0">
                  <c:v>24.8</c:v>
                </c:pt>
                <c:pt idx="1">
                  <c:v>24.7</c:v>
                </c:pt>
                <c:pt idx="2">
                  <c:v>25.5</c:v>
                </c:pt>
                <c:pt idx="3">
                  <c:v>26</c:v>
                </c:pt>
                <c:pt idx="4">
                  <c:v>26.9</c:v>
                </c:pt>
                <c:pt idx="6">
                  <c:v>28.1</c:v>
                </c:pt>
                <c:pt idx="7">
                  <c:v>28.7</c:v>
                </c:pt>
                <c:pt idx="8">
                  <c:v>29.2</c:v>
                </c:pt>
                <c:pt idx="9">
                  <c:v>29.4</c:v>
                </c:pt>
                <c:pt idx="10">
                  <c:v>29.7</c:v>
                </c:pt>
                <c:pt idx="11">
                  <c:v>29.8</c:v>
                </c:pt>
                <c:pt idx="13">
                  <c:v>31</c:v>
                </c:pt>
                <c:pt idx="14">
                  <c:v>32.299999999999997</c:v>
                </c:pt>
                <c:pt idx="15">
                  <c:v>33.1</c:v>
                </c:pt>
                <c:pt idx="17">
                  <c:v>34.1</c:v>
                </c:pt>
                <c:pt idx="18">
                  <c:v>35.5</c:v>
                </c:pt>
                <c:pt idx="19">
                  <c:v>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8-4CB8-8209-2E770201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089612"/>
        <c:axId val="413506367"/>
      </c:scatterChart>
      <c:valAx>
        <c:axId val="1153089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13506367"/>
        <c:crosses val="autoZero"/>
        <c:crossBetween val="midCat"/>
      </c:valAx>
      <c:valAx>
        <c:axId val="413506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530896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HF5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HF!$D$373:$D$390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HF!$K$373:$K$392</c:f>
              <c:numCache>
                <c:formatCode>0.0</c:formatCode>
                <c:ptCount val="20"/>
                <c:pt idx="0">
                  <c:v>19.600000000000001</c:v>
                </c:pt>
                <c:pt idx="1">
                  <c:v>19.600000000000001</c:v>
                </c:pt>
                <c:pt idx="2">
                  <c:v>20</c:v>
                </c:pt>
                <c:pt idx="3">
                  <c:v>20.3</c:v>
                </c:pt>
                <c:pt idx="4">
                  <c:v>21.1</c:v>
                </c:pt>
                <c:pt idx="6">
                  <c:v>21.2</c:v>
                </c:pt>
                <c:pt idx="7">
                  <c:v>22.3</c:v>
                </c:pt>
                <c:pt idx="8">
                  <c:v>22.2</c:v>
                </c:pt>
                <c:pt idx="9">
                  <c:v>22.6</c:v>
                </c:pt>
                <c:pt idx="10">
                  <c:v>23</c:v>
                </c:pt>
                <c:pt idx="11">
                  <c:v>24.2</c:v>
                </c:pt>
                <c:pt idx="13">
                  <c:v>24.9</c:v>
                </c:pt>
                <c:pt idx="14">
                  <c:v>26.3</c:v>
                </c:pt>
                <c:pt idx="15">
                  <c:v>25.8</c:v>
                </c:pt>
                <c:pt idx="17">
                  <c:v>26</c:v>
                </c:pt>
                <c:pt idx="18">
                  <c:v>27.7</c:v>
                </c:pt>
                <c:pt idx="19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8-4575-B8D7-B7327B72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49815"/>
        <c:axId val="2010226786"/>
      </c:scatterChart>
      <c:valAx>
        <c:axId val="1562749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10226786"/>
        <c:crosses val="autoZero"/>
        <c:crossBetween val="midCat"/>
      </c:valAx>
      <c:valAx>
        <c:axId val="2010226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627498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HF6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HF!$D$482:$D$499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HF!$K$482:$K$501</c:f>
              <c:numCache>
                <c:formatCode>0.0</c:formatCode>
                <c:ptCount val="20"/>
                <c:pt idx="0">
                  <c:v>16.600000000000001</c:v>
                </c:pt>
                <c:pt idx="1">
                  <c:v>16.5</c:v>
                </c:pt>
                <c:pt idx="2">
                  <c:v>17.3</c:v>
                </c:pt>
                <c:pt idx="3">
                  <c:v>17.3</c:v>
                </c:pt>
                <c:pt idx="4">
                  <c:v>18.100000000000001</c:v>
                </c:pt>
                <c:pt idx="6">
                  <c:v>19.2</c:v>
                </c:pt>
                <c:pt idx="7">
                  <c:v>19.2</c:v>
                </c:pt>
                <c:pt idx="8">
                  <c:v>19.5</c:v>
                </c:pt>
                <c:pt idx="9">
                  <c:v>19.899999999999999</c:v>
                </c:pt>
                <c:pt idx="10">
                  <c:v>20.399999999999999</c:v>
                </c:pt>
                <c:pt idx="11">
                  <c:v>21.1</c:v>
                </c:pt>
                <c:pt idx="13">
                  <c:v>20.7</c:v>
                </c:pt>
                <c:pt idx="14">
                  <c:v>21.4</c:v>
                </c:pt>
                <c:pt idx="15">
                  <c:v>21.6</c:v>
                </c:pt>
                <c:pt idx="17">
                  <c:v>21.5</c:v>
                </c:pt>
                <c:pt idx="18">
                  <c:v>22.8</c:v>
                </c:pt>
                <c:pt idx="19">
                  <c:v>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4-4E89-8CC5-9C227FB1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90933"/>
        <c:axId val="842525006"/>
      </c:scatterChart>
      <c:valAx>
        <c:axId val="1252490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42525006"/>
        <c:crosses val="autoZero"/>
        <c:crossBetween val="midCat"/>
      </c:valAx>
      <c:valAx>
        <c:axId val="842525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524909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HF7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HF!$D$590:$D$607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HF!$K$590:$K$609</c:f>
              <c:numCache>
                <c:formatCode>0.0</c:formatCode>
                <c:ptCount val="20"/>
                <c:pt idx="0">
                  <c:v>18.100000000000001</c:v>
                </c:pt>
                <c:pt idx="1">
                  <c:v>18.100000000000001</c:v>
                </c:pt>
                <c:pt idx="2">
                  <c:v>17.7</c:v>
                </c:pt>
                <c:pt idx="3">
                  <c:v>17.600000000000001</c:v>
                </c:pt>
                <c:pt idx="4">
                  <c:v>18</c:v>
                </c:pt>
                <c:pt idx="6">
                  <c:v>18.600000000000001</c:v>
                </c:pt>
                <c:pt idx="7">
                  <c:v>18.2</c:v>
                </c:pt>
                <c:pt idx="8">
                  <c:v>18.399999999999999</c:v>
                </c:pt>
                <c:pt idx="9">
                  <c:v>18.7</c:v>
                </c:pt>
                <c:pt idx="10">
                  <c:v>19.2</c:v>
                </c:pt>
                <c:pt idx="11">
                  <c:v>19.899999999999999</c:v>
                </c:pt>
                <c:pt idx="13">
                  <c:v>19.5</c:v>
                </c:pt>
                <c:pt idx="14">
                  <c:v>20.2</c:v>
                </c:pt>
                <c:pt idx="15">
                  <c:v>20.100000000000001</c:v>
                </c:pt>
                <c:pt idx="17">
                  <c:v>20</c:v>
                </c:pt>
                <c:pt idx="18">
                  <c:v>20.7</c:v>
                </c:pt>
                <c:pt idx="19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8-4B38-AD26-071DA8D7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1740"/>
        <c:axId val="1040682245"/>
      </c:scatterChart>
      <c:valAx>
        <c:axId val="189201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0682245"/>
        <c:crosses val="autoZero"/>
        <c:crossBetween val="midCat"/>
      </c:valAx>
      <c:valAx>
        <c:axId val="1040682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92017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LF1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LF!$D$2:$D$18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LF!$K$2:$K$24</c:f>
              <c:numCache>
                <c:formatCode>0.0</c:formatCode>
                <c:ptCount val="23"/>
                <c:pt idx="0">
                  <c:v>22</c:v>
                </c:pt>
                <c:pt idx="1">
                  <c:v>22.3</c:v>
                </c:pt>
                <c:pt idx="2">
                  <c:v>23.1</c:v>
                </c:pt>
                <c:pt idx="3">
                  <c:v>22.7</c:v>
                </c:pt>
                <c:pt idx="4">
                  <c:v>23.2</c:v>
                </c:pt>
                <c:pt idx="5">
                  <c:v>22.8</c:v>
                </c:pt>
                <c:pt idx="6">
                  <c:v>23.2</c:v>
                </c:pt>
                <c:pt idx="7">
                  <c:v>23.5</c:v>
                </c:pt>
                <c:pt idx="8">
                  <c:v>23.8</c:v>
                </c:pt>
                <c:pt idx="9">
                  <c:v>23.7</c:v>
                </c:pt>
                <c:pt idx="10">
                  <c:v>24.1</c:v>
                </c:pt>
                <c:pt idx="12">
                  <c:v>24.3</c:v>
                </c:pt>
                <c:pt idx="13">
                  <c:v>24.7</c:v>
                </c:pt>
                <c:pt idx="14">
                  <c:v>24.3</c:v>
                </c:pt>
                <c:pt idx="16">
                  <c:v>24.6</c:v>
                </c:pt>
                <c:pt idx="17">
                  <c:v>24.6</c:v>
                </c:pt>
                <c:pt idx="18">
                  <c:v>24.9</c:v>
                </c:pt>
                <c:pt idx="20">
                  <c:v>25.2</c:v>
                </c:pt>
                <c:pt idx="21">
                  <c:v>25.3</c:v>
                </c:pt>
                <c:pt idx="22">
                  <c:v>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0-4408-9163-22E62211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75508"/>
        <c:axId val="926064649"/>
      </c:scatterChart>
      <c:valAx>
        <c:axId val="15282755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26064649"/>
        <c:crosses val="autoZero"/>
        <c:crossBetween val="midCat"/>
      </c:valAx>
      <c:valAx>
        <c:axId val="926064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82755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HF8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HF!$D$702:$D$720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  <c:pt idx="18">
                  <c:v>43024</c:v>
                </c:pt>
              </c:numCache>
            </c:numRef>
          </c:xVal>
          <c:yVal>
            <c:numRef>
              <c:f>HF!$K$702:$K$721</c:f>
              <c:numCache>
                <c:formatCode>0.0</c:formatCode>
                <c:ptCount val="20"/>
                <c:pt idx="0">
                  <c:v>18.600000000000001</c:v>
                </c:pt>
                <c:pt idx="1">
                  <c:v>19.100000000000001</c:v>
                </c:pt>
                <c:pt idx="2">
                  <c:v>19</c:v>
                </c:pt>
                <c:pt idx="3">
                  <c:v>19.600000000000001</c:v>
                </c:pt>
                <c:pt idx="4">
                  <c:v>20.3</c:v>
                </c:pt>
                <c:pt idx="6">
                  <c:v>20.3</c:v>
                </c:pt>
                <c:pt idx="7">
                  <c:v>22.2</c:v>
                </c:pt>
                <c:pt idx="8">
                  <c:v>22.3</c:v>
                </c:pt>
                <c:pt idx="9">
                  <c:v>23.7</c:v>
                </c:pt>
                <c:pt idx="10">
                  <c:v>24.1</c:v>
                </c:pt>
                <c:pt idx="11">
                  <c:v>24.8</c:v>
                </c:pt>
                <c:pt idx="13">
                  <c:v>25.6</c:v>
                </c:pt>
                <c:pt idx="14">
                  <c:v>26.5</c:v>
                </c:pt>
                <c:pt idx="15">
                  <c:v>27</c:v>
                </c:pt>
                <c:pt idx="17">
                  <c:v>27</c:v>
                </c:pt>
                <c:pt idx="18">
                  <c:v>27.5</c:v>
                </c:pt>
                <c:pt idx="19">
                  <c:v>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4-4429-8F07-7E73B6EC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990043"/>
        <c:axId val="265003677"/>
      </c:scatterChart>
      <c:valAx>
        <c:axId val="19179900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65003677"/>
        <c:crosses val="autoZero"/>
        <c:crossBetween val="midCat"/>
      </c:valAx>
      <c:valAx>
        <c:axId val="265003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1799004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HF!$D$812:$D$829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HF!$K$812:$K$831</c:f>
              <c:numCache>
                <c:formatCode>0.0</c:formatCode>
                <c:ptCount val="20"/>
                <c:pt idx="0">
                  <c:v>23.8</c:v>
                </c:pt>
                <c:pt idx="1">
                  <c:v>23.8</c:v>
                </c:pt>
                <c:pt idx="2">
                  <c:v>24.4</c:v>
                </c:pt>
                <c:pt idx="3">
                  <c:v>24.1</c:v>
                </c:pt>
                <c:pt idx="4">
                  <c:v>24.4</c:v>
                </c:pt>
                <c:pt idx="6">
                  <c:v>26</c:v>
                </c:pt>
                <c:pt idx="7">
                  <c:v>27.7</c:v>
                </c:pt>
                <c:pt idx="8">
                  <c:v>28.9</c:v>
                </c:pt>
                <c:pt idx="9">
                  <c:v>29.4</c:v>
                </c:pt>
                <c:pt idx="10">
                  <c:v>30.2</c:v>
                </c:pt>
                <c:pt idx="11">
                  <c:v>30.6</c:v>
                </c:pt>
                <c:pt idx="13">
                  <c:v>31.6</c:v>
                </c:pt>
                <c:pt idx="14">
                  <c:v>33</c:v>
                </c:pt>
                <c:pt idx="15">
                  <c:v>33.700000000000003</c:v>
                </c:pt>
                <c:pt idx="17">
                  <c:v>34.5</c:v>
                </c:pt>
                <c:pt idx="18">
                  <c:v>35.4</c:v>
                </c:pt>
                <c:pt idx="1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C-4A2F-A191-DD901E30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72523"/>
        <c:axId val="576479781"/>
      </c:scatterChart>
      <c:valAx>
        <c:axId val="14805725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76479781"/>
        <c:crosses val="autoZero"/>
        <c:crossBetween val="midCat"/>
      </c:valAx>
      <c:valAx>
        <c:axId val="576479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8057252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HF10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HF!$D$905:$D$922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HF!$K$905:$K$924</c:f>
              <c:numCache>
                <c:formatCode>0.0</c:formatCode>
                <c:ptCount val="20"/>
                <c:pt idx="0">
                  <c:v>23.8</c:v>
                </c:pt>
                <c:pt idx="1">
                  <c:v>23.8</c:v>
                </c:pt>
                <c:pt idx="2">
                  <c:v>23.7</c:v>
                </c:pt>
                <c:pt idx="3">
                  <c:v>23.6</c:v>
                </c:pt>
                <c:pt idx="4">
                  <c:v>24.9</c:v>
                </c:pt>
                <c:pt idx="6">
                  <c:v>25.8</c:v>
                </c:pt>
                <c:pt idx="7">
                  <c:v>26.9</c:v>
                </c:pt>
                <c:pt idx="8">
                  <c:v>27.1</c:v>
                </c:pt>
                <c:pt idx="9">
                  <c:v>27.6</c:v>
                </c:pt>
                <c:pt idx="10">
                  <c:v>28.3</c:v>
                </c:pt>
                <c:pt idx="11">
                  <c:v>29.2</c:v>
                </c:pt>
                <c:pt idx="13">
                  <c:v>29.8</c:v>
                </c:pt>
                <c:pt idx="14">
                  <c:v>30.5</c:v>
                </c:pt>
                <c:pt idx="15">
                  <c:v>31.1</c:v>
                </c:pt>
                <c:pt idx="17">
                  <c:v>31.7</c:v>
                </c:pt>
                <c:pt idx="18">
                  <c:v>33.1</c:v>
                </c:pt>
                <c:pt idx="19">
                  <c:v>34.200000000000003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9-4503-838B-740B2553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167727"/>
        <c:axId val="928949439"/>
      </c:scatterChart>
      <c:valAx>
        <c:axId val="1004167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28949439"/>
        <c:crosses val="autoZero"/>
        <c:crossBetween val="midCat"/>
      </c:valAx>
      <c:valAx>
        <c:axId val="928949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0416772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HF1 Average food consumption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HF!$D$2:$D$19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HF!$J$3:$J$19</c:f>
              <c:numCache>
                <c:formatCode>0.00</c:formatCode>
                <c:ptCount val="17"/>
                <c:pt idx="0">
                  <c:v>4.4000000000000057</c:v>
                </c:pt>
                <c:pt idx="1">
                  <c:v>4.5333333333333314</c:v>
                </c:pt>
                <c:pt idx="2">
                  <c:v>4.6000000000000014</c:v>
                </c:pt>
                <c:pt idx="3" formatCode="General">
                  <c:v>4.6000000000000085</c:v>
                </c:pt>
                <c:pt idx="5">
                  <c:v>5</c:v>
                </c:pt>
                <c:pt idx="6">
                  <c:v>6.3999999999999986</c:v>
                </c:pt>
                <c:pt idx="7" formatCode="General">
                  <c:v>6.25</c:v>
                </c:pt>
                <c:pt idx="8" formatCode="General">
                  <c:v>2.6500000000000004</c:v>
                </c:pt>
                <c:pt idx="10">
                  <c:v>4.3999999999999986</c:v>
                </c:pt>
                <c:pt idx="12" formatCode="General">
                  <c:v>3.6000000000000014</c:v>
                </c:pt>
                <c:pt idx="13">
                  <c:v>3.1333333333333329</c:v>
                </c:pt>
                <c:pt idx="14" formatCode="0.0">
                  <c:v>3</c:v>
                </c:pt>
                <c:pt idx="16" formatCode="General">
                  <c:v>6.2000000000000028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3E5-8D0E-F08C43CC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05434"/>
        <c:axId val="1640467158"/>
      </c:scatterChart>
      <c:valAx>
        <c:axId val="12507054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40467158"/>
        <c:crosses val="autoZero"/>
        <c:crossBetween val="midCat"/>
      </c:valAx>
      <c:valAx>
        <c:axId val="1640467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507054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HF1 Average liquid consumption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HF!$D$2:$D$19</c:f>
              <c:numCache>
                <c:formatCode>m/d/yy</c:formatCode>
                <c:ptCount val="18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HF!$F$3:$F$19</c:f>
              <c:numCache>
                <c:formatCode>#,##0.0</c:formatCode>
                <c:ptCount val="17"/>
                <c:pt idx="0">
                  <c:v>8</c:v>
                </c:pt>
                <c:pt idx="1">
                  <c:v>5.7999999999999927</c:v>
                </c:pt>
                <c:pt idx="2">
                  <c:v>6.1999999999999886</c:v>
                </c:pt>
                <c:pt idx="3">
                  <c:v>8.8000000000000114</c:v>
                </c:pt>
                <c:pt idx="5">
                  <c:v>4.8999999999999773</c:v>
                </c:pt>
                <c:pt idx="6">
                  <c:v>5.4000000000000155</c:v>
                </c:pt>
                <c:pt idx="7">
                  <c:v>4.4499999999999886</c:v>
                </c:pt>
                <c:pt idx="8">
                  <c:v>5.8499999999999943</c:v>
                </c:pt>
                <c:pt idx="9">
                  <c:v>5.0333333333333412</c:v>
                </c:pt>
                <c:pt idx="10">
                  <c:v>7.9499999999999886</c:v>
                </c:pt>
                <c:pt idx="12">
                  <c:v>6.4000000000000341</c:v>
                </c:pt>
                <c:pt idx="13">
                  <c:v>4.7333333333333298</c:v>
                </c:pt>
                <c:pt idx="14">
                  <c:v>6.25</c:v>
                </c:pt>
                <c:pt idx="16">
                  <c:v>7.1999999999999886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B-4232-9DDE-8AE3704E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80706"/>
        <c:axId val="1675271731"/>
      </c:scatterChart>
      <c:valAx>
        <c:axId val="1233180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5271731"/>
        <c:crosses val="autoZero"/>
        <c:crossBetween val="midCat"/>
      </c:valAx>
      <c:valAx>
        <c:axId val="1675271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mL liquid per day</a:t>
                </a:r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31807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SAAC1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SAAC!$D$2:$D$20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SAAC!$K$2:$K$22</c:f>
              <c:numCache>
                <c:formatCode>0.0</c:formatCode>
                <c:ptCount val="21"/>
                <c:pt idx="0">
                  <c:v>26</c:v>
                </c:pt>
                <c:pt idx="1">
                  <c:v>25.3</c:v>
                </c:pt>
                <c:pt idx="2">
                  <c:v>26.7</c:v>
                </c:pt>
                <c:pt idx="3">
                  <c:v>22.8</c:v>
                </c:pt>
                <c:pt idx="4">
                  <c:v>23.2</c:v>
                </c:pt>
                <c:pt idx="6">
                  <c:v>24.9</c:v>
                </c:pt>
                <c:pt idx="7">
                  <c:v>27.2</c:v>
                </c:pt>
                <c:pt idx="8">
                  <c:v>27.2</c:v>
                </c:pt>
                <c:pt idx="10">
                  <c:v>27.3</c:v>
                </c:pt>
                <c:pt idx="11">
                  <c:v>27.7</c:v>
                </c:pt>
                <c:pt idx="12">
                  <c:v>27.9</c:v>
                </c:pt>
                <c:pt idx="14">
                  <c:v>28.5</c:v>
                </c:pt>
                <c:pt idx="15">
                  <c:v>29.6</c:v>
                </c:pt>
                <c:pt idx="16">
                  <c:v>30.2</c:v>
                </c:pt>
                <c:pt idx="18">
                  <c:v>30.9</c:v>
                </c:pt>
                <c:pt idx="19">
                  <c:v>31.3</c:v>
                </c:pt>
                <c:pt idx="20">
                  <c:v>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6-41EA-BC20-806FE09C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17553"/>
        <c:axId val="55802685"/>
      </c:scatterChart>
      <c:valAx>
        <c:axId val="12965175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5802685"/>
        <c:crosses val="autoZero"/>
        <c:crossBetween val="midCat"/>
      </c:valAx>
      <c:valAx>
        <c:axId val="55802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9651755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SAAC2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SAAC!$D$91:$D$110</c:f>
              <c:numCache>
                <c:formatCode>m/d/yy</c:formatCode>
                <c:ptCount val="20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43017</c:v>
                </c:pt>
                <c:pt idx="17">
                  <c:v>43019</c:v>
                </c:pt>
                <c:pt idx="18">
                  <c:v>43020</c:v>
                </c:pt>
                <c:pt idx="19">
                  <c:v>43021</c:v>
                </c:pt>
              </c:numCache>
            </c:numRef>
          </c:xVal>
          <c:yVal>
            <c:numRef>
              <c:f>SAAC!$K$91:$K$112</c:f>
              <c:numCache>
                <c:formatCode>0.0</c:formatCode>
                <c:ptCount val="22"/>
                <c:pt idx="0">
                  <c:v>23</c:v>
                </c:pt>
                <c:pt idx="1">
                  <c:v>23.1</c:v>
                </c:pt>
                <c:pt idx="2">
                  <c:v>23.5</c:v>
                </c:pt>
                <c:pt idx="3">
                  <c:v>23.4</c:v>
                </c:pt>
                <c:pt idx="4">
                  <c:v>23.8</c:v>
                </c:pt>
                <c:pt idx="6">
                  <c:v>24.6</c:v>
                </c:pt>
                <c:pt idx="7">
                  <c:v>26.2</c:v>
                </c:pt>
                <c:pt idx="8">
                  <c:v>27</c:v>
                </c:pt>
                <c:pt idx="10">
                  <c:v>27.4</c:v>
                </c:pt>
                <c:pt idx="11">
                  <c:v>28</c:v>
                </c:pt>
                <c:pt idx="12">
                  <c:v>28.5</c:v>
                </c:pt>
                <c:pt idx="14">
                  <c:v>29.1</c:v>
                </c:pt>
                <c:pt idx="15">
                  <c:v>30.5</c:v>
                </c:pt>
                <c:pt idx="17">
                  <c:v>31.7</c:v>
                </c:pt>
                <c:pt idx="19">
                  <c:v>32.1</c:v>
                </c:pt>
                <c:pt idx="20">
                  <c:v>33</c:v>
                </c:pt>
                <c:pt idx="21">
                  <c:v>34.200000000000003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2-4EF2-9C51-CA49A7E7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091"/>
        <c:axId val="1772602729"/>
      </c:scatterChart>
      <c:valAx>
        <c:axId val="149600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2602729"/>
        <c:crosses val="autoZero"/>
        <c:crossBetween val="midCat"/>
      </c:valAx>
      <c:valAx>
        <c:axId val="1772602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9600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SAAC3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SAAC!$D$194:$D$212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SAAC!$K$194:$K$214</c:f>
              <c:numCache>
                <c:formatCode>0.0</c:formatCode>
                <c:ptCount val="21"/>
                <c:pt idx="0">
                  <c:v>25</c:v>
                </c:pt>
                <c:pt idx="1">
                  <c:v>24.7</c:v>
                </c:pt>
                <c:pt idx="2">
                  <c:v>24.7</c:v>
                </c:pt>
                <c:pt idx="3">
                  <c:v>24.8</c:v>
                </c:pt>
                <c:pt idx="4">
                  <c:v>25.3</c:v>
                </c:pt>
                <c:pt idx="6">
                  <c:v>26.3</c:v>
                </c:pt>
                <c:pt idx="7">
                  <c:v>26.8</c:v>
                </c:pt>
                <c:pt idx="8">
                  <c:v>26.9</c:v>
                </c:pt>
                <c:pt idx="10">
                  <c:v>27.1</c:v>
                </c:pt>
                <c:pt idx="11">
                  <c:v>27.8</c:v>
                </c:pt>
                <c:pt idx="12">
                  <c:v>28</c:v>
                </c:pt>
                <c:pt idx="14">
                  <c:v>29</c:v>
                </c:pt>
                <c:pt idx="15">
                  <c:v>30.8</c:v>
                </c:pt>
                <c:pt idx="16">
                  <c:v>31.8</c:v>
                </c:pt>
                <c:pt idx="18">
                  <c:v>33.1</c:v>
                </c:pt>
                <c:pt idx="19">
                  <c:v>34.4</c:v>
                </c:pt>
                <c:pt idx="2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E-4EFC-ACF2-08711B89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08690"/>
        <c:axId val="2138501582"/>
      </c:scatterChart>
      <c:valAx>
        <c:axId val="16921086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38501582"/>
        <c:crosses val="autoZero"/>
        <c:crossBetween val="midCat"/>
      </c:valAx>
      <c:valAx>
        <c:axId val="2138501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210869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SAAC4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SAAC!$D$296:$D$314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SAAC!$K$296:$K$316</c:f>
              <c:numCache>
                <c:formatCode>0.0</c:formatCode>
                <c:ptCount val="21"/>
                <c:pt idx="0">
                  <c:v>22.2</c:v>
                </c:pt>
                <c:pt idx="1">
                  <c:v>22.3</c:v>
                </c:pt>
                <c:pt idx="2">
                  <c:v>21.3</c:v>
                </c:pt>
                <c:pt idx="3">
                  <c:v>22.1</c:v>
                </c:pt>
                <c:pt idx="4">
                  <c:v>22.2</c:v>
                </c:pt>
                <c:pt idx="6">
                  <c:v>23.4</c:v>
                </c:pt>
                <c:pt idx="7">
                  <c:v>25.7</c:v>
                </c:pt>
                <c:pt idx="8">
                  <c:v>26.7</c:v>
                </c:pt>
                <c:pt idx="10">
                  <c:v>27.3</c:v>
                </c:pt>
                <c:pt idx="11">
                  <c:v>27.4</c:v>
                </c:pt>
                <c:pt idx="12">
                  <c:v>27.8</c:v>
                </c:pt>
                <c:pt idx="14">
                  <c:v>28.1</c:v>
                </c:pt>
                <c:pt idx="15">
                  <c:v>29.2</c:v>
                </c:pt>
                <c:pt idx="16">
                  <c:v>30.4</c:v>
                </c:pt>
                <c:pt idx="18">
                  <c:v>30.9</c:v>
                </c:pt>
                <c:pt idx="19">
                  <c:v>31.8</c:v>
                </c:pt>
                <c:pt idx="20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5-4F37-B46B-58291705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83867"/>
        <c:axId val="737136472"/>
      </c:scatterChart>
      <c:valAx>
        <c:axId val="526583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7136472"/>
        <c:crosses val="autoZero"/>
        <c:crossBetween val="midCat"/>
      </c:valAx>
      <c:valAx>
        <c:axId val="737136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2658386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SAAC!$D$406:$D$424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SAAC!$K$406:$K$426</c:f>
              <c:numCache>
                <c:formatCode>0.0</c:formatCode>
                <c:ptCount val="21"/>
                <c:pt idx="0">
                  <c:v>25.8</c:v>
                </c:pt>
                <c:pt idx="1">
                  <c:v>25.7</c:v>
                </c:pt>
                <c:pt idx="2">
                  <c:v>25.6</c:v>
                </c:pt>
                <c:pt idx="3">
                  <c:v>25.7</c:v>
                </c:pt>
                <c:pt idx="4">
                  <c:v>26.6</c:v>
                </c:pt>
                <c:pt idx="6">
                  <c:v>27.2</c:v>
                </c:pt>
                <c:pt idx="7">
                  <c:v>29.1</c:v>
                </c:pt>
                <c:pt idx="8">
                  <c:v>29.8</c:v>
                </c:pt>
                <c:pt idx="10">
                  <c:v>30</c:v>
                </c:pt>
                <c:pt idx="11">
                  <c:v>30.8</c:v>
                </c:pt>
                <c:pt idx="12">
                  <c:v>31.2</c:v>
                </c:pt>
                <c:pt idx="14">
                  <c:v>32.6</c:v>
                </c:pt>
                <c:pt idx="15">
                  <c:v>34.5</c:v>
                </c:pt>
                <c:pt idx="16">
                  <c:v>35.6</c:v>
                </c:pt>
                <c:pt idx="18">
                  <c:v>35.799999999999997</c:v>
                </c:pt>
                <c:pt idx="19">
                  <c:v>37.200000000000003</c:v>
                </c:pt>
                <c:pt idx="20">
                  <c:v>38.200000000000003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6-46C2-AAC3-CCF9F375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41961"/>
        <c:axId val="682991186"/>
      </c:scatterChart>
      <c:valAx>
        <c:axId val="18265419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82991186"/>
        <c:crosses val="autoZero"/>
        <c:crossBetween val="midCat"/>
      </c:valAx>
      <c:valAx>
        <c:axId val="682991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265419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LF2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LF!$D$79:$D$95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LF!$K$79:$K$97</c:f>
              <c:numCache>
                <c:formatCode>0.0</c:formatCode>
                <c:ptCount val="19"/>
                <c:pt idx="0">
                  <c:v>20.6</c:v>
                </c:pt>
                <c:pt idx="1">
                  <c:v>20.8</c:v>
                </c:pt>
                <c:pt idx="2">
                  <c:v>21</c:v>
                </c:pt>
                <c:pt idx="3">
                  <c:v>20.9</c:v>
                </c:pt>
                <c:pt idx="4">
                  <c:v>21.3</c:v>
                </c:pt>
                <c:pt idx="5">
                  <c:v>21.7</c:v>
                </c:pt>
                <c:pt idx="6">
                  <c:v>21.4</c:v>
                </c:pt>
                <c:pt idx="7">
                  <c:v>22.2</c:v>
                </c:pt>
                <c:pt idx="8">
                  <c:v>21.9</c:v>
                </c:pt>
                <c:pt idx="9">
                  <c:v>22.8</c:v>
                </c:pt>
                <c:pt idx="10">
                  <c:v>23</c:v>
                </c:pt>
                <c:pt idx="12">
                  <c:v>22.9</c:v>
                </c:pt>
                <c:pt idx="13">
                  <c:v>23.7</c:v>
                </c:pt>
                <c:pt idx="14">
                  <c:v>23.3</c:v>
                </c:pt>
                <c:pt idx="16">
                  <c:v>23.7</c:v>
                </c:pt>
                <c:pt idx="17">
                  <c:v>23.2</c:v>
                </c:pt>
                <c:pt idx="18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8-434B-81C4-25A0350B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8956"/>
        <c:axId val="1309847971"/>
      </c:scatterChart>
      <c:valAx>
        <c:axId val="251558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09847971"/>
        <c:crosses val="autoZero"/>
        <c:crossBetween val="midCat"/>
      </c:valAx>
      <c:valAx>
        <c:axId val="1309847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15589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SAAC6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SAAC!$D$513:$D$531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SAAC!$K$513:$K$533</c:f>
              <c:numCache>
                <c:formatCode>0.0</c:formatCode>
                <c:ptCount val="21"/>
                <c:pt idx="0">
                  <c:v>18.3</c:v>
                </c:pt>
                <c:pt idx="1">
                  <c:v>19</c:v>
                </c:pt>
                <c:pt idx="2">
                  <c:v>19.100000000000001</c:v>
                </c:pt>
                <c:pt idx="3">
                  <c:v>19.7</c:v>
                </c:pt>
                <c:pt idx="4">
                  <c:v>19.8</c:v>
                </c:pt>
                <c:pt idx="6">
                  <c:v>20</c:v>
                </c:pt>
                <c:pt idx="7">
                  <c:v>21.1</c:v>
                </c:pt>
                <c:pt idx="8">
                  <c:v>21</c:v>
                </c:pt>
                <c:pt idx="10">
                  <c:v>21.8</c:v>
                </c:pt>
                <c:pt idx="11">
                  <c:v>22.6</c:v>
                </c:pt>
                <c:pt idx="12">
                  <c:v>23.3</c:v>
                </c:pt>
                <c:pt idx="14">
                  <c:v>23.8</c:v>
                </c:pt>
                <c:pt idx="15">
                  <c:v>24.7</c:v>
                </c:pt>
                <c:pt idx="16">
                  <c:v>24.1</c:v>
                </c:pt>
                <c:pt idx="18">
                  <c:v>25.1</c:v>
                </c:pt>
                <c:pt idx="19">
                  <c:v>25.1</c:v>
                </c:pt>
                <c:pt idx="20">
                  <c:v>26.3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8-4012-BB78-0A299D35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175177"/>
        <c:axId val="1497232488"/>
      </c:scatterChart>
      <c:valAx>
        <c:axId val="13691751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97232488"/>
        <c:crosses val="autoZero"/>
        <c:crossBetween val="midCat"/>
      </c:valAx>
      <c:valAx>
        <c:axId val="1497232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691751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SAAC7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SAAC!$D$625:$D$643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SAAC!$K$625:$K$645</c:f>
              <c:numCache>
                <c:formatCode>0.0</c:formatCode>
                <c:ptCount val="21"/>
                <c:pt idx="0">
                  <c:v>17.600000000000001</c:v>
                </c:pt>
                <c:pt idx="1">
                  <c:v>17.7</c:v>
                </c:pt>
                <c:pt idx="2">
                  <c:v>17.7</c:v>
                </c:pt>
                <c:pt idx="3">
                  <c:v>17.2</c:v>
                </c:pt>
                <c:pt idx="4">
                  <c:v>17.7</c:v>
                </c:pt>
                <c:pt idx="6">
                  <c:v>18</c:v>
                </c:pt>
                <c:pt idx="7">
                  <c:v>18.899999999999999</c:v>
                </c:pt>
                <c:pt idx="8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21.3</c:v>
                </c:pt>
                <c:pt idx="14">
                  <c:v>21.8</c:v>
                </c:pt>
                <c:pt idx="15">
                  <c:v>23.1</c:v>
                </c:pt>
                <c:pt idx="16">
                  <c:v>23</c:v>
                </c:pt>
                <c:pt idx="18">
                  <c:v>22.8</c:v>
                </c:pt>
                <c:pt idx="19">
                  <c:v>22.7</c:v>
                </c:pt>
                <c:pt idx="20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4-400E-8523-D7C3BE62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58118"/>
        <c:axId val="1223844006"/>
      </c:scatterChart>
      <c:valAx>
        <c:axId val="9270581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23844006"/>
        <c:crosses val="autoZero"/>
        <c:crossBetween val="midCat"/>
      </c:valAx>
      <c:valAx>
        <c:axId val="1223844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270581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SAAC8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SAAC!$D$734:$D$752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SAAC!$K$734:$K$754</c:f>
              <c:numCache>
                <c:formatCode>0.0</c:formatCode>
                <c:ptCount val="21"/>
                <c:pt idx="0">
                  <c:v>16.399999999999999</c:v>
                </c:pt>
                <c:pt idx="1">
                  <c:v>16.7</c:v>
                </c:pt>
                <c:pt idx="2">
                  <c:v>16.7</c:v>
                </c:pt>
                <c:pt idx="3">
                  <c:v>17.600000000000001</c:v>
                </c:pt>
                <c:pt idx="4">
                  <c:v>17.600000000000001</c:v>
                </c:pt>
                <c:pt idx="6">
                  <c:v>17.399999999999999</c:v>
                </c:pt>
                <c:pt idx="7">
                  <c:v>17.3</c:v>
                </c:pt>
                <c:pt idx="8">
                  <c:v>18.399999999999999</c:v>
                </c:pt>
                <c:pt idx="10">
                  <c:v>18.100000000000001</c:v>
                </c:pt>
                <c:pt idx="11">
                  <c:v>19.2</c:v>
                </c:pt>
                <c:pt idx="12">
                  <c:v>19.399999999999999</c:v>
                </c:pt>
                <c:pt idx="14">
                  <c:v>18.899999999999999</c:v>
                </c:pt>
                <c:pt idx="15">
                  <c:v>17.399999999999999</c:v>
                </c:pt>
                <c:pt idx="16">
                  <c:v>17.8</c:v>
                </c:pt>
                <c:pt idx="18">
                  <c:v>20.7</c:v>
                </c:pt>
                <c:pt idx="19">
                  <c:v>20.7</c:v>
                </c:pt>
                <c:pt idx="20">
                  <c:v>20.399999999999999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1-46D4-8331-99A17B4C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29496"/>
        <c:axId val="1031851719"/>
      </c:scatterChart>
      <c:valAx>
        <c:axId val="468629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31851719"/>
        <c:crosses val="autoZero"/>
        <c:crossBetween val="midCat"/>
      </c:valAx>
      <c:valAx>
        <c:axId val="1031851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686294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SAAC!$D$843:$D$861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SAAC!$K$843:$K$863</c:f>
              <c:numCache>
                <c:formatCode>0.0</c:formatCode>
                <c:ptCount val="21"/>
                <c:pt idx="0">
                  <c:v>18.100000000000001</c:v>
                </c:pt>
                <c:pt idx="1">
                  <c:v>17.8</c:v>
                </c:pt>
                <c:pt idx="2">
                  <c:v>18.2</c:v>
                </c:pt>
                <c:pt idx="3">
                  <c:v>18.5</c:v>
                </c:pt>
                <c:pt idx="4">
                  <c:v>18.2</c:v>
                </c:pt>
                <c:pt idx="6">
                  <c:v>18.8</c:v>
                </c:pt>
                <c:pt idx="7">
                  <c:v>20.3</c:v>
                </c:pt>
                <c:pt idx="8">
                  <c:v>19.8</c:v>
                </c:pt>
                <c:pt idx="10">
                  <c:v>20.8</c:v>
                </c:pt>
                <c:pt idx="11">
                  <c:v>21.4</c:v>
                </c:pt>
                <c:pt idx="12">
                  <c:v>21.8</c:v>
                </c:pt>
                <c:pt idx="14">
                  <c:v>22.2</c:v>
                </c:pt>
                <c:pt idx="15">
                  <c:v>22.6</c:v>
                </c:pt>
                <c:pt idx="16">
                  <c:v>23.5</c:v>
                </c:pt>
                <c:pt idx="18">
                  <c:v>22.8</c:v>
                </c:pt>
                <c:pt idx="19">
                  <c:v>23.3</c:v>
                </c:pt>
                <c:pt idx="20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F-495A-B5C5-4D5BF2CE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134445"/>
        <c:axId val="1718639586"/>
      </c:scatterChart>
      <c:valAx>
        <c:axId val="12601344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18639586"/>
        <c:crosses val="autoZero"/>
        <c:crossBetween val="midCat"/>
      </c:valAx>
      <c:valAx>
        <c:axId val="1718639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601344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SAAC10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SAAC!$D$956:$D$974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SAAC!$K$956:$K$976</c:f>
              <c:numCache>
                <c:formatCode>0.0</c:formatCode>
                <c:ptCount val="21"/>
                <c:pt idx="0">
                  <c:v>20</c:v>
                </c:pt>
                <c:pt idx="1">
                  <c:v>20.6</c:v>
                </c:pt>
                <c:pt idx="2">
                  <c:v>20.7</c:v>
                </c:pt>
                <c:pt idx="3">
                  <c:v>19.8</c:v>
                </c:pt>
                <c:pt idx="4">
                  <c:v>20.3</c:v>
                </c:pt>
                <c:pt idx="6">
                  <c:v>21.5</c:v>
                </c:pt>
                <c:pt idx="7">
                  <c:v>21.6</c:v>
                </c:pt>
                <c:pt idx="8">
                  <c:v>22.6</c:v>
                </c:pt>
                <c:pt idx="10">
                  <c:v>22.3</c:v>
                </c:pt>
                <c:pt idx="11">
                  <c:v>23.6</c:v>
                </c:pt>
                <c:pt idx="12">
                  <c:v>23.5</c:v>
                </c:pt>
                <c:pt idx="14">
                  <c:v>24.4</c:v>
                </c:pt>
                <c:pt idx="15">
                  <c:v>25.1</c:v>
                </c:pt>
                <c:pt idx="16">
                  <c:v>25.4</c:v>
                </c:pt>
                <c:pt idx="18">
                  <c:v>26.1</c:v>
                </c:pt>
                <c:pt idx="19">
                  <c:v>26.4</c:v>
                </c:pt>
                <c:pt idx="20">
                  <c:v>27.6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F-414B-B9E8-5C16DA3E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948"/>
        <c:axId val="2032903709"/>
      </c:scatterChart>
      <c:valAx>
        <c:axId val="57439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32903709"/>
        <c:crosses val="autoZero"/>
        <c:crossBetween val="midCat"/>
      </c:valAx>
      <c:valAx>
        <c:axId val="2032903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7439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SAAC1 Average food consumption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SAAC!$D$2:$D$20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SAAC!$J$3:$J$18</c:f>
              <c:numCache>
                <c:formatCode>General</c:formatCode>
                <c:ptCount val="16"/>
                <c:pt idx="0" formatCode="0.00">
                  <c:v>4.0333333333333341</c:v>
                </c:pt>
                <c:pt idx="1">
                  <c:v>2.25</c:v>
                </c:pt>
                <c:pt idx="2">
                  <c:v>2.3999999999999986</c:v>
                </c:pt>
                <c:pt idx="3">
                  <c:v>2.3999999999999986</c:v>
                </c:pt>
                <c:pt idx="5" formatCode="0.0">
                  <c:v>4</c:v>
                </c:pt>
                <c:pt idx="6">
                  <c:v>3.5</c:v>
                </c:pt>
                <c:pt idx="7" formatCode="0.0">
                  <c:v>3</c:v>
                </c:pt>
                <c:pt idx="9">
                  <c:v>2.3000000000000007</c:v>
                </c:pt>
                <c:pt idx="10">
                  <c:v>2.7000000000000006</c:v>
                </c:pt>
                <c:pt idx="11">
                  <c:v>2.5500000000000007</c:v>
                </c:pt>
                <c:pt idx="13">
                  <c:v>2.5500000000000007</c:v>
                </c:pt>
                <c:pt idx="14" formatCode="0.00">
                  <c:v>2.8666666666666649</c:v>
                </c:pt>
                <c:pt idx="15">
                  <c:v>2.7500000000000018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3-44B7-95E6-2BE75CAE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514"/>
        <c:axId val="1869452743"/>
      </c:scatterChart>
      <c:valAx>
        <c:axId val="124395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69452743"/>
        <c:crosses val="autoZero"/>
        <c:crossBetween val="midCat"/>
      </c:valAx>
      <c:valAx>
        <c:axId val="186945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 food per day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4395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SAAC1 Average liquid consumption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SAAC!$D$2:$D$20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SAAC!$F$3:$F$21</c:f>
              <c:numCache>
                <c:formatCode>#,##0.0</c:formatCode>
                <c:ptCount val="19"/>
                <c:pt idx="0">
                  <c:v>4.6000000000000227</c:v>
                </c:pt>
                <c:pt idx="1">
                  <c:v>5.7999999999999927</c:v>
                </c:pt>
                <c:pt idx="2">
                  <c:v>6.25</c:v>
                </c:pt>
                <c:pt idx="3">
                  <c:v>8.1000000000000227</c:v>
                </c:pt>
                <c:pt idx="5">
                  <c:v>5.2999999999999545</c:v>
                </c:pt>
                <c:pt idx="6">
                  <c:v>5.3666666666666742</c:v>
                </c:pt>
                <c:pt idx="7">
                  <c:v>4.0999999999999943</c:v>
                </c:pt>
                <c:pt idx="9">
                  <c:v>5.9000000000000057</c:v>
                </c:pt>
                <c:pt idx="10">
                  <c:v>5.0999999999999845</c:v>
                </c:pt>
                <c:pt idx="11">
                  <c:v>8.25</c:v>
                </c:pt>
                <c:pt idx="13">
                  <c:v>6.1999999999999886</c:v>
                </c:pt>
                <c:pt idx="14">
                  <c:v>4.4333333333333371</c:v>
                </c:pt>
                <c:pt idx="15">
                  <c:v>4.6999999999999886</c:v>
                </c:pt>
                <c:pt idx="17">
                  <c:v>8.3000000000000114</c:v>
                </c:pt>
                <c:pt idx="18">
                  <c:v>5.8999999999999959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5-4EDB-9CF1-16705AA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13186"/>
        <c:axId val="1434922603"/>
      </c:scatterChart>
      <c:valAx>
        <c:axId val="1161213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34922603"/>
        <c:crosses val="autoZero"/>
        <c:crossBetween val="midCat"/>
      </c:valAx>
      <c:valAx>
        <c:axId val="1434922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612131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SAAC!$C$541:$C$606</c:f>
              <c:numCache>
                <c:formatCode>General</c:formatCode>
                <c:ptCount val="66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46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93</c:v>
                </c:pt>
                <c:pt idx="15">
                  <c:v>64</c:v>
                </c:pt>
                <c:pt idx="16">
                  <c:v>67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74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81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98</c:v>
                </c:pt>
                <c:pt idx="29">
                  <c:v>105</c:v>
                </c:pt>
                <c:pt idx="30">
                  <c:v>112</c:v>
                </c:pt>
                <c:pt idx="31">
                  <c:v>116</c:v>
                </c:pt>
                <c:pt idx="32">
                  <c:v>117</c:v>
                </c:pt>
                <c:pt idx="33">
                  <c:v>118</c:v>
                </c:pt>
                <c:pt idx="34">
                  <c:v>119</c:v>
                </c:pt>
                <c:pt idx="35">
                  <c:v>120</c:v>
                </c:pt>
                <c:pt idx="36">
                  <c:v>121</c:v>
                </c:pt>
                <c:pt idx="37">
                  <c:v>122</c:v>
                </c:pt>
                <c:pt idx="38">
                  <c:v>123</c:v>
                </c:pt>
                <c:pt idx="39">
                  <c:v>124</c:v>
                </c:pt>
                <c:pt idx="40">
                  <c:v>125</c:v>
                </c:pt>
                <c:pt idx="41">
                  <c:v>126</c:v>
                </c:pt>
                <c:pt idx="42">
                  <c:v>127</c:v>
                </c:pt>
                <c:pt idx="43">
                  <c:v>128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134</c:v>
                </c:pt>
                <c:pt idx="50">
                  <c:v>135</c:v>
                </c:pt>
                <c:pt idx="51">
                  <c:v>136</c:v>
                </c:pt>
                <c:pt idx="52">
                  <c:v>137</c:v>
                </c:pt>
                <c:pt idx="53">
                  <c:v>138</c:v>
                </c:pt>
                <c:pt idx="54">
                  <c:v>139</c:v>
                </c:pt>
                <c:pt idx="55">
                  <c:v>140</c:v>
                </c:pt>
                <c:pt idx="56">
                  <c:v>141</c:v>
                </c:pt>
                <c:pt idx="57">
                  <c:v>142</c:v>
                </c:pt>
                <c:pt idx="58">
                  <c:v>143</c:v>
                </c:pt>
                <c:pt idx="59">
                  <c:v>144</c:v>
                </c:pt>
                <c:pt idx="60">
                  <c:v>145</c:v>
                </c:pt>
                <c:pt idx="61">
                  <c:v>146</c:v>
                </c:pt>
                <c:pt idx="62">
                  <c:v>147</c:v>
                </c:pt>
                <c:pt idx="63">
                  <c:v>148</c:v>
                </c:pt>
                <c:pt idx="64">
                  <c:v>149</c:v>
                </c:pt>
                <c:pt idx="65">
                  <c:v>150</c:v>
                </c:pt>
              </c:numCache>
            </c:numRef>
          </c:xVal>
          <c:yVal>
            <c:numRef>
              <c:f>SAAC!$K$541:$K$617</c:f>
              <c:numCache>
                <c:formatCode>0.0</c:formatCode>
                <c:ptCount val="77"/>
                <c:pt idx="0">
                  <c:v>31.2</c:v>
                </c:pt>
                <c:pt idx="2">
                  <c:v>31.6</c:v>
                </c:pt>
                <c:pt idx="3">
                  <c:v>33.799999999999997</c:v>
                </c:pt>
                <c:pt idx="4">
                  <c:v>33.799999999999997</c:v>
                </c:pt>
                <c:pt idx="6">
                  <c:v>35.5</c:v>
                </c:pt>
                <c:pt idx="7">
                  <c:v>35.299999999999997</c:v>
                </c:pt>
                <c:pt idx="8">
                  <c:v>36.9</c:v>
                </c:pt>
                <c:pt idx="10">
                  <c:v>37.1</c:v>
                </c:pt>
                <c:pt idx="11">
                  <c:v>38.4</c:v>
                </c:pt>
                <c:pt idx="13">
                  <c:v>38.9</c:v>
                </c:pt>
                <c:pt idx="15">
                  <c:v>39.5</c:v>
                </c:pt>
                <c:pt idx="16">
                  <c:v>40.799999999999997</c:v>
                </c:pt>
                <c:pt idx="17">
                  <c:v>42.3</c:v>
                </c:pt>
                <c:pt idx="19">
                  <c:v>42.8</c:v>
                </c:pt>
                <c:pt idx="20">
                  <c:v>44.4</c:v>
                </c:pt>
                <c:pt idx="21">
                  <c:v>44.7</c:v>
                </c:pt>
                <c:pt idx="22">
                  <c:v>45</c:v>
                </c:pt>
                <c:pt idx="23">
                  <c:v>45.8</c:v>
                </c:pt>
                <c:pt idx="24">
                  <c:v>46.2</c:v>
                </c:pt>
                <c:pt idx="25">
                  <c:v>45.9</c:v>
                </c:pt>
                <c:pt idx="27">
                  <c:v>48.4</c:v>
                </c:pt>
                <c:pt idx="28" formatCode="General">
                  <c:v>45.9</c:v>
                </c:pt>
                <c:pt idx="29">
                  <c:v>49.4</c:v>
                </c:pt>
                <c:pt idx="30">
                  <c:v>41.9</c:v>
                </c:pt>
                <c:pt idx="31">
                  <c:v>40.5</c:v>
                </c:pt>
                <c:pt idx="32">
                  <c:v>40.200000000000003</c:v>
                </c:pt>
                <c:pt idx="33">
                  <c:v>40.700000000000003</c:v>
                </c:pt>
                <c:pt idx="34">
                  <c:v>41.4</c:v>
                </c:pt>
                <c:pt idx="35">
                  <c:v>41.8</c:v>
                </c:pt>
                <c:pt idx="36">
                  <c:v>41.9</c:v>
                </c:pt>
                <c:pt idx="37">
                  <c:v>42.7</c:v>
                </c:pt>
                <c:pt idx="38">
                  <c:v>43.1</c:v>
                </c:pt>
                <c:pt idx="39">
                  <c:v>44.2</c:v>
                </c:pt>
                <c:pt idx="40">
                  <c:v>45.1</c:v>
                </c:pt>
                <c:pt idx="41">
                  <c:v>45</c:v>
                </c:pt>
                <c:pt idx="42">
                  <c:v>44.1</c:v>
                </c:pt>
                <c:pt idx="43">
                  <c:v>44.3</c:v>
                </c:pt>
                <c:pt idx="44">
                  <c:v>42.8</c:v>
                </c:pt>
                <c:pt idx="45">
                  <c:v>41.6</c:v>
                </c:pt>
                <c:pt idx="46">
                  <c:v>41.3</c:v>
                </c:pt>
                <c:pt idx="47">
                  <c:v>40.799999999999997</c:v>
                </c:pt>
                <c:pt idx="48">
                  <c:v>39.799999999999997</c:v>
                </c:pt>
                <c:pt idx="49">
                  <c:v>39.299999999999997</c:v>
                </c:pt>
                <c:pt idx="50">
                  <c:v>38.4</c:v>
                </c:pt>
                <c:pt idx="51">
                  <c:v>37.6</c:v>
                </c:pt>
                <c:pt idx="52">
                  <c:v>36.9</c:v>
                </c:pt>
                <c:pt idx="53">
                  <c:v>36.200000000000003</c:v>
                </c:pt>
                <c:pt idx="54">
                  <c:v>35.6</c:v>
                </c:pt>
                <c:pt idx="55">
                  <c:v>35</c:v>
                </c:pt>
                <c:pt idx="56">
                  <c:v>34.5</c:v>
                </c:pt>
                <c:pt idx="57">
                  <c:v>34.1</c:v>
                </c:pt>
                <c:pt idx="58">
                  <c:v>33.9</c:v>
                </c:pt>
                <c:pt idx="59">
                  <c:v>33</c:v>
                </c:pt>
                <c:pt idx="60">
                  <c:v>32.6</c:v>
                </c:pt>
                <c:pt idx="61">
                  <c:v>32</c:v>
                </c:pt>
                <c:pt idx="62">
                  <c:v>31.5</c:v>
                </c:pt>
                <c:pt idx="63">
                  <c:v>30.8</c:v>
                </c:pt>
                <c:pt idx="64">
                  <c:v>30.4</c:v>
                </c:pt>
                <c:pt idx="65">
                  <c:v>29.9</c:v>
                </c:pt>
                <c:pt idx="66">
                  <c:v>29</c:v>
                </c:pt>
                <c:pt idx="67">
                  <c:v>28.4</c:v>
                </c:pt>
                <c:pt idx="68">
                  <c:v>28</c:v>
                </c:pt>
                <c:pt idx="69">
                  <c:v>27.6</c:v>
                </c:pt>
                <c:pt idx="70">
                  <c:v>27</c:v>
                </c:pt>
                <c:pt idx="71">
                  <c:v>26.8</c:v>
                </c:pt>
                <c:pt idx="72">
                  <c:v>28.9</c:v>
                </c:pt>
                <c:pt idx="73">
                  <c:v>30.3</c:v>
                </c:pt>
                <c:pt idx="74">
                  <c:v>30</c:v>
                </c:pt>
                <c:pt idx="75">
                  <c:v>30.9</c:v>
                </c:pt>
                <c:pt idx="76">
                  <c:v>30.8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E-4DF6-A24C-09317711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68089"/>
        <c:axId val="638273716"/>
      </c:scatterChart>
      <c:valAx>
        <c:axId val="624568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38273716"/>
        <c:crosses val="autoZero"/>
        <c:crossBetween val="midCat"/>
      </c:valAx>
      <c:valAx>
        <c:axId val="638273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24568089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STEV9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STEVIA!$L$852:$L$870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STEVIA!$K$852:$K$872</c:f>
              <c:numCache>
                <c:formatCode>0.0</c:formatCode>
                <c:ptCount val="21"/>
                <c:pt idx="0">
                  <c:v>18.899999999999999</c:v>
                </c:pt>
                <c:pt idx="1">
                  <c:v>18.5</c:v>
                </c:pt>
                <c:pt idx="2">
                  <c:v>19</c:v>
                </c:pt>
                <c:pt idx="3">
                  <c:v>19.7</c:v>
                </c:pt>
                <c:pt idx="4">
                  <c:v>20.2</c:v>
                </c:pt>
                <c:pt idx="6">
                  <c:v>20.399999999999999</c:v>
                </c:pt>
                <c:pt idx="7">
                  <c:v>22.5</c:v>
                </c:pt>
                <c:pt idx="8">
                  <c:v>22.4</c:v>
                </c:pt>
                <c:pt idx="10">
                  <c:v>23.5</c:v>
                </c:pt>
                <c:pt idx="11">
                  <c:v>24.3</c:v>
                </c:pt>
                <c:pt idx="12">
                  <c:v>25.3</c:v>
                </c:pt>
                <c:pt idx="14">
                  <c:v>25.1</c:v>
                </c:pt>
                <c:pt idx="15">
                  <c:v>26.1</c:v>
                </c:pt>
                <c:pt idx="16">
                  <c:v>26.8</c:v>
                </c:pt>
                <c:pt idx="18">
                  <c:v>27.5</c:v>
                </c:pt>
                <c:pt idx="19">
                  <c:v>28.7</c:v>
                </c:pt>
                <c:pt idx="20">
                  <c:v>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C-4AE5-9697-68864EDA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43534"/>
        <c:axId val="1893850768"/>
      </c:scatterChart>
      <c:valAx>
        <c:axId val="1484743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93850768"/>
        <c:crosses val="autoZero"/>
        <c:crossBetween val="midCat"/>
      </c:valAx>
      <c:valAx>
        <c:axId val="1893850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Body Weight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847435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STEV1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STEVIA!$K$2</c:f>
              <c:strCache>
                <c:ptCount val="1"/>
                <c:pt idx="0">
                  <c:v>22.2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STEVIA!$D$3:$D$20</c:f>
              <c:numCache>
                <c:formatCode>m/d/yy</c:formatCode>
                <c:ptCount val="18"/>
                <c:pt idx="0">
                  <c:v>42993</c:v>
                </c:pt>
                <c:pt idx="1">
                  <c:v>42996</c:v>
                </c:pt>
                <c:pt idx="2">
                  <c:v>42998</c:v>
                </c:pt>
                <c:pt idx="3">
                  <c:v>42999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43005</c:v>
                </c:pt>
                <c:pt idx="9">
                  <c:v>43007</c:v>
                </c:pt>
                <c:pt idx="10">
                  <c:v>43010</c:v>
                </c:pt>
                <c:pt idx="11">
                  <c:v>43012</c:v>
                </c:pt>
                <c:pt idx="12">
                  <c:v>43013</c:v>
                </c:pt>
                <c:pt idx="13">
                  <c:v>43014</c:v>
                </c:pt>
                <c:pt idx="14">
                  <c:v>43017</c:v>
                </c:pt>
                <c:pt idx="15">
                  <c:v>43019</c:v>
                </c:pt>
                <c:pt idx="16">
                  <c:v>43020</c:v>
                </c:pt>
                <c:pt idx="17">
                  <c:v>43021</c:v>
                </c:pt>
              </c:numCache>
            </c:numRef>
          </c:xVal>
          <c:yVal>
            <c:numRef>
              <c:f>STEVIA!$K$3:$K$22</c:f>
              <c:numCache>
                <c:formatCode>0.0</c:formatCode>
                <c:ptCount val="20"/>
                <c:pt idx="0">
                  <c:v>21.4</c:v>
                </c:pt>
                <c:pt idx="1">
                  <c:v>21.1</c:v>
                </c:pt>
                <c:pt idx="2">
                  <c:v>21.4</c:v>
                </c:pt>
                <c:pt idx="3">
                  <c:v>21.9</c:v>
                </c:pt>
                <c:pt idx="5">
                  <c:v>23</c:v>
                </c:pt>
                <c:pt idx="6">
                  <c:v>24.7</c:v>
                </c:pt>
                <c:pt idx="7">
                  <c:v>25.1</c:v>
                </c:pt>
                <c:pt idx="9">
                  <c:v>25.4</c:v>
                </c:pt>
                <c:pt idx="10">
                  <c:v>25.6</c:v>
                </c:pt>
                <c:pt idx="11">
                  <c:v>26.2</c:v>
                </c:pt>
                <c:pt idx="13">
                  <c:v>27.1</c:v>
                </c:pt>
                <c:pt idx="14">
                  <c:v>28.2</c:v>
                </c:pt>
                <c:pt idx="15">
                  <c:v>28.9</c:v>
                </c:pt>
                <c:pt idx="17">
                  <c:v>29.2</c:v>
                </c:pt>
                <c:pt idx="18">
                  <c:v>30</c:v>
                </c:pt>
                <c:pt idx="1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8C7-8C3C-8518FCF4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32295"/>
        <c:axId val="123960159"/>
      </c:scatterChart>
      <c:valAx>
        <c:axId val="18927322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3960159"/>
        <c:crosses val="autoZero"/>
        <c:crossBetween val="midCat"/>
      </c:valAx>
      <c:valAx>
        <c:axId val="123960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9273229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LF4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LF!$D$293:$D$309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LF!$K$293:$K$311</c:f>
              <c:numCache>
                <c:formatCode>0.0</c:formatCode>
                <c:ptCount val="19"/>
                <c:pt idx="0">
                  <c:v>18</c:v>
                </c:pt>
                <c:pt idx="1">
                  <c:v>18.2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18.600000000000001</c:v>
                </c:pt>
                <c:pt idx="5">
                  <c:v>18.2</c:v>
                </c:pt>
                <c:pt idx="6">
                  <c:v>18.5</c:v>
                </c:pt>
                <c:pt idx="7">
                  <c:v>18.5</c:v>
                </c:pt>
                <c:pt idx="8">
                  <c:v>18.899999999999999</c:v>
                </c:pt>
                <c:pt idx="9">
                  <c:v>18.600000000000001</c:v>
                </c:pt>
                <c:pt idx="10">
                  <c:v>18.899999999999999</c:v>
                </c:pt>
                <c:pt idx="12">
                  <c:v>18.7</c:v>
                </c:pt>
                <c:pt idx="13">
                  <c:v>19.600000000000001</c:v>
                </c:pt>
                <c:pt idx="14">
                  <c:v>19.600000000000001</c:v>
                </c:pt>
                <c:pt idx="16">
                  <c:v>17.7</c:v>
                </c:pt>
                <c:pt idx="17">
                  <c:v>20.2</c:v>
                </c:pt>
                <c:pt idx="18">
                  <c:v>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0-4417-A91D-7CE5BF62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2471"/>
        <c:axId val="649466722"/>
      </c:scatterChart>
      <c:valAx>
        <c:axId val="2855424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49466722"/>
        <c:crosses val="autoZero"/>
        <c:crossBetween val="midCat"/>
      </c:valAx>
      <c:valAx>
        <c:axId val="649466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8554247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STEV1: Stevia Consumption over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STEVIA!$F$3</c:f>
              <c:strCache>
                <c:ptCount val="1"/>
                <c:pt idx="0">
                  <c:v>4.8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STEVIA!$D$2:$D$20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STEVIA!$F$4:$F$21</c:f>
              <c:numCache>
                <c:formatCode>#,##0.0</c:formatCode>
                <c:ptCount val="18"/>
                <c:pt idx="0">
                  <c:v>6.0333333333333412</c:v>
                </c:pt>
                <c:pt idx="1">
                  <c:v>4.4499999999999886</c:v>
                </c:pt>
                <c:pt idx="2">
                  <c:v>7.8000000000000114</c:v>
                </c:pt>
                <c:pt idx="4">
                  <c:v>2.5</c:v>
                </c:pt>
                <c:pt idx="5">
                  <c:v>2.5333333333333408</c:v>
                </c:pt>
                <c:pt idx="6">
                  <c:v>7.3499999999999943</c:v>
                </c:pt>
                <c:pt idx="8">
                  <c:v>5.2999999999999829</c:v>
                </c:pt>
                <c:pt idx="9">
                  <c:v>4.5666666666666629</c:v>
                </c:pt>
                <c:pt idx="10">
                  <c:v>7.8000000000000114</c:v>
                </c:pt>
                <c:pt idx="12">
                  <c:v>6.1999999999999886</c:v>
                </c:pt>
                <c:pt idx="13">
                  <c:v>3.9333333333333371</c:v>
                </c:pt>
                <c:pt idx="14">
                  <c:v>5.3499999999999943</c:v>
                </c:pt>
                <c:pt idx="16">
                  <c:v>9</c:v>
                </c:pt>
                <c:pt idx="17">
                  <c:v>4.8666666666666556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3-4DCB-B8A2-C1C61846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26445"/>
        <c:axId val="1983360749"/>
      </c:scatterChart>
      <c:valAx>
        <c:axId val="3976264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3360749"/>
        <c:crosses val="autoZero"/>
        <c:crossBetween val="midCat"/>
      </c:valAx>
      <c:valAx>
        <c:axId val="1983360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Av. Liquid Consumed (g/day)</a:t>
                </a:r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76264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STEV2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STEVIA!$D$92:$D$110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STEVIA!$K$92:$K$112</c:f>
              <c:numCache>
                <c:formatCode>0.0</c:formatCode>
                <c:ptCount val="21"/>
                <c:pt idx="0">
                  <c:v>24</c:v>
                </c:pt>
                <c:pt idx="1">
                  <c:v>23.6</c:v>
                </c:pt>
                <c:pt idx="2">
                  <c:v>24</c:v>
                </c:pt>
                <c:pt idx="3">
                  <c:v>24.2</c:v>
                </c:pt>
                <c:pt idx="4">
                  <c:v>24.9</c:v>
                </c:pt>
                <c:pt idx="6">
                  <c:v>25.2</c:v>
                </c:pt>
                <c:pt idx="7">
                  <c:v>27.2</c:v>
                </c:pt>
                <c:pt idx="8">
                  <c:v>28</c:v>
                </c:pt>
                <c:pt idx="10">
                  <c:v>28.4</c:v>
                </c:pt>
                <c:pt idx="11">
                  <c:v>28.8</c:v>
                </c:pt>
                <c:pt idx="12">
                  <c:v>29.9</c:v>
                </c:pt>
                <c:pt idx="14">
                  <c:v>30.7</c:v>
                </c:pt>
                <c:pt idx="15">
                  <c:v>31.5</c:v>
                </c:pt>
                <c:pt idx="16">
                  <c:v>31.7</c:v>
                </c:pt>
                <c:pt idx="18">
                  <c:v>32.799999999999997</c:v>
                </c:pt>
                <c:pt idx="19">
                  <c:v>43.3</c:v>
                </c:pt>
                <c:pt idx="20">
                  <c:v>35.200000000000003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4-495E-A8C5-C2293920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504934"/>
        <c:axId val="1612151659"/>
      </c:scatterChart>
      <c:valAx>
        <c:axId val="887504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12151659"/>
        <c:crosses val="autoZero"/>
        <c:crossBetween val="midCat"/>
      </c:valAx>
      <c:valAx>
        <c:axId val="1612151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75049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STEV3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STEVIA!$D$196:$D$214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STEVIA!$K$196:$K$216</c:f>
              <c:numCache>
                <c:formatCode>0.0</c:formatCode>
                <c:ptCount val="21"/>
                <c:pt idx="0">
                  <c:v>23.5</c:v>
                </c:pt>
                <c:pt idx="1">
                  <c:v>23.7</c:v>
                </c:pt>
                <c:pt idx="2">
                  <c:v>23.8</c:v>
                </c:pt>
                <c:pt idx="3">
                  <c:v>23.8</c:v>
                </c:pt>
                <c:pt idx="4">
                  <c:v>24.5</c:v>
                </c:pt>
                <c:pt idx="6">
                  <c:v>25.1</c:v>
                </c:pt>
                <c:pt idx="7">
                  <c:v>26.2</c:v>
                </c:pt>
                <c:pt idx="8">
                  <c:v>27.3</c:v>
                </c:pt>
                <c:pt idx="10">
                  <c:v>26.6</c:v>
                </c:pt>
                <c:pt idx="11">
                  <c:v>27.6</c:v>
                </c:pt>
                <c:pt idx="12">
                  <c:v>28.3</c:v>
                </c:pt>
                <c:pt idx="14">
                  <c:v>29.1</c:v>
                </c:pt>
                <c:pt idx="15">
                  <c:v>29.9</c:v>
                </c:pt>
                <c:pt idx="16">
                  <c:v>29.6</c:v>
                </c:pt>
                <c:pt idx="18">
                  <c:v>30.3</c:v>
                </c:pt>
                <c:pt idx="19">
                  <c:v>31.9</c:v>
                </c:pt>
                <c:pt idx="20">
                  <c:v>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B-45F6-9AA5-01369160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85405"/>
        <c:axId val="443600540"/>
      </c:scatterChart>
      <c:valAx>
        <c:axId val="4653854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43600540"/>
        <c:crosses val="autoZero"/>
        <c:crossBetween val="midCat"/>
      </c:valAx>
      <c:valAx>
        <c:axId val="443600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653854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STEV4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STEVIA!$D$329:$D$347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STEVIA!$K$329:$K$349</c:f>
              <c:numCache>
                <c:formatCode>0.0</c:formatCode>
                <c:ptCount val="21"/>
                <c:pt idx="0">
                  <c:v>25.9</c:v>
                </c:pt>
                <c:pt idx="1">
                  <c:v>25.9</c:v>
                </c:pt>
                <c:pt idx="2">
                  <c:v>26.1</c:v>
                </c:pt>
                <c:pt idx="3">
                  <c:v>26.7</c:v>
                </c:pt>
                <c:pt idx="4">
                  <c:v>26.4</c:v>
                </c:pt>
                <c:pt idx="6">
                  <c:v>28.3</c:v>
                </c:pt>
                <c:pt idx="7">
                  <c:v>30</c:v>
                </c:pt>
                <c:pt idx="8">
                  <c:v>30.8</c:v>
                </c:pt>
                <c:pt idx="10">
                  <c:v>31.5</c:v>
                </c:pt>
                <c:pt idx="11">
                  <c:v>32.9</c:v>
                </c:pt>
                <c:pt idx="12">
                  <c:v>33.700000000000003</c:v>
                </c:pt>
                <c:pt idx="14">
                  <c:v>34.5</c:v>
                </c:pt>
                <c:pt idx="15">
                  <c:v>36.200000000000003</c:v>
                </c:pt>
                <c:pt idx="16">
                  <c:v>37.1</c:v>
                </c:pt>
                <c:pt idx="18">
                  <c:v>37.700000000000003</c:v>
                </c:pt>
                <c:pt idx="19">
                  <c:v>38.700000000000003</c:v>
                </c:pt>
                <c:pt idx="20">
                  <c:v>39.6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B-443F-B33A-1523974F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61832"/>
        <c:axId val="64855074"/>
      </c:scatterChart>
      <c:valAx>
        <c:axId val="340561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4855074"/>
        <c:crosses val="autoZero"/>
        <c:crossBetween val="midCat"/>
      </c:valAx>
      <c:valAx>
        <c:axId val="6485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405618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STEV5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STEVIA!$D$429:$D$447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STEVIA!$K$429:$K$449</c:f>
              <c:numCache>
                <c:formatCode>0.0</c:formatCode>
                <c:ptCount val="21"/>
                <c:pt idx="0">
                  <c:v>17.3</c:v>
                </c:pt>
                <c:pt idx="1">
                  <c:v>17</c:v>
                </c:pt>
                <c:pt idx="2">
                  <c:v>16.8</c:v>
                </c:pt>
                <c:pt idx="3">
                  <c:v>16.5</c:v>
                </c:pt>
                <c:pt idx="4">
                  <c:v>17.100000000000001</c:v>
                </c:pt>
                <c:pt idx="6">
                  <c:v>17</c:v>
                </c:pt>
                <c:pt idx="7">
                  <c:v>17.399999999999999</c:v>
                </c:pt>
                <c:pt idx="8">
                  <c:v>18.100000000000001</c:v>
                </c:pt>
                <c:pt idx="10">
                  <c:v>17.8</c:v>
                </c:pt>
                <c:pt idx="11">
                  <c:v>18.600000000000001</c:v>
                </c:pt>
                <c:pt idx="12">
                  <c:v>19.3</c:v>
                </c:pt>
                <c:pt idx="14">
                  <c:v>19.399999999999999</c:v>
                </c:pt>
                <c:pt idx="15">
                  <c:v>20.3</c:v>
                </c:pt>
                <c:pt idx="16">
                  <c:v>19.899999999999999</c:v>
                </c:pt>
                <c:pt idx="18">
                  <c:v>20.7</c:v>
                </c:pt>
                <c:pt idx="19">
                  <c:v>20.8</c:v>
                </c:pt>
                <c:pt idx="20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2-4C10-952C-B369F822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3815"/>
        <c:axId val="1309553357"/>
      </c:scatterChart>
      <c:valAx>
        <c:axId val="4481538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09553357"/>
        <c:crosses val="autoZero"/>
        <c:crossBetween val="midCat"/>
      </c:valAx>
      <c:valAx>
        <c:axId val="1309553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481538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STEV6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STEVIA!$D$538:$D$556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STEVIA!$K$538:$K$558</c:f>
              <c:numCache>
                <c:formatCode>0.0</c:formatCode>
                <c:ptCount val="21"/>
                <c:pt idx="0">
                  <c:v>18.5</c:v>
                </c:pt>
                <c:pt idx="1">
                  <c:v>18.3</c:v>
                </c:pt>
                <c:pt idx="2">
                  <c:v>18.2</c:v>
                </c:pt>
                <c:pt idx="3">
                  <c:v>18.100000000000001</c:v>
                </c:pt>
                <c:pt idx="4">
                  <c:v>18.100000000000001</c:v>
                </c:pt>
                <c:pt idx="6">
                  <c:v>18.399999999999999</c:v>
                </c:pt>
                <c:pt idx="7">
                  <c:v>19.8</c:v>
                </c:pt>
                <c:pt idx="8">
                  <c:v>20.399999999999999</c:v>
                </c:pt>
                <c:pt idx="10">
                  <c:v>20.5</c:v>
                </c:pt>
                <c:pt idx="11">
                  <c:v>21.2</c:v>
                </c:pt>
                <c:pt idx="12">
                  <c:v>22.3</c:v>
                </c:pt>
                <c:pt idx="14">
                  <c:v>22.5</c:v>
                </c:pt>
                <c:pt idx="15">
                  <c:v>23.3</c:v>
                </c:pt>
                <c:pt idx="16">
                  <c:v>24</c:v>
                </c:pt>
                <c:pt idx="18">
                  <c:v>23.8</c:v>
                </c:pt>
                <c:pt idx="19">
                  <c:v>25.4</c:v>
                </c:pt>
                <c:pt idx="20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7-406E-B772-BE972EB4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97091"/>
        <c:axId val="483923552"/>
      </c:scatterChart>
      <c:valAx>
        <c:axId val="20542970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83923552"/>
        <c:crosses val="autoZero"/>
        <c:crossBetween val="midCat"/>
      </c:valAx>
      <c:valAx>
        <c:axId val="483923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542970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STEV7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STEVIA!$D$652:$D$670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STEVIA!$K$652:$K$672</c:f>
              <c:numCache>
                <c:formatCode>0.0</c:formatCode>
                <c:ptCount val="21"/>
                <c:pt idx="0">
                  <c:v>25.4</c:v>
                </c:pt>
                <c:pt idx="1">
                  <c:v>24.4</c:v>
                </c:pt>
                <c:pt idx="2">
                  <c:v>24.9</c:v>
                </c:pt>
                <c:pt idx="3">
                  <c:v>25.4</c:v>
                </c:pt>
                <c:pt idx="4">
                  <c:v>25.7</c:v>
                </c:pt>
                <c:pt idx="6">
                  <c:v>26.2</c:v>
                </c:pt>
                <c:pt idx="7">
                  <c:v>27.5</c:v>
                </c:pt>
                <c:pt idx="8">
                  <c:v>28</c:v>
                </c:pt>
                <c:pt idx="10">
                  <c:v>28.6</c:v>
                </c:pt>
                <c:pt idx="11">
                  <c:v>29.3</c:v>
                </c:pt>
                <c:pt idx="12">
                  <c:v>29.5</c:v>
                </c:pt>
                <c:pt idx="14">
                  <c:v>30.9</c:v>
                </c:pt>
                <c:pt idx="15">
                  <c:v>32.700000000000003</c:v>
                </c:pt>
                <c:pt idx="16">
                  <c:v>32.299999999999997</c:v>
                </c:pt>
                <c:pt idx="18">
                  <c:v>33</c:v>
                </c:pt>
                <c:pt idx="19">
                  <c:v>33.700000000000003</c:v>
                </c:pt>
                <c:pt idx="20">
                  <c:v>33.700000000000003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7-4F6A-BCFE-2834130B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1085"/>
        <c:axId val="1240082009"/>
      </c:scatterChart>
      <c:valAx>
        <c:axId val="927310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40082009"/>
        <c:crosses val="autoZero"/>
        <c:crossBetween val="midCat"/>
      </c:valAx>
      <c:valAx>
        <c:axId val="124008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27310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STEV8 BW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9843967013888906E-2"/>
          <c:y val="6.6187050359712257E-2"/>
          <c:w val="0.89015603298611112"/>
          <c:h val="0.8352517985611510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STEVIA!$D$765:$D$783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STEVIA!$K$765:$K$783</c:f>
              <c:numCache>
                <c:formatCode>0.0</c:formatCode>
                <c:ptCount val="19"/>
                <c:pt idx="0">
                  <c:v>19.7</c:v>
                </c:pt>
                <c:pt idx="1">
                  <c:v>18.7</c:v>
                </c:pt>
                <c:pt idx="2">
                  <c:v>20.3</c:v>
                </c:pt>
                <c:pt idx="3">
                  <c:v>19.3</c:v>
                </c:pt>
                <c:pt idx="4">
                  <c:v>19.399999999999999</c:v>
                </c:pt>
                <c:pt idx="6">
                  <c:v>20.7</c:v>
                </c:pt>
                <c:pt idx="7">
                  <c:v>20</c:v>
                </c:pt>
                <c:pt idx="8">
                  <c:v>20.399999999999999</c:v>
                </c:pt>
                <c:pt idx="10">
                  <c:v>21</c:v>
                </c:pt>
                <c:pt idx="11">
                  <c:v>21.5</c:v>
                </c:pt>
                <c:pt idx="12">
                  <c:v>20.399999999999999</c:v>
                </c:pt>
                <c:pt idx="14">
                  <c:v>19.399999999999999</c:v>
                </c:pt>
                <c:pt idx="15">
                  <c:v>18.3</c:v>
                </c:pt>
                <c:pt idx="16">
                  <c:v>17.2</c:v>
                </c:pt>
                <c:pt idx="18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6-41BB-9E85-0DE5A085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02396"/>
        <c:axId val="1387581034"/>
      </c:scatterChart>
      <c:valAx>
        <c:axId val="1520102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7581034"/>
        <c:crosses val="autoZero"/>
        <c:crossBetween val="midCat"/>
      </c:valAx>
      <c:valAx>
        <c:axId val="1387581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01023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STEV10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STEVIA!$D$969:$D$987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STEVIA!$K$969:$K$989</c:f>
              <c:numCache>
                <c:formatCode>0.0</c:formatCode>
                <c:ptCount val="21"/>
                <c:pt idx="0">
                  <c:v>17</c:v>
                </c:pt>
                <c:pt idx="1">
                  <c:v>17.399999999999999</c:v>
                </c:pt>
                <c:pt idx="2">
                  <c:v>17.5</c:v>
                </c:pt>
                <c:pt idx="3">
                  <c:v>18.3</c:v>
                </c:pt>
                <c:pt idx="4">
                  <c:v>19.100000000000001</c:v>
                </c:pt>
                <c:pt idx="6">
                  <c:v>19</c:v>
                </c:pt>
                <c:pt idx="7">
                  <c:v>19.5</c:v>
                </c:pt>
                <c:pt idx="8">
                  <c:v>19.5</c:v>
                </c:pt>
                <c:pt idx="10">
                  <c:v>19.899999999999999</c:v>
                </c:pt>
                <c:pt idx="11">
                  <c:v>20.100000000000001</c:v>
                </c:pt>
                <c:pt idx="12">
                  <c:v>20.100000000000001</c:v>
                </c:pt>
                <c:pt idx="14">
                  <c:v>20.3</c:v>
                </c:pt>
                <c:pt idx="15">
                  <c:v>20.399999999999999</c:v>
                </c:pt>
                <c:pt idx="16">
                  <c:v>21.1</c:v>
                </c:pt>
                <c:pt idx="18">
                  <c:v>21.1</c:v>
                </c:pt>
                <c:pt idx="19">
                  <c:v>21.4</c:v>
                </c:pt>
                <c:pt idx="2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A-4B96-909E-A9236E07E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74112"/>
        <c:axId val="978586451"/>
      </c:scatterChart>
      <c:valAx>
        <c:axId val="3824741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78586451"/>
        <c:crosses val="autoZero"/>
        <c:crossBetween val="midCat"/>
      </c:valAx>
      <c:valAx>
        <c:axId val="978586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824741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STEV1 Average food consumption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STEVIA!$D$2:$D$20</c:f>
              <c:numCache>
                <c:formatCode>m/d/yy</c:formatCode>
                <c:ptCount val="19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42999</c:v>
                </c:pt>
                <c:pt idx="6">
                  <c:v>43000</c:v>
                </c:pt>
                <c:pt idx="7">
                  <c:v>43003</c:v>
                </c:pt>
                <c:pt idx="8">
                  <c:v>43005</c:v>
                </c:pt>
                <c:pt idx="9">
                  <c:v>43005</c:v>
                </c:pt>
                <c:pt idx="10">
                  <c:v>43007</c:v>
                </c:pt>
                <c:pt idx="11">
                  <c:v>43010</c:v>
                </c:pt>
                <c:pt idx="12">
                  <c:v>43012</c:v>
                </c:pt>
                <c:pt idx="13">
                  <c:v>43013</c:v>
                </c:pt>
                <c:pt idx="14">
                  <c:v>43014</c:v>
                </c:pt>
                <c:pt idx="15">
                  <c:v>43017</c:v>
                </c:pt>
                <c:pt idx="16">
                  <c:v>43019</c:v>
                </c:pt>
                <c:pt idx="17">
                  <c:v>43020</c:v>
                </c:pt>
                <c:pt idx="18">
                  <c:v>43021</c:v>
                </c:pt>
              </c:numCache>
            </c:numRef>
          </c:xVal>
          <c:yVal>
            <c:numRef>
              <c:f>STEVIA!$J$2:$J$20</c:f>
              <c:numCache>
                <c:formatCode>General</c:formatCode>
                <c:ptCount val="19"/>
                <c:pt idx="1">
                  <c:v>3.6000000000000085</c:v>
                </c:pt>
                <c:pt idx="4">
                  <c:v>3.5</c:v>
                </c:pt>
                <c:pt idx="6">
                  <c:v>4.4000000000000057</c:v>
                </c:pt>
                <c:pt idx="7">
                  <c:v>3.199999999999998</c:v>
                </c:pt>
                <c:pt idx="8">
                  <c:v>2.4500000000000028</c:v>
                </c:pt>
                <c:pt idx="10">
                  <c:v>2.5499999999999972</c:v>
                </c:pt>
                <c:pt idx="11" formatCode="0.00">
                  <c:v>2.3666666666666671</c:v>
                </c:pt>
                <c:pt idx="12">
                  <c:v>2.5500000000000007</c:v>
                </c:pt>
                <c:pt idx="14">
                  <c:v>5.9000000000000057</c:v>
                </c:pt>
                <c:pt idx="15">
                  <c:v>2.800000000000002</c:v>
                </c:pt>
                <c:pt idx="16">
                  <c:v>2.8499999999999979</c:v>
                </c:pt>
                <c:pt idx="18" formatCode="0.0">
                  <c:v>2.8000000000000007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2-4447-BC21-674D765E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34034"/>
        <c:axId val="1020509550"/>
      </c:scatterChart>
      <c:valAx>
        <c:axId val="6052340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20509550"/>
        <c:crosses val="autoZero"/>
        <c:crossBetween val="midCat"/>
      </c:valAx>
      <c:valAx>
        <c:axId val="1020509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 food per 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523403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LF5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LF!$D$355:$D$371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LF!$K$355:$K$373</c:f>
              <c:numCache>
                <c:formatCode>0.0</c:formatCode>
                <c:ptCount val="19"/>
                <c:pt idx="0">
                  <c:v>25.8</c:v>
                </c:pt>
                <c:pt idx="1">
                  <c:v>24.8</c:v>
                </c:pt>
                <c:pt idx="2">
                  <c:v>25.6</c:v>
                </c:pt>
                <c:pt idx="3">
                  <c:v>25.2</c:v>
                </c:pt>
                <c:pt idx="4">
                  <c:v>25.6</c:v>
                </c:pt>
                <c:pt idx="5">
                  <c:v>25.3</c:v>
                </c:pt>
                <c:pt idx="6">
                  <c:v>25.7</c:v>
                </c:pt>
                <c:pt idx="7">
                  <c:v>25.8</c:v>
                </c:pt>
                <c:pt idx="8">
                  <c:v>25.3</c:v>
                </c:pt>
                <c:pt idx="9">
                  <c:v>26</c:v>
                </c:pt>
                <c:pt idx="10">
                  <c:v>25.9</c:v>
                </c:pt>
                <c:pt idx="12">
                  <c:v>26.7</c:v>
                </c:pt>
                <c:pt idx="13">
                  <c:v>25.7</c:v>
                </c:pt>
                <c:pt idx="14">
                  <c:v>26.1</c:v>
                </c:pt>
                <c:pt idx="16">
                  <c:v>27</c:v>
                </c:pt>
                <c:pt idx="17">
                  <c:v>27.1</c:v>
                </c:pt>
                <c:pt idx="18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F-4709-83EA-68578C48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931107"/>
        <c:axId val="169045213"/>
      </c:scatterChart>
      <c:valAx>
        <c:axId val="1344931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9045213"/>
        <c:crosses val="autoZero"/>
        <c:crossBetween val="midCat"/>
      </c:valAx>
      <c:valAx>
        <c:axId val="169045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449311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Average Liquid Consumption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'Compiled graphs'!$C$2</c:f>
              <c:strCache>
                <c:ptCount val="1"/>
                <c:pt idx="0">
                  <c:v>SAAC</c:v>
                </c:pt>
              </c:strCache>
            </c:strRef>
          </c:tx>
          <c:spPr>
            <a:ln w="19050" cmpd="sng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'Compiled graphs'!$B$4:$B$15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'Compiled graphs'!$C$3:$C$15</c:f>
              <c:numCache>
                <c:formatCode>#,##0.0</c:formatCode>
                <c:ptCount val="13"/>
                <c:pt idx="0">
                  <c:v>5.7129629629629646</c:v>
                </c:pt>
                <c:pt idx="1">
                  <c:v>5.8888888888888893</c:v>
                </c:pt>
                <c:pt idx="2">
                  <c:v>5.9518518518518526</c:v>
                </c:pt>
                <c:pt idx="3">
                  <c:v>5.8884615384615406</c:v>
                </c:pt>
                <c:pt idx="4">
                  <c:v>4.7750000000000004</c:v>
                </c:pt>
                <c:pt idx="5">
                  <c:v>4.7673076923076909</c:v>
                </c:pt>
                <c:pt idx="6">
                  <c:v>4.8179487179487186</c:v>
                </c:pt>
                <c:pt idx="7">
                  <c:v>4.6716049382716047</c:v>
                </c:pt>
                <c:pt idx="8">
                  <c:v>5.9808641975308658</c:v>
                </c:pt>
                <c:pt idx="9">
                  <c:v>5.9790123456790134</c:v>
                </c:pt>
                <c:pt idx="10">
                  <c:v>6.3115384615384631</c:v>
                </c:pt>
                <c:pt idx="11">
                  <c:v>6.3726666666666691</c:v>
                </c:pt>
                <c:pt idx="12">
                  <c:v>5.5289855072463769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4-4B87-817E-8533BD5B1370}"/>
            </c:ext>
          </c:extLst>
        </c:ser>
        <c:ser>
          <c:idx val="1"/>
          <c:order val="1"/>
          <c:tx>
            <c:strRef>
              <c:f>'Compiled graphs'!$C$19</c:f>
              <c:strCache>
                <c:ptCount val="1"/>
                <c:pt idx="0">
                  <c:v>STEV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'Compiled graphs'!$B$4:$B$15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'Compiled graphs'!$C$20:$C$32</c:f>
              <c:numCache>
                <c:formatCode>#,##0.0</c:formatCode>
                <c:ptCount val="13"/>
                <c:pt idx="0">
                  <c:v>5.359166666666666</c:v>
                </c:pt>
                <c:pt idx="1">
                  <c:v>4.1528735632183915</c:v>
                </c:pt>
                <c:pt idx="2">
                  <c:v>6.3450000000000006</c:v>
                </c:pt>
                <c:pt idx="3">
                  <c:v>5.6796296296296314</c:v>
                </c:pt>
                <c:pt idx="4">
                  <c:v>6.3154320987654335</c:v>
                </c:pt>
                <c:pt idx="5">
                  <c:v>6.4012345679012332</c:v>
                </c:pt>
                <c:pt idx="6" formatCode="0.0">
                  <c:v>5.9506172839506162</c:v>
                </c:pt>
                <c:pt idx="7">
                  <c:v>5.0253086419753101</c:v>
                </c:pt>
                <c:pt idx="8">
                  <c:v>6.1845679012345727</c:v>
                </c:pt>
                <c:pt idx="9">
                  <c:v>6.7185185185185192</c:v>
                </c:pt>
                <c:pt idx="10">
                  <c:v>5.7837962962962948</c:v>
                </c:pt>
                <c:pt idx="11">
                  <c:v>5.5253086419753075</c:v>
                </c:pt>
                <c:pt idx="12">
                  <c:v>4.7913580246913581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4-4B87-817E-8533BD5B1370}"/>
            </c:ext>
          </c:extLst>
        </c:ser>
        <c:ser>
          <c:idx val="2"/>
          <c:order val="2"/>
          <c:tx>
            <c:strRef>
              <c:f>'Compiled graphs'!$C$36</c:f>
              <c:strCache>
                <c:ptCount val="1"/>
                <c:pt idx="0">
                  <c:v>LF</c:v>
                </c:pt>
              </c:strCache>
            </c:strRef>
          </c:tx>
          <c:spPr>
            <a:ln w="1905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'Compiled graphs'!$B$4:$B$15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'Compiled graphs'!$C$37:$C$49</c:f>
              <c:numCache>
                <c:formatCode>#,##0.0</c:formatCode>
                <c:ptCount val="13"/>
                <c:pt idx="0">
                  <c:v>6.8087500000000052</c:v>
                </c:pt>
                <c:pt idx="1">
                  <c:v>6.3866666666666658</c:v>
                </c:pt>
                <c:pt idx="2">
                  <c:v>7.3291666666666684</c:v>
                </c:pt>
                <c:pt idx="3">
                  <c:v>7.0038888888888886</c:v>
                </c:pt>
                <c:pt idx="4">
                  <c:v>7.3017241379310338</c:v>
                </c:pt>
                <c:pt idx="5">
                  <c:v>7.7444444444444436</c:v>
                </c:pt>
                <c:pt idx="6">
                  <c:v>6.7022222222222245</c:v>
                </c:pt>
                <c:pt idx="7">
                  <c:v>6.5238888888888855</c:v>
                </c:pt>
                <c:pt idx="8">
                  <c:v>7.1555555555555603</c:v>
                </c:pt>
                <c:pt idx="9">
                  <c:v>7.688333333333337</c:v>
                </c:pt>
                <c:pt idx="10">
                  <c:v>5.5346153846153827</c:v>
                </c:pt>
                <c:pt idx="11">
                  <c:v>6.9633333333333303</c:v>
                </c:pt>
                <c:pt idx="12">
                  <c:v>6.2327777777777804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4-4B87-817E-8533BD5B1370}"/>
            </c:ext>
          </c:extLst>
        </c:ser>
        <c:ser>
          <c:idx val="3"/>
          <c:order val="3"/>
          <c:tx>
            <c:strRef>
              <c:f>'Compiled graphs'!$C$53</c:f>
              <c:strCache>
                <c:ptCount val="1"/>
                <c:pt idx="0">
                  <c:v>HF</c:v>
                </c:pt>
              </c:strCache>
            </c:strRef>
          </c:tx>
          <c:spPr>
            <a:ln w="19050" cmpd="sng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'Compiled graphs'!$B$4:$B$15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'Compiled graphs'!$C$54:$C$66</c:f>
              <c:numCache>
                <c:formatCode>#,##0.0</c:formatCode>
                <c:ptCount val="13"/>
                <c:pt idx="0">
                  <c:v>6.6316666666666659</c:v>
                </c:pt>
                <c:pt idx="1">
                  <c:v>4.5517241379310356</c:v>
                </c:pt>
                <c:pt idx="2">
                  <c:v>5.8738888888888878</c:v>
                </c:pt>
                <c:pt idx="3">
                  <c:v>5.943678160919541</c:v>
                </c:pt>
                <c:pt idx="4">
                  <c:v>5.9794444444444412</c:v>
                </c:pt>
                <c:pt idx="5">
                  <c:v>6.4422222222222238</c:v>
                </c:pt>
                <c:pt idx="6">
                  <c:v>5.1377777777777824</c:v>
                </c:pt>
                <c:pt idx="7">
                  <c:v>4.9716666666666631</c:v>
                </c:pt>
                <c:pt idx="8">
                  <c:v>6.0644444444444447</c:v>
                </c:pt>
                <c:pt idx="9">
                  <c:v>6.8733333333333331</c:v>
                </c:pt>
                <c:pt idx="10">
                  <c:v>4.6962500000000009</c:v>
                </c:pt>
                <c:pt idx="11">
                  <c:v>5.6916666666666647</c:v>
                </c:pt>
                <c:pt idx="12">
                  <c:v>5.4195402298850581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4-4B87-817E-8533BD5B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762727"/>
        <c:axId val="242823883"/>
      </c:lineChart>
      <c:catAx>
        <c:axId val="393762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42823883"/>
        <c:crosses val="autoZero"/>
        <c:auto val="1"/>
        <c:lblAlgn val="ctr"/>
        <c:lblOffset val="100"/>
        <c:noMultiLvlLbl val="1"/>
      </c:catAx>
      <c:valAx>
        <c:axId val="242823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Liquid Consumption (mL)</a:t>
                </a:r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376272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Average food consumption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'Compiled graphs'!$D$2</c:f>
              <c:strCache>
                <c:ptCount val="1"/>
                <c:pt idx="0">
                  <c:v>SAAC</c:v>
                </c:pt>
              </c:strCache>
            </c:strRef>
          </c:tx>
          <c:spPr>
            <a:ln w="19050" cmpd="sng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'Compiled graphs'!$B$4:$B$14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'Compiled graphs'!$D$3:$D$15</c:f>
              <c:numCache>
                <c:formatCode>0.00</c:formatCode>
                <c:ptCount val="13"/>
                <c:pt idx="0">
                  <c:v>4.551550387596901</c:v>
                </c:pt>
                <c:pt idx="1">
                  <c:v>3.8111111111111104</c:v>
                </c:pt>
                <c:pt idx="2">
                  <c:v>2.697222222222222</c:v>
                </c:pt>
                <c:pt idx="3">
                  <c:v>4.8070238095238107</c:v>
                </c:pt>
                <c:pt idx="4">
                  <c:v>3.5684848484848497</c:v>
                </c:pt>
                <c:pt idx="5">
                  <c:v>3.3038461538461545</c:v>
                </c:pt>
                <c:pt idx="6">
                  <c:v>3.5494252873563221</c:v>
                </c:pt>
                <c:pt idx="7">
                  <c:v>4.2649425287356326</c:v>
                </c:pt>
                <c:pt idx="8">
                  <c:v>3.265333333333333</c:v>
                </c:pt>
                <c:pt idx="9">
                  <c:v>3.7824074074074079</c:v>
                </c:pt>
                <c:pt idx="10">
                  <c:v>5.7513888888888909</c:v>
                </c:pt>
                <c:pt idx="11">
                  <c:v>3.5339506172839501</c:v>
                </c:pt>
                <c:pt idx="12">
                  <c:v>3.631333333333334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5-4F07-B825-378333C3B3AC}"/>
            </c:ext>
          </c:extLst>
        </c:ser>
        <c:ser>
          <c:idx val="1"/>
          <c:order val="1"/>
          <c:tx>
            <c:strRef>
              <c:f>'Compiled graphs'!$D$19</c:f>
              <c:strCache>
                <c:ptCount val="1"/>
                <c:pt idx="0">
                  <c:v>STEV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'Compiled graphs'!$B$4:$B$14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'Compiled graphs'!$D$20:$D$32</c:f>
              <c:numCache>
                <c:formatCode>0.00</c:formatCode>
                <c:ptCount val="13"/>
                <c:pt idx="0">
                  <c:v>3.7317073170731714</c:v>
                </c:pt>
                <c:pt idx="1">
                  <c:v>3.0838888888888887</c:v>
                </c:pt>
                <c:pt idx="2">
                  <c:v>2.7544444444444434</c:v>
                </c:pt>
                <c:pt idx="3">
                  <c:v>2.8632183908045992</c:v>
                </c:pt>
                <c:pt idx="4">
                  <c:v>3.869533333333333</c:v>
                </c:pt>
                <c:pt idx="5">
                  <c:v>2.9080246913580248</c:v>
                </c:pt>
                <c:pt idx="6">
                  <c:v>3.0364197530864194</c:v>
                </c:pt>
                <c:pt idx="7" formatCode="0.0">
                  <c:v>2.9549382716049375</c:v>
                </c:pt>
                <c:pt idx="8" formatCode="0.0">
                  <c:v>2.9697530864197539</c:v>
                </c:pt>
                <c:pt idx="9" formatCode="0.0">
                  <c:v>3.1833333333333336</c:v>
                </c:pt>
                <c:pt idx="10">
                  <c:v>3.7736111111111117</c:v>
                </c:pt>
                <c:pt idx="11">
                  <c:v>2.9549382716049393</c:v>
                </c:pt>
                <c:pt idx="12" formatCode="General">
                  <c:v>2.8200000000000007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5-4F07-B825-378333C3B3AC}"/>
            </c:ext>
          </c:extLst>
        </c:ser>
        <c:ser>
          <c:idx val="2"/>
          <c:order val="2"/>
          <c:tx>
            <c:strRef>
              <c:f>'Compiled graphs'!$D$36</c:f>
              <c:strCache>
                <c:ptCount val="1"/>
                <c:pt idx="0">
                  <c:v>LF</c:v>
                </c:pt>
              </c:strCache>
            </c:strRef>
          </c:tx>
          <c:spPr>
            <a:ln w="1905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'Compiled graphs'!$B$4:$B$14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'Compiled graphs'!$D$37:$D$49</c:f>
              <c:numCache>
                <c:formatCode>0.00</c:formatCode>
                <c:ptCount val="13"/>
                <c:pt idx="0">
                  <c:v>3.8749999999999991</c:v>
                </c:pt>
                <c:pt idx="1">
                  <c:v>4.3894444444444449</c:v>
                </c:pt>
                <c:pt idx="2">
                  <c:v>3.6959770114942527</c:v>
                </c:pt>
                <c:pt idx="3">
                  <c:v>5.7796111111111115</c:v>
                </c:pt>
                <c:pt idx="4">
                  <c:v>4.4539999999999997</c:v>
                </c:pt>
                <c:pt idx="5">
                  <c:v>4.0777777777777784</c:v>
                </c:pt>
                <c:pt idx="6">
                  <c:v>3.7433333333333336</c:v>
                </c:pt>
                <c:pt idx="7">
                  <c:v>3.7738888888888886</c:v>
                </c:pt>
                <c:pt idx="8">
                  <c:v>3.5370370370370372</c:v>
                </c:pt>
                <c:pt idx="9">
                  <c:v>3.456666666666667</c:v>
                </c:pt>
                <c:pt idx="10">
                  <c:v>4.3787499999999993</c:v>
                </c:pt>
                <c:pt idx="11">
                  <c:v>3.5133333333333336</c:v>
                </c:pt>
                <c:pt idx="12">
                  <c:v>4.0185185185185182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5-4F07-B825-378333C3B3AC}"/>
            </c:ext>
          </c:extLst>
        </c:ser>
        <c:ser>
          <c:idx val="3"/>
          <c:order val="3"/>
          <c:tx>
            <c:strRef>
              <c:f>'Compiled graphs'!$D$53</c:f>
              <c:strCache>
                <c:ptCount val="1"/>
                <c:pt idx="0">
                  <c:v>HF</c:v>
                </c:pt>
              </c:strCache>
            </c:strRef>
          </c:tx>
          <c:spPr>
            <a:ln w="19050" cmpd="sng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'Compiled graphs'!$B$4:$B$14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'Compiled graphs'!$D$54:$D$66</c:f>
              <c:numCache>
                <c:formatCode>0.00</c:formatCode>
                <c:ptCount val="13"/>
                <c:pt idx="0">
                  <c:v>4.5771317829457381</c:v>
                </c:pt>
                <c:pt idx="1">
                  <c:v>3.4944444444444445</c:v>
                </c:pt>
                <c:pt idx="2">
                  <c:v>2.7367816091954014</c:v>
                </c:pt>
                <c:pt idx="3">
                  <c:v>3.4003703703703709</c:v>
                </c:pt>
                <c:pt idx="4">
                  <c:v>4.2735119047619055</c:v>
                </c:pt>
                <c:pt idx="5">
                  <c:v>3.278333333333332</c:v>
                </c:pt>
                <c:pt idx="6">
                  <c:v>3.5300000000000002</c:v>
                </c:pt>
                <c:pt idx="7">
                  <c:v>3.1077777777777786</c:v>
                </c:pt>
                <c:pt idx="8">
                  <c:v>3.3277777777777779</c:v>
                </c:pt>
                <c:pt idx="9">
                  <c:v>2.9208333333333329</c:v>
                </c:pt>
                <c:pt idx="10">
                  <c:v>4.0846250000000008</c:v>
                </c:pt>
                <c:pt idx="11">
                  <c:v>3.0849444444444449</c:v>
                </c:pt>
                <c:pt idx="12">
                  <c:v>2.9464285714285721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5-4F07-B825-378333C3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58802"/>
        <c:axId val="303064275"/>
      </c:lineChart>
      <c:catAx>
        <c:axId val="1807758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03064275"/>
        <c:crosses val="autoZero"/>
        <c:auto val="1"/>
        <c:lblAlgn val="ctr"/>
        <c:lblOffset val="100"/>
        <c:noMultiLvlLbl val="1"/>
      </c:catAx>
      <c:valAx>
        <c:axId val="303064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Food consumed (g)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75880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Average BW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'Compiled graphs'!$E$2</c:f>
              <c:strCache>
                <c:ptCount val="1"/>
                <c:pt idx="0">
                  <c:v>SAAC</c:v>
                </c:pt>
              </c:strCache>
            </c:strRef>
          </c:tx>
          <c:spPr>
            <a:ln w="19050" cmpd="sng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'Compiled graphs'!$B$4:$B$14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'Compiled graphs'!$E$3:$E$15</c:f>
              <c:numCache>
                <c:formatCode>0.0</c:formatCode>
                <c:ptCount val="13"/>
                <c:pt idx="0">
                  <c:v>21.31600000000001</c:v>
                </c:pt>
                <c:pt idx="1">
                  <c:v>23.189999999999994</c:v>
                </c:pt>
                <c:pt idx="2">
                  <c:v>24.81</c:v>
                </c:pt>
                <c:pt idx="3">
                  <c:v>26.646666666666665</c:v>
                </c:pt>
                <c:pt idx="4">
                  <c:v>28.616666666666664</c:v>
                </c:pt>
                <c:pt idx="5">
                  <c:v>30.028571428571421</c:v>
                </c:pt>
                <c:pt idx="6">
                  <c:v>31.566666666666659</c:v>
                </c:pt>
                <c:pt idx="7">
                  <c:v>33.86666666666666</c:v>
                </c:pt>
                <c:pt idx="8">
                  <c:v>37.027272727272724</c:v>
                </c:pt>
                <c:pt idx="9">
                  <c:v>37.540000000000006</c:v>
                </c:pt>
                <c:pt idx="10">
                  <c:v>40.480000000000004</c:v>
                </c:pt>
                <c:pt idx="11">
                  <c:v>41.65</c:v>
                </c:pt>
                <c:pt idx="12">
                  <c:v>43.396666666666668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9-40B2-B613-793FD7460289}"/>
            </c:ext>
          </c:extLst>
        </c:ser>
        <c:ser>
          <c:idx val="1"/>
          <c:order val="1"/>
          <c:tx>
            <c:strRef>
              <c:f>'Compiled graphs'!$E$19</c:f>
              <c:strCache>
                <c:ptCount val="1"/>
                <c:pt idx="0">
                  <c:v>STEV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'Compiled graphs'!$B$4:$B$14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'Compiled graphs'!$E$20:$E$32</c:f>
              <c:numCache>
                <c:formatCode>0.0</c:formatCode>
                <c:ptCount val="13"/>
                <c:pt idx="0">
                  <c:v>21.273999999999997</c:v>
                </c:pt>
                <c:pt idx="1">
                  <c:v>23.27</c:v>
                </c:pt>
                <c:pt idx="2">
                  <c:v>24.936666666666664</c:v>
                </c:pt>
                <c:pt idx="3">
                  <c:v>26.483333333333331</c:v>
                </c:pt>
                <c:pt idx="4">
                  <c:v>28.536666666666669</c:v>
                </c:pt>
                <c:pt idx="5">
                  <c:v>31.43333333333333</c:v>
                </c:pt>
                <c:pt idx="6">
                  <c:v>33.244444444444447</c:v>
                </c:pt>
                <c:pt idx="7">
                  <c:v>35.470370370370368</c:v>
                </c:pt>
                <c:pt idx="8">
                  <c:v>37.851851851851855</c:v>
                </c:pt>
                <c:pt idx="9">
                  <c:v>38.93333333333333</c:v>
                </c:pt>
                <c:pt idx="10">
                  <c:v>42.322222222222216</c:v>
                </c:pt>
                <c:pt idx="11" formatCode="General">
                  <c:v>44.199999999999996</c:v>
                </c:pt>
                <c:pt idx="12">
                  <c:v>44.733333333333341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9-40B2-B613-793FD7460289}"/>
            </c:ext>
          </c:extLst>
        </c:ser>
        <c:ser>
          <c:idx val="2"/>
          <c:order val="2"/>
          <c:tx>
            <c:strRef>
              <c:f>'Compiled graphs'!$E$36</c:f>
              <c:strCache>
                <c:ptCount val="1"/>
                <c:pt idx="0">
                  <c:v>LF</c:v>
                </c:pt>
              </c:strCache>
            </c:strRef>
          </c:tx>
          <c:spPr>
            <a:ln w="1905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'Compiled graphs'!$B$4:$B$14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'Compiled graphs'!$E$37:$E$49</c:f>
              <c:numCache>
                <c:formatCode>0.0</c:formatCode>
                <c:ptCount val="13"/>
                <c:pt idx="0">
                  <c:v>21.830232558139535</c:v>
                </c:pt>
                <c:pt idx="1">
                  <c:v>22.222500000000004</c:v>
                </c:pt>
                <c:pt idx="2">
                  <c:v>21.057222222222222</c:v>
                </c:pt>
                <c:pt idx="3">
                  <c:v>23.40333333333334</c:v>
                </c:pt>
                <c:pt idx="4">
                  <c:v>23.979999999999993</c:v>
                </c:pt>
                <c:pt idx="5">
                  <c:v>23.869999999999997</c:v>
                </c:pt>
                <c:pt idx="6">
                  <c:v>24.13333333333334</c:v>
                </c:pt>
                <c:pt idx="7">
                  <c:v>24.553333333333335</c:v>
                </c:pt>
                <c:pt idx="8">
                  <c:v>24.826666666666664</c:v>
                </c:pt>
                <c:pt idx="9">
                  <c:v>25.125000000000004</c:v>
                </c:pt>
                <c:pt idx="10">
                  <c:v>25.410000000000004</c:v>
                </c:pt>
                <c:pt idx="11">
                  <c:v>25.53</c:v>
                </c:pt>
                <c:pt idx="12">
                  <c:v>25.473333333333336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9-40B2-B613-793FD7460289}"/>
            </c:ext>
          </c:extLst>
        </c:ser>
        <c:ser>
          <c:idx val="3"/>
          <c:order val="3"/>
          <c:tx>
            <c:strRef>
              <c:f>'Compiled graphs'!$E$53</c:f>
              <c:strCache>
                <c:ptCount val="1"/>
                <c:pt idx="0">
                  <c:v>HF</c:v>
                </c:pt>
              </c:strCache>
            </c:strRef>
          </c:tx>
          <c:spPr>
            <a:ln w="19050" cmpd="sng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'Compiled graphs'!$B$4:$B$14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'Compiled graphs'!$E$54:$E$66</c:f>
              <c:numCache>
                <c:formatCode>0.0</c:formatCode>
                <c:ptCount val="13"/>
                <c:pt idx="0">
                  <c:v>21.45</c:v>
                </c:pt>
                <c:pt idx="1">
                  <c:v>23.673333333333332</c:v>
                </c:pt>
                <c:pt idx="2">
                  <c:v>25.060000000000002</c:v>
                </c:pt>
                <c:pt idx="3">
                  <c:v>26.956666666666671</c:v>
                </c:pt>
                <c:pt idx="4">
                  <c:v>28.933333333333337</c:v>
                </c:pt>
                <c:pt idx="5">
                  <c:v>30.889999999999997</c:v>
                </c:pt>
                <c:pt idx="6">
                  <c:v>32.549999999999997</c:v>
                </c:pt>
                <c:pt idx="7">
                  <c:v>34.956666666666663</c:v>
                </c:pt>
                <c:pt idx="8">
                  <c:v>36.99</c:v>
                </c:pt>
                <c:pt idx="9">
                  <c:v>37.880000000000003</c:v>
                </c:pt>
                <c:pt idx="10">
                  <c:v>41.07</c:v>
                </c:pt>
                <c:pt idx="11">
                  <c:v>42.289999999999992</c:v>
                </c:pt>
                <c:pt idx="12">
                  <c:v>43.469999999999992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9-40B2-B613-793FD74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409717"/>
        <c:axId val="1564362885"/>
      </c:lineChart>
      <c:catAx>
        <c:axId val="910409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64362885"/>
        <c:crosses val="autoZero"/>
        <c:auto val="1"/>
        <c:lblAlgn val="ctr"/>
        <c:lblOffset val="100"/>
        <c:noMultiLvlLbl val="1"/>
      </c:catAx>
      <c:valAx>
        <c:axId val="156436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1040971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Total Liquid Consumption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FF00"/>
            </a:solidFill>
          </c:spPr>
          <c:invertIfNegative val="1"/>
          <c:cat>
            <c:numRef>
              <c:f>LF!$Q$36</c:f>
              <c:numCache>
                <c:formatCode>General</c:formatCode>
                <c:ptCount val="1"/>
              </c:numCache>
            </c:numRef>
          </c:cat>
          <c:val>
            <c:numRef>
              <c:f>LF!$Q$3</c:f>
              <c:numCache>
                <c:formatCode>General</c:formatCode>
                <c:ptCount val="1"/>
                <c:pt idx="0">
                  <c:v>1420.2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D-45BC-ADA8-22FD91DC50BC}"/>
            </c:ext>
          </c:extLst>
        </c:ser>
        <c:ser>
          <c:idx val="1"/>
          <c:order val="1"/>
          <c:spPr>
            <a:solidFill>
              <a:srgbClr val="00FFFF"/>
            </a:solidFill>
          </c:spPr>
          <c:invertIfNegative val="1"/>
          <c:cat>
            <c:numRef>
              <c:f>LF!$Q$36</c:f>
              <c:numCache>
                <c:formatCode>General</c:formatCode>
                <c:ptCount val="1"/>
              </c:numCache>
            </c:numRef>
          </c:cat>
          <c:val>
            <c:numRef>
              <c:f>HF!$Q$3</c:f>
              <c:numCache>
                <c:formatCode>General</c:formatCode>
                <c:ptCount val="1"/>
                <c:pt idx="0">
                  <c:v>1357.5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D-45BC-ADA8-22FD91DC50BC}"/>
            </c:ext>
          </c:extLst>
        </c:ser>
        <c:ser>
          <c:idx val="2"/>
          <c:order val="2"/>
          <c:spPr>
            <a:solidFill>
              <a:srgbClr val="FF00FF"/>
            </a:solidFill>
          </c:spPr>
          <c:invertIfNegative val="1"/>
          <c:cat>
            <c:numRef>
              <c:f>LF!$Q$36</c:f>
              <c:numCache>
                <c:formatCode>General</c:formatCode>
                <c:ptCount val="1"/>
              </c:numCache>
            </c:numRef>
          </c:cat>
          <c:val>
            <c:numRef>
              <c:f>SAAC!$Q$3</c:f>
              <c:numCache>
                <c:formatCode>General</c:formatCode>
                <c:ptCount val="1"/>
                <c:pt idx="0">
                  <c:v>1107.8999999999996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CBD-45BC-ADA8-22FD91DC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977342"/>
        <c:axId val="143817786"/>
      </c:barChart>
      <c:barChart>
        <c:barDir val="col"/>
        <c:grouping val="clustered"/>
        <c:varyColors val="1"/>
        <c:ser>
          <c:idx val="3"/>
          <c:order val="3"/>
          <c:spPr>
            <a:solidFill>
              <a:srgbClr val="FF9900"/>
            </a:solidFill>
          </c:spPr>
          <c:invertIfNegative val="1"/>
          <c:cat>
            <c:numRef>
              <c:f>LF!$Q$36</c:f>
              <c:numCache>
                <c:formatCode>General</c:formatCode>
                <c:ptCount val="1"/>
              </c:numCache>
            </c:numRef>
          </c:cat>
          <c:val>
            <c:numRef>
              <c:f>STEVIA!$S$3</c:f>
              <c:numCache>
                <c:formatCode>General</c:formatCode>
                <c:ptCount val="1"/>
                <c:pt idx="0">
                  <c:v>1527.6999999999998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CBD-45BC-ADA8-22FD91DC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345493"/>
        <c:axId val="1046458857"/>
      </c:barChart>
      <c:catAx>
        <c:axId val="518977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Treatment group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3817786"/>
        <c:crosses val="autoZero"/>
        <c:auto val="1"/>
        <c:lblAlgn val="ctr"/>
        <c:lblOffset val="100"/>
        <c:noMultiLvlLbl val="1"/>
      </c:catAx>
      <c:valAx>
        <c:axId val="143817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mL NAS solution consumed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18977342"/>
        <c:crosses val="autoZero"/>
        <c:crossBetween val="between"/>
      </c:valAx>
      <c:catAx>
        <c:axId val="141434549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46458857"/>
        <c:crosses val="autoZero"/>
        <c:auto val="1"/>
        <c:lblAlgn val="ctr"/>
        <c:lblOffset val="100"/>
        <c:noMultiLvlLbl val="1"/>
      </c:catAx>
      <c:valAx>
        <c:axId val="104645885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4345493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Total Liquid Consumption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FF00"/>
            </a:solidFill>
          </c:spPr>
          <c:invertIfNegative val="1"/>
          <c:val>
            <c:numRef>
              <c:f>'Compiled graphs'!$O$43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A21-4DF1-B8E1-0EC5A28B3080}"/>
            </c:ext>
          </c:extLst>
        </c:ser>
        <c:ser>
          <c:idx val="1"/>
          <c:order val="1"/>
          <c:spPr>
            <a:solidFill>
              <a:srgbClr val="00FFFF"/>
            </a:solidFill>
          </c:spPr>
          <c:invertIfNegative val="1"/>
          <c:val>
            <c:numRef>
              <c:f>LF!$R$3</c:f>
              <c:numCache>
                <c:formatCode>General</c:formatCode>
                <c:ptCount val="1"/>
                <c:pt idx="0">
                  <c:v>2531.6499999999996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A21-4DF1-B8E1-0EC5A28B3080}"/>
            </c:ext>
          </c:extLst>
        </c:ser>
        <c:ser>
          <c:idx val="2"/>
          <c:order val="2"/>
          <c:spPr>
            <a:solidFill>
              <a:srgbClr val="FF00FF"/>
            </a:solidFill>
          </c:spPr>
          <c:invertIfNegative val="1"/>
          <c:val>
            <c:numRef>
              <c:f>HF!$R$3</c:f>
              <c:numCache>
                <c:formatCode>General</c:formatCode>
                <c:ptCount val="1"/>
                <c:pt idx="0">
                  <c:v>1311.6999999999998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A21-4DF1-B8E1-0EC5A28B3080}"/>
            </c:ext>
          </c:extLst>
        </c:ser>
        <c:ser>
          <c:idx val="3"/>
          <c:order val="3"/>
          <c:spPr>
            <a:solidFill>
              <a:srgbClr val="FF9900"/>
            </a:solidFill>
          </c:spPr>
          <c:invertIfNegative val="1"/>
          <c:val>
            <c:numRef>
              <c:f>SAAC!$R$3</c:f>
              <c:numCache>
                <c:formatCode>General</c:formatCode>
                <c:ptCount val="1"/>
                <c:pt idx="0">
                  <c:v>1528.1000000000001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A21-4DF1-B8E1-0EC5A28B3080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val>
            <c:numRef>
              <c:f>STEVIA!$R$3</c:f>
              <c:numCache>
                <c:formatCode>General</c:formatCode>
                <c:ptCount val="1"/>
                <c:pt idx="0">
                  <c:v>1310.1999999999998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A21-4DF1-B8E1-0EC5A28B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25830"/>
        <c:axId val="1073990591"/>
      </c:barChart>
      <c:catAx>
        <c:axId val="37425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Treatment group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73990591"/>
        <c:crosses val="autoZero"/>
        <c:auto val="1"/>
        <c:lblAlgn val="ctr"/>
        <c:lblOffset val="100"/>
        <c:noMultiLvlLbl val="1"/>
      </c:catAx>
      <c:valAx>
        <c:axId val="107399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mL solution consumed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742583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SAAC1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GTT_initial!$B$1:$B$3</c:f>
              <c:strCache>
                <c:ptCount val="3"/>
                <c:pt idx="0">
                  <c:v>Blood glucose (mg/dL) at time 0mins</c:v>
                </c:pt>
                <c:pt idx="1">
                  <c:v>SAAC1</c:v>
                </c:pt>
                <c:pt idx="2">
                  <c:v>152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GTT_initial!$B$4:$B$8</c:f>
              <c:numCache>
                <c:formatCode>General</c:formatCode>
                <c:ptCount val="5"/>
                <c:pt idx="0">
                  <c:v>323</c:v>
                </c:pt>
                <c:pt idx="1">
                  <c:v>280</c:v>
                </c:pt>
                <c:pt idx="2">
                  <c:v>238</c:v>
                </c:pt>
                <c:pt idx="3">
                  <c:v>179</c:v>
                </c:pt>
                <c:pt idx="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5-4DAE-A0EC-82F386AB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091543"/>
        <c:axId val="1818535744"/>
      </c:lineChart>
      <c:catAx>
        <c:axId val="1492091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18535744"/>
        <c:crosses val="autoZero"/>
        <c:auto val="1"/>
        <c:lblAlgn val="ctr"/>
        <c:lblOffset val="100"/>
        <c:noMultiLvlLbl val="1"/>
      </c:catAx>
      <c:valAx>
        <c:axId val="181853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920915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SAAC9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GTT_initial!$A$18:$A$24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AUC</c:v>
                </c:pt>
              </c:strCache>
            </c:strRef>
          </c:cat>
          <c:val>
            <c:numRef>
              <c:f>GTT_initial!$B$18:$B$24</c:f>
              <c:numCache>
                <c:formatCode>General</c:formatCode>
                <c:ptCount val="7"/>
                <c:pt idx="0">
                  <c:v>119</c:v>
                </c:pt>
                <c:pt idx="1">
                  <c:v>248</c:v>
                </c:pt>
                <c:pt idx="2">
                  <c:v>208</c:v>
                </c:pt>
                <c:pt idx="3">
                  <c:v>186</c:v>
                </c:pt>
                <c:pt idx="4">
                  <c:v>127</c:v>
                </c:pt>
                <c:pt idx="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3-45F5-A510-36AA5D2D8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570455"/>
        <c:axId val="734347938"/>
      </c:lineChart>
      <c:catAx>
        <c:axId val="1273570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34347938"/>
        <c:crosses val="autoZero"/>
        <c:auto val="1"/>
        <c:lblAlgn val="ctr"/>
        <c:lblOffset val="100"/>
        <c:noMultiLvlLbl val="1"/>
      </c:catAx>
      <c:valAx>
        <c:axId val="734347938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7357045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HF5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GTT_initial!$A$37:$A$43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AUC</c:v>
                </c:pt>
              </c:strCache>
            </c:strRef>
          </c:cat>
          <c:val>
            <c:numRef>
              <c:f>GTT_initial!$B$37:$B$43</c:f>
              <c:numCache>
                <c:formatCode>General</c:formatCode>
                <c:ptCount val="7"/>
                <c:pt idx="0">
                  <c:v>142</c:v>
                </c:pt>
                <c:pt idx="1">
                  <c:v>261</c:v>
                </c:pt>
                <c:pt idx="2">
                  <c:v>230</c:v>
                </c:pt>
                <c:pt idx="3">
                  <c:v>165</c:v>
                </c:pt>
                <c:pt idx="4">
                  <c:v>131</c:v>
                </c:pt>
                <c:pt idx="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E-4C39-B704-60C5D8B3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854373"/>
        <c:axId val="816797704"/>
      </c:lineChart>
      <c:catAx>
        <c:axId val="711854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16797704"/>
        <c:crosses val="autoZero"/>
        <c:auto val="1"/>
        <c:lblAlgn val="ctr"/>
        <c:lblOffset val="100"/>
        <c:noMultiLvlLbl val="1"/>
      </c:catAx>
      <c:valAx>
        <c:axId val="816797704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185437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HF3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GTT_initial!$A$66:$A$71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cat>
          <c:val>
            <c:numRef>
              <c:f>GTT_initial!$B$66:$B$71</c:f>
              <c:numCache>
                <c:formatCode>General</c:formatCode>
                <c:ptCount val="6"/>
                <c:pt idx="0">
                  <c:v>176</c:v>
                </c:pt>
                <c:pt idx="1">
                  <c:v>228</c:v>
                </c:pt>
                <c:pt idx="2">
                  <c:v>245</c:v>
                </c:pt>
                <c:pt idx="3">
                  <c:v>165</c:v>
                </c:pt>
                <c:pt idx="4">
                  <c:v>169</c:v>
                </c:pt>
                <c:pt idx="5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1-49D7-9488-666EC768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651541"/>
        <c:axId val="1076778567"/>
      </c:lineChart>
      <c:catAx>
        <c:axId val="1842651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76778567"/>
        <c:crosses val="autoZero"/>
        <c:auto val="1"/>
        <c:lblAlgn val="ctr"/>
        <c:lblOffset val="100"/>
        <c:noMultiLvlLbl val="1"/>
      </c:catAx>
      <c:valAx>
        <c:axId val="1076778567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426515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LF6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GTT_initial!$A$37:$A$43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AUC</c:v>
                </c:pt>
              </c:strCache>
            </c:strRef>
          </c:cat>
          <c:val>
            <c:numRef>
              <c:f>GTT_initial!$B$92:$B$96</c:f>
              <c:numCache>
                <c:formatCode>General</c:formatCode>
                <c:ptCount val="5"/>
                <c:pt idx="0">
                  <c:v>128</c:v>
                </c:pt>
                <c:pt idx="1">
                  <c:v>258</c:v>
                </c:pt>
                <c:pt idx="2">
                  <c:v>237</c:v>
                </c:pt>
                <c:pt idx="3">
                  <c:v>160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E-41A9-9574-E21B3835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83047"/>
        <c:axId val="789879075"/>
      </c:lineChart>
      <c:catAx>
        <c:axId val="1040983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89879075"/>
        <c:crosses val="autoZero"/>
        <c:auto val="1"/>
        <c:lblAlgn val="ctr"/>
        <c:lblOffset val="100"/>
        <c:noMultiLvlLbl val="1"/>
      </c:catAx>
      <c:valAx>
        <c:axId val="789879075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098304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LF6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LF!$D$442:$D$458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LF!$K$442:$K$460</c:f>
              <c:numCache>
                <c:formatCode>0.0</c:formatCode>
                <c:ptCount val="19"/>
                <c:pt idx="0">
                  <c:v>17.3</c:v>
                </c:pt>
                <c:pt idx="1">
                  <c:v>17.2</c:v>
                </c:pt>
                <c:pt idx="2">
                  <c:v>18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</c:v>
                </c:pt>
                <c:pt idx="6">
                  <c:v>18.399999999999999</c:v>
                </c:pt>
                <c:pt idx="7">
                  <c:v>19.100000000000001</c:v>
                </c:pt>
                <c:pt idx="8">
                  <c:v>19</c:v>
                </c:pt>
                <c:pt idx="9">
                  <c:v>19.3</c:v>
                </c:pt>
                <c:pt idx="10">
                  <c:v>19.2</c:v>
                </c:pt>
                <c:pt idx="12">
                  <c:v>18.8</c:v>
                </c:pt>
                <c:pt idx="13">
                  <c:v>19</c:v>
                </c:pt>
                <c:pt idx="14">
                  <c:v>19.399999999999999</c:v>
                </c:pt>
                <c:pt idx="16">
                  <c:v>19.7</c:v>
                </c:pt>
                <c:pt idx="17">
                  <c:v>20.100000000000001</c:v>
                </c:pt>
                <c:pt idx="18">
                  <c:v>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3-4ECD-8D5C-6C379053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02456"/>
        <c:axId val="241424093"/>
      </c:scatterChart>
      <c:valAx>
        <c:axId val="10515024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41424093"/>
        <c:crosses val="autoZero"/>
        <c:crossBetween val="midCat"/>
      </c:valAx>
      <c:valAx>
        <c:axId val="241424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515024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LF5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GTT_initial!$A$37:$A$43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AUC</c:v>
                </c:pt>
              </c:strCache>
            </c:strRef>
          </c:cat>
          <c:val>
            <c:numRef>
              <c:f>GTT_initial!$B$118:$B$123</c:f>
              <c:numCache>
                <c:formatCode>General</c:formatCode>
                <c:ptCount val="6"/>
                <c:pt idx="0">
                  <c:v>159</c:v>
                </c:pt>
                <c:pt idx="1">
                  <c:v>307</c:v>
                </c:pt>
                <c:pt idx="2">
                  <c:v>273</c:v>
                </c:pt>
                <c:pt idx="3">
                  <c:v>217</c:v>
                </c:pt>
                <c:pt idx="4">
                  <c:v>174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4-4813-8B58-848A08313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099261"/>
        <c:axId val="486220908"/>
      </c:lineChart>
      <c:catAx>
        <c:axId val="950099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86220908"/>
        <c:crosses val="autoZero"/>
        <c:auto val="1"/>
        <c:lblAlgn val="ctr"/>
        <c:lblOffset val="100"/>
        <c:noMultiLvlLbl val="1"/>
      </c:catAx>
      <c:valAx>
        <c:axId val="486220908"/>
        <c:scaling>
          <c:orientation val="minMax"/>
          <c:max val="3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5009926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STEV7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GTT_initial!$A$37:$A$43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AUC</c:v>
                </c:pt>
              </c:strCache>
            </c:strRef>
          </c:cat>
          <c:val>
            <c:numRef>
              <c:f>GTT_initial!$B$145:$B$150</c:f>
              <c:numCache>
                <c:formatCode>General</c:formatCode>
                <c:ptCount val="6"/>
                <c:pt idx="0">
                  <c:v>137</c:v>
                </c:pt>
                <c:pt idx="1">
                  <c:v>370</c:v>
                </c:pt>
                <c:pt idx="2">
                  <c:v>310</c:v>
                </c:pt>
                <c:pt idx="3">
                  <c:v>205</c:v>
                </c:pt>
                <c:pt idx="4">
                  <c:v>164</c:v>
                </c:pt>
                <c:pt idx="5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8-4388-9B42-E05EFC1A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40390"/>
        <c:axId val="1650576046"/>
      </c:lineChart>
      <c:catAx>
        <c:axId val="463840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50576046"/>
        <c:crosses val="autoZero"/>
        <c:auto val="1"/>
        <c:lblAlgn val="ctr"/>
        <c:lblOffset val="100"/>
        <c:noMultiLvlLbl val="1"/>
      </c:catAx>
      <c:valAx>
        <c:axId val="1650576046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638403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STEV8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GTT_initial!$A$37:$A$43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AUC</c:v>
                </c:pt>
              </c:strCache>
            </c:strRef>
          </c:cat>
          <c:val>
            <c:numRef>
              <c:f>GTT_initial!$B$168:$B$173</c:f>
              <c:numCache>
                <c:formatCode>General</c:formatCode>
                <c:ptCount val="6"/>
                <c:pt idx="0">
                  <c:v>125</c:v>
                </c:pt>
                <c:pt idx="1">
                  <c:v>222</c:v>
                </c:pt>
                <c:pt idx="2">
                  <c:v>236</c:v>
                </c:pt>
                <c:pt idx="3">
                  <c:v>143</c:v>
                </c:pt>
                <c:pt idx="4">
                  <c:v>136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A-416B-97A4-421C981F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06609"/>
        <c:axId val="197853302"/>
      </c:lineChart>
      <c:catAx>
        <c:axId val="1011206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7853302"/>
        <c:crosses val="autoZero"/>
        <c:auto val="1"/>
        <c:lblAlgn val="ctr"/>
        <c:lblOffset val="100"/>
        <c:noMultiLvlLbl val="1"/>
      </c:catAx>
      <c:valAx>
        <c:axId val="197853302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112066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STEV1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GTT_initial!$A$37:$A$43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AUC</c:v>
                </c:pt>
              </c:strCache>
            </c:strRef>
          </c:cat>
          <c:val>
            <c:numRef>
              <c:f>GTT_initial!$B$190:$B$195</c:f>
              <c:numCache>
                <c:formatCode>General</c:formatCode>
                <c:ptCount val="6"/>
                <c:pt idx="0">
                  <c:v>139</c:v>
                </c:pt>
                <c:pt idx="1">
                  <c:v>296</c:v>
                </c:pt>
                <c:pt idx="2">
                  <c:v>216</c:v>
                </c:pt>
                <c:pt idx="3">
                  <c:v>126</c:v>
                </c:pt>
                <c:pt idx="4">
                  <c:v>118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F-4DFA-96BA-80AADB31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30321"/>
        <c:axId val="1537379102"/>
      </c:lineChart>
      <c:catAx>
        <c:axId val="1741330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37379102"/>
        <c:crosses val="autoZero"/>
        <c:auto val="1"/>
        <c:lblAlgn val="ctr"/>
        <c:lblOffset val="100"/>
        <c:noMultiLvlLbl val="1"/>
      </c:catAx>
      <c:valAx>
        <c:axId val="1537379102"/>
        <c:scaling>
          <c:orientation val="minMax"/>
          <c:max val="3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4133032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STEV9 Baseline GTT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GTT_initial!$A$37:$A$43</c:f>
              <c:strCach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AUC</c:v>
                </c:pt>
              </c:strCache>
            </c:strRef>
          </c:cat>
          <c:val>
            <c:numRef>
              <c:f>GTT_initial!$B$208:$B$213</c:f>
              <c:numCache>
                <c:formatCode>General</c:formatCode>
                <c:ptCount val="6"/>
                <c:pt idx="0">
                  <c:v>123</c:v>
                </c:pt>
                <c:pt idx="1">
                  <c:v>165</c:v>
                </c:pt>
                <c:pt idx="2">
                  <c:v>126</c:v>
                </c:pt>
                <c:pt idx="3">
                  <c:v>110</c:v>
                </c:pt>
                <c:pt idx="4">
                  <c:v>139</c:v>
                </c:pt>
                <c:pt idx="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2-4C9B-B55F-5D36CBF8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215434"/>
        <c:axId val="1027879366"/>
      </c:lineChart>
      <c:catAx>
        <c:axId val="879215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27879366"/>
        <c:crosses val="autoZero"/>
        <c:auto val="1"/>
        <c:lblAlgn val="ctr"/>
        <c:lblOffset val="100"/>
        <c:noMultiLvlLbl val="1"/>
      </c:catAx>
      <c:valAx>
        <c:axId val="1027879366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792154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Glucose Tolerance Test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GTT_initial!$B$2</c:f>
              <c:strCache>
                <c:ptCount val="1"/>
                <c:pt idx="0">
                  <c:v>SAAC1</c:v>
                </c:pt>
              </c:strCache>
            </c:strRef>
          </c:tx>
          <c:spPr>
            <a:ln w="19050" cmpd="sng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GTT_initial!$B$3:$B$8</c:f>
              <c:numCache>
                <c:formatCode>General</c:formatCode>
                <c:ptCount val="6"/>
                <c:pt idx="0">
                  <c:v>152</c:v>
                </c:pt>
                <c:pt idx="1">
                  <c:v>323</c:v>
                </c:pt>
                <c:pt idx="2">
                  <c:v>280</c:v>
                </c:pt>
                <c:pt idx="3">
                  <c:v>238</c:v>
                </c:pt>
                <c:pt idx="4">
                  <c:v>179</c:v>
                </c:pt>
                <c:pt idx="5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6-44F7-8C72-C47C555C8306}"/>
            </c:ext>
          </c:extLst>
        </c:ser>
        <c:ser>
          <c:idx val="1"/>
          <c:order val="1"/>
          <c:tx>
            <c:strRef>
              <c:f>GTT_initial!$B$17</c:f>
              <c:strCache>
                <c:ptCount val="1"/>
                <c:pt idx="0">
                  <c:v>SAAC9</c:v>
                </c:pt>
              </c:strCache>
            </c:strRef>
          </c:tx>
          <c:spPr>
            <a:ln w="19050" cmpd="sng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GTT_initial!$B$18:$B$23</c:f>
              <c:numCache>
                <c:formatCode>General</c:formatCode>
                <c:ptCount val="6"/>
                <c:pt idx="0">
                  <c:v>119</c:v>
                </c:pt>
                <c:pt idx="1">
                  <c:v>248</c:v>
                </c:pt>
                <c:pt idx="2">
                  <c:v>208</c:v>
                </c:pt>
                <c:pt idx="3">
                  <c:v>186</c:v>
                </c:pt>
                <c:pt idx="4">
                  <c:v>127</c:v>
                </c:pt>
                <c:pt idx="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6-44F7-8C72-C47C555C8306}"/>
            </c:ext>
          </c:extLst>
        </c:ser>
        <c:ser>
          <c:idx val="2"/>
          <c:order val="2"/>
          <c:tx>
            <c:strRef>
              <c:f>GTT_initial!$B$36</c:f>
              <c:strCache>
                <c:ptCount val="1"/>
                <c:pt idx="0">
                  <c:v>HF5</c:v>
                </c:pt>
              </c:strCache>
            </c:strRef>
          </c:tx>
          <c:spPr>
            <a:ln w="19050" cmpd="sng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GTT_initial!$B$37:$B$42</c:f>
              <c:numCache>
                <c:formatCode>General</c:formatCode>
                <c:ptCount val="6"/>
                <c:pt idx="0">
                  <c:v>142</c:v>
                </c:pt>
                <c:pt idx="1">
                  <c:v>261</c:v>
                </c:pt>
                <c:pt idx="2">
                  <c:v>230</c:v>
                </c:pt>
                <c:pt idx="3">
                  <c:v>165</c:v>
                </c:pt>
                <c:pt idx="4">
                  <c:v>131</c:v>
                </c:pt>
                <c:pt idx="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6-44F7-8C72-C47C555C8306}"/>
            </c:ext>
          </c:extLst>
        </c:ser>
        <c:ser>
          <c:idx val="3"/>
          <c:order val="3"/>
          <c:tx>
            <c:strRef>
              <c:f>GTT_initial!$B$65</c:f>
              <c:strCache>
                <c:ptCount val="1"/>
                <c:pt idx="0">
                  <c:v>HF3</c:v>
                </c:pt>
              </c:strCache>
            </c:strRef>
          </c:tx>
          <c:spPr>
            <a:ln w="19050" cmpd="sng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GTT_initial!$B$66:$B$71</c:f>
              <c:numCache>
                <c:formatCode>General</c:formatCode>
                <c:ptCount val="6"/>
                <c:pt idx="0">
                  <c:v>176</c:v>
                </c:pt>
                <c:pt idx="1">
                  <c:v>228</c:v>
                </c:pt>
                <c:pt idx="2">
                  <c:v>245</c:v>
                </c:pt>
                <c:pt idx="3">
                  <c:v>165</c:v>
                </c:pt>
                <c:pt idx="4">
                  <c:v>169</c:v>
                </c:pt>
                <c:pt idx="5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6-44F7-8C72-C47C555C8306}"/>
            </c:ext>
          </c:extLst>
        </c:ser>
        <c:ser>
          <c:idx val="4"/>
          <c:order val="4"/>
          <c:tx>
            <c:strRef>
              <c:f>GTT_initial!$B$91</c:f>
              <c:strCache>
                <c:ptCount val="1"/>
                <c:pt idx="0">
                  <c:v>LF6</c:v>
                </c:pt>
              </c:strCache>
            </c:strRef>
          </c:tx>
          <c:spPr>
            <a:ln w="1905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GTT_initial!$B$92:$B$96</c:f>
              <c:numCache>
                <c:formatCode>General</c:formatCode>
                <c:ptCount val="5"/>
                <c:pt idx="0">
                  <c:v>128</c:v>
                </c:pt>
                <c:pt idx="1">
                  <c:v>258</c:v>
                </c:pt>
                <c:pt idx="2">
                  <c:v>237</c:v>
                </c:pt>
                <c:pt idx="3">
                  <c:v>160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6-44F7-8C72-C47C555C8306}"/>
            </c:ext>
          </c:extLst>
        </c:ser>
        <c:ser>
          <c:idx val="5"/>
          <c:order val="5"/>
          <c:tx>
            <c:strRef>
              <c:f>GTT_initial!$B$117</c:f>
              <c:strCache>
                <c:ptCount val="1"/>
                <c:pt idx="0">
                  <c:v>LF5</c:v>
                </c:pt>
              </c:strCache>
            </c:strRef>
          </c:tx>
          <c:spPr>
            <a:ln w="19050" cmpd="sng">
              <a:solidFill>
                <a:srgbClr val="00FF00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GTT_initial!$B$118:$B$123</c:f>
              <c:numCache>
                <c:formatCode>General</c:formatCode>
                <c:ptCount val="6"/>
                <c:pt idx="0">
                  <c:v>159</c:v>
                </c:pt>
                <c:pt idx="1">
                  <c:v>307</c:v>
                </c:pt>
                <c:pt idx="2">
                  <c:v>273</c:v>
                </c:pt>
                <c:pt idx="3">
                  <c:v>217</c:v>
                </c:pt>
                <c:pt idx="4">
                  <c:v>174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6-44F7-8C72-C47C555C8306}"/>
            </c:ext>
          </c:extLst>
        </c:ser>
        <c:ser>
          <c:idx val="6"/>
          <c:order val="6"/>
          <c:tx>
            <c:strRef>
              <c:f>GTT_initial!$B$144</c:f>
              <c:strCache>
                <c:ptCount val="1"/>
                <c:pt idx="0">
                  <c:v>STEV7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GTT_initial!$B$145:$B$150</c:f>
              <c:numCache>
                <c:formatCode>General</c:formatCode>
                <c:ptCount val="6"/>
                <c:pt idx="0">
                  <c:v>137</c:v>
                </c:pt>
                <c:pt idx="1">
                  <c:v>370</c:v>
                </c:pt>
                <c:pt idx="2">
                  <c:v>310</c:v>
                </c:pt>
                <c:pt idx="3">
                  <c:v>205</c:v>
                </c:pt>
                <c:pt idx="4">
                  <c:v>164</c:v>
                </c:pt>
                <c:pt idx="5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6-44F7-8C72-C47C555C8306}"/>
            </c:ext>
          </c:extLst>
        </c:ser>
        <c:ser>
          <c:idx val="7"/>
          <c:order val="7"/>
          <c:tx>
            <c:strRef>
              <c:f>GTT_initial!$B$167</c:f>
              <c:strCache>
                <c:ptCount val="1"/>
                <c:pt idx="0">
                  <c:v>STEV8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GTT_initial!$B$168:$B$173</c:f>
              <c:numCache>
                <c:formatCode>General</c:formatCode>
                <c:ptCount val="6"/>
                <c:pt idx="0">
                  <c:v>125</c:v>
                </c:pt>
                <c:pt idx="1">
                  <c:v>222</c:v>
                </c:pt>
                <c:pt idx="2">
                  <c:v>236</c:v>
                </c:pt>
                <c:pt idx="3">
                  <c:v>143</c:v>
                </c:pt>
                <c:pt idx="4">
                  <c:v>136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6-44F7-8C72-C47C555C8306}"/>
            </c:ext>
          </c:extLst>
        </c:ser>
        <c:ser>
          <c:idx val="8"/>
          <c:order val="8"/>
          <c:tx>
            <c:strRef>
              <c:f>GTT_initial!$B$189</c:f>
              <c:strCache>
                <c:ptCount val="1"/>
                <c:pt idx="0">
                  <c:v>STEV1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GTT_initial!$B$190:$B$195</c:f>
              <c:numCache>
                <c:formatCode>General</c:formatCode>
                <c:ptCount val="6"/>
                <c:pt idx="0">
                  <c:v>139</c:v>
                </c:pt>
                <c:pt idx="1">
                  <c:v>296</c:v>
                </c:pt>
                <c:pt idx="2">
                  <c:v>216</c:v>
                </c:pt>
                <c:pt idx="3">
                  <c:v>126</c:v>
                </c:pt>
                <c:pt idx="4">
                  <c:v>118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6-44F7-8C72-C47C555C8306}"/>
            </c:ext>
          </c:extLst>
        </c:ser>
        <c:ser>
          <c:idx val="9"/>
          <c:order val="9"/>
          <c:tx>
            <c:strRef>
              <c:f>GTT_initial!$B$207</c:f>
              <c:strCache>
                <c:ptCount val="1"/>
                <c:pt idx="0">
                  <c:v>STEV9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GTT_initial!$A$4:$A$8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GTT_initial!$B$208:$B$213</c:f>
              <c:numCache>
                <c:formatCode>General</c:formatCode>
                <c:ptCount val="6"/>
                <c:pt idx="0">
                  <c:v>123</c:v>
                </c:pt>
                <c:pt idx="1">
                  <c:v>165</c:v>
                </c:pt>
                <c:pt idx="2">
                  <c:v>126</c:v>
                </c:pt>
                <c:pt idx="3">
                  <c:v>110</c:v>
                </c:pt>
                <c:pt idx="4">
                  <c:v>139</c:v>
                </c:pt>
                <c:pt idx="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6-44F7-8C72-C47C555C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91346"/>
        <c:axId val="1812709966"/>
      </c:lineChart>
      <c:catAx>
        <c:axId val="208749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(min)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12709966"/>
        <c:crosses val="autoZero"/>
        <c:auto val="1"/>
        <c:lblAlgn val="ctr"/>
        <c:lblOffset val="100"/>
        <c:noMultiLvlLbl val="1"/>
      </c:catAx>
      <c:valAx>
        <c:axId val="1812709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Blood glucose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749134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Initial Glucose Tolerance Response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GTT_initial!$C$1:$C$2</c:f>
              <c:strCache>
                <c:ptCount val="2"/>
                <c:pt idx="0">
                  <c:v>0mins</c:v>
                </c:pt>
                <c:pt idx="1">
                  <c:v>average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GTT_initial!$A$5:$A$8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GTT_initial!$C$3:$C$8</c:f>
              <c:numCache>
                <c:formatCode>General</c:formatCode>
                <c:ptCount val="6"/>
                <c:pt idx="0">
                  <c:v>140</c:v>
                </c:pt>
                <c:pt idx="1">
                  <c:v>267.8</c:v>
                </c:pt>
                <c:pt idx="2">
                  <c:v>236.1</c:v>
                </c:pt>
                <c:pt idx="3">
                  <c:v>179.2</c:v>
                </c:pt>
                <c:pt idx="4">
                  <c:v>149.69999999999999</c:v>
                </c:pt>
                <c:pt idx="5">
                  <c:v>125.33333333333333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E-4B7A-83A5-8BC94053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555960"/>
        <c:axId val="139134364"/>
      </c:lineChart>
      <c:catAx>
        <c:axId val="93155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Time (mins)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39134364"/>
        <c:crosses val="autoZero"/>
        <c:auto val="1"/>
        <c:lblAlgn val="ctr"/>
        <c:lblOffset val="100"/>
        <c:noMultiLvlLbl val="1"/>
      </c:catAx>
      <c:valAx>
        <c:axId val="139134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Blood glucose concentration (mg/dL)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9315559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LF7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LF!$D$561:$D$577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LF!$K$561:$K$579</c:f>
              <c:numCache>
                <c:formatCode>0.0</c:formatCode>
                <c:ptCount val="19"/>
                <c:pt idx="0">
                  <c:v>24.6</c:v>
                </c:pt>
                <c:pt idx="1">
                  <c:v>24.1</c:v>
                </c:pt>
                <c:pt idx="2">
                  <c:v>24.4</c:v>
                </c:pt>
                <c:pt idx="3">
                  <c:v>24.6</c:v>
                </c:pt>
                <c:pt idx="4">
                  <c:v>25.3</c:v>
                </c:pt>
                <c:pt idx="5">
                  <c:v>25.1</c:v>
                </c:pt>
                <c:pt idx="6">
                  <c:v>25.3</c:v>
                </c:pt>
                <c:pt idx="7">
                  <c:v>25.1</c:v>
                </c:pt>
                <c:pt idx="8">
                  <c:v>25.7</c:v>
                </c:pt>
                <c:pt idx="9">
                  <c:v>25.9</c:v>
                </c:pt>
                <c:pt idx="10">
                  <c:v>25.8</c:v>
                </c:pt>
                <c:pt idx="12">
                  <c:v>26.3</c:v>
                </c:pt>
                <c:pt idx="13">
                  <c:v>26.5</c:v>
                </c:pt>
                <c:pt idx="14">
                  <c:v>26.3</c:v>
                </c:pt>
                <c:pt idx="16">
                  <c:v>26.3</c:v>
                </c:pt>
                <c:pt idx="17">
                  <c:v>26.9</c:v>
                </c:pt>
                <c:pt idx="18">
                  <c:v>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E-461D-916C-BE107366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95284"/>
        <c:axId val="1145216118"/>
      </c:scatterChart>
      <c:valAx>
        <c:axId val="10356952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45216118"/>
        <c:crosses val="autoZero"/>
        <c:crossBetween val="midCat"/>
      </c:valAx>
      <c:valAx>
        <c:axId val="1145216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356952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LF8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LF!$D$642:$D$658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LF!$K$642:$K$660</c:f>
              <c:numCache>
                <c:formatCode>0.0</c:formatCode>
                <c:ptCount val="19"/>
                <c:pt idx="0">
                  <c:v>16.899999999999999</c:v>
                </c:pt>
                <c:pt idx="1">
                  <c:v>17.600000000000001</c:v>
                </c:pt>
                <c:pt idx="2">
                  <c:v>17.7</c:v>
                </c:pt>
                <c:pt idx="3">
                  <c:v>17.5</c:v>
                </c:pt>
                <c:pt idx="4">
                  <c:v>17.399999999999999</c:v>
                </c:pt>
                <c:pt idx="5">
                  <c:v>17.100000000000001</c:v>
                </c:pt>
                <c:pt idx="6">
                  <c:v>17.5</c:v>
                </c:pt>
                <c:pt idx="7">
                  <c:v>17.600000000000001</c:v>
                </c:pt>
                <c:pt idx="8">
                  <c:v>18</c:v>
                </c:pt>
                <c:pt idx="9">
                  <c:v>18.3</c:v>
                </c:pt>
                <c:pt idx="10">
                  <c:v>18.8</c:v>
                </c:pt>
                <c:pt idx="12">
                  <c:v>18.600000000000001</c:v>
                </c:pt>
                <c:pt idx="13">
                  <c:v>19.399999999999999</c:v>
                </c:pt>
                <c:pt idx="14">
                  <c:v>19.399999999999999</c:v>
                </c:pt>
                <c:pt idx="16">
                  <c:v>20</c:v>
                </c:pt>
                <c:pt idx="17">
                  <c:v>20.3</c:v>
                </c:pt>
                <c:pt idx="18">
                  <c:v>20.399999999999999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B-49C4-9BFE-48CBD3FE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24635"/>
        <c:axId val="637339696"/>
      </c:scatterChart>
      <c:valAx>
        <c:axId val="690324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37339696"/>
        <c:crosses val="autoZero"/>
        <c:crossBetween val="midCat"/>
      </c:valAx>
      <c:valAx>
        <c:axId val="637339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903246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LF9 BW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LF!$D$751:$D$767</c:f>
              <c:numCache>
                <c:formatCode>m/d/yy</c:formatCode>
                <c:ptCount val="17"/>
                <c:pt idx="0">
                  <c:v>42992</c:v>
                </c:pt>
                <c:pt idx="1">
                  <c:v>42993</c:v>
                </c:pt>
                <c:pt idx="2">
                  <c:v>42996</c:v>
                </c:pt>
                <c:pt idx="3">
                  <c:v>42998</c:v>
                </c:pt>
                <c:pt idx="4">
                  <c:v>42999</c:v>
                </c:pt>
                <c:pt idx="5">
                  <c:v>43000</c:v>
                </c:pt>
                <c:pt idx="6">
                  <c:v>43003</c:v>
                </c:pt>
                <c:pt idx="7">
                  <c:v>43005</c:v>
                </c:pt>
                <c:pt idx="8">
                  <c:v>43007</c:v>
                </c:pt>
                <c:pt idx="9">
                  <c:v>43010</c:v>
                </c:pt>
                <c:pt idx="10">
                  <c:v>43012</c:v>
                </c:pt>
                <c:pt idx="11">
                  <c:v>43013</c:v>
                </c:pt>
                <c:pt idx="12">
                  <c:v>43014</c:v>
                </c:pt>
                <c:pt idx="13">
                  <c:v>43017</c:v>
                </c:pt>
                <c:pt idx="14">
                  <c:v>43019</c:v>
                </c:pt>
                <c:pt idx="15">
                  <c:v>43020</c:v>
                </c:pt>
                <c:pt idx="16">
                  <c:v>43021</c:v>
                </c:pt>
              </c:numCache>
            </c:numRef>
          </c:xVal>
          <c:yVal>
            <c:numRef>
              <c:f>LF!$K$751:$K$769</c:f>
              <c:numCache>
                <c:formatCode>0.0</c:formatCode>
                <c:ptCount val="19"/>
                <c:pt idx="0">
                  <c:v>22.1</c:v>
                </c:pt>
                <c:pt idx="1">
                  <c:v>22.3</c:v>
                </c:pt>
                <c:pt idx="2">
                  <c:v>24.2</c:v>
                </c:pt>
                <c:pt idx="3">
                  <c:v>24.8</c:v>
                </c:pt>
                <c:pt idx="4">
                  <c:v>24.7</c:v>
                </c:pt>
                <c:pt idx="5">
                  <c:v>25</c:v>
                </c:pt>
                <c:pt idx="6">
                  <c:v>25.4</c:v>
                </c:pt>
                <c:pt idx="7">
                  <c:v>25.4</c:v>
                </c:pt>
                <c:pt idx="8">
                  <c:v>25.7</c:v>
                </c:pt>
                <c:pt idx="9">
                  <c:v>25.6</c:v>
                </c:pt>
                <c:pt idx="10">
                  <c:v>25.6</c:v>
                </c:pt>
                <c:pt idx="12">
                  <c:v>26.7</c:v>
                </c:pt>
                <c:pt idx="13">
                  <c:v>26</c:v>
                </c:pt>
                <c:pt idx="14">
                  <c:v>26.2</c:v>
                </c:pt>
                <c:pt idx="16">
                  <c:v>25.9</c:v>
                </c:pt>
                <c:pt idx="17">
                  <c:v>25.8</c:v>
                </c:pt>
                <c:pt idx="18">
                  <c:v>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A-418E-A712-DC841A4D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8284"/>
        <c:axId val="1811069606"/>
      </c:scatterChart>
      <c:valAx>
        <c:axId val="5089882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11069606"/>
        <c:crosses val="autoZero"/>
        <c:crossBetween val="midCat"/>
      </c:valAx>
      <c:valAx>
        <c:axId val="1811069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BW (g)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089882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266700</xdr:colOff>
      <xdr:row>165</xdr:row>
      <xdr:rowOff>104775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26</xdr:col>
      <xdr:colOff>561975</xdr:colOff>
      <xdr:row>13</xdr:row>
      <xdr:rowOff>104775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123825</xdr:colOff>
      <xdr:row>75</xdr:row>
      <xdr:rowOff>161925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542925</xdr:colOff>
      <xdr:row>291</xdr:row>
      <xdr:rowOff>104775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19</xdr:col>
      <xdr:colOff>1190625</xdr:colOff>
      <xdr:row>354</xdr:row>
      <xdr:rowOff>180975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523875</xdr:colOff>
      <xdr:row>439</xdr:row>
      <xdr:rowOff>85725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20</xdr:col>
      <xdr:colOff>180975</xdr:colOff>
      <xdr:row>560</xdr:row>
      <xdr:rowOff>9525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20</xdr:col>
      <xdr:colOff>866775</xdr:colOff>
      <xdr:row>640</xdr:row>
      <xdr:rowOff>190500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20</xdr:col>
      <xdr:colOff>333375</xdr:colOff>
      <xdr:row>750</xdr:row>
      <xdr:rowOff>257175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21</xdr:col>
      <xdr:colOff>152400</xdr:colOff>
      <xdr:row>869</xdr:row>
      <xdr:rowOff>38100</xdr:rowOff>
    </xdr:from>
    <xdr:ext cx="5715000" cy="3533775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25</xdr:col>
      <xdr:colOff>866775</xdr:colOff>
      <xdr:row>2</xdr:row>
      <xdr:rowOff>66675</xdr:rowOff>
    </xdr:from>
    <xdr:ext cx="5715000" cy="3533775"/>
    <xdr:graphicFrame macro="">
      <xdr:nvGraphicFramePr>
        <xdr:cNvPr id="34" name="Chart 34" title="Char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26</xdr:col>
      <xdr:colOff>619125</xdr:colOff>
      <xdr:row>11</xdr:row>
      <xdr:rowOff>9525</xdr:rowOff>
    </xdr:from>
    <xdr:ext cx="5715000" cy="3533775"/>
    <xdr:graphicFrame macro="">
      <xdr:nvGraphicFramePr>
        <xdr:cNvPr id="35" name="Chart 35" title="Chart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942975</xdr:colOff>
      <xdr:row>12</xdr:row>
      <xdr:rowOff>114300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495300</xdr:colOff>
      <xdr:row>83</xdr:row>
      <xdr:rowOff>161925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600075</xdr:colOff>
      <xdr:row>192</xdr:row>
      <xdr:rowOff>9525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638175</xdr:colOff>
      <xdr:row>279</xdr:row>
      <xdr:rowOff>228600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21</xdr:col>
      <xdr:colOff>0</xdr:colOff>
      <xdr:row>372</xdr:row>
      <xdr:rowOff>66675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21</xdr:col>
      <xdr:colOff>485775</xdr:colOff>
      <xdr:row>480</xdr:row>
      <xdr:rowOff>190500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20</xdr:col>
      <xdr:colOff>523875</xdr:colOff>
      <xdr:row>589</xdr:row>
      <xdr:rowOff>266700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38100</xdr:colOff>
      <xdr:row>699</xdr:row>
      <xdr:rowOff>161925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21</xdr:col>
      <xdr:colOff>342900</xdr:colOff>
      <xdr:row>811</xdr:row>
      <xdr:rowOff>228600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20</xdr:col>
      <xdr:colOff>76200</xdr:colOff>
      <xdr:row>903</xdr:row>
      <xdr:rowOff>180975</xdr:rowOff>
    </xdr:from>
    <xdr:ext cx="5715000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22</xdr:col>
      <xdr:colOff>419100</xdr:colOff>
      <xdr:row>1</xdr:row>
      <xdr:rowOff>66675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304800</xdr:colOff>
      <xdr:row>15</xdr:row>
      <xdr:rowOff>66675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352425</xdr:colOff>
      <xdr:row>2</xdr:row>
      <xdr:rowOff>76200</xdr:rowOff>
    </xdr:from>
    <xdr:ext cx="4448175" cy="27527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352425</xdr:colOff>
      <xdr:row>91</xdr:row>
      <xdr:rowOff>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276225</xdr:colOff>
      <xdr:row>192</xdr:row>
      <xdr:rowOff>152400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238125</xdr:colOff>
      <xdr:row>298</xdr:row>
      <xdr:rowOff>66675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21</xdr:col>
      <xdr:colOff>657225</xdr:colOff>
      <xdr:row>403</xdr:row>
      <xdr:rowOff>190500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21</xdr:col>
      <xdr:colOff>381000</xdr:colOff>
      <xdr:row>508</xdr:row>
      <xdr:rowOff>66675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22</xdr:col>
      <xdr:colOff>47625</xdr:colOff>
      <xdr:row>623</xdr:row>
      <xdr:rowOff>114300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304800</xdr:colOff>
      <xdr:row>733</xdr:row>
      <xdr:rowOff>76200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21</xdr:col>
      <xdr:colOff>466725</xdr:colOff>
      <xdr:row>841</xdr:row>
      <xdr:rowOff>9525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22</xdr:col>
      <xdr:colOff>47625</xdr:colOff>
      <xdr:row>952</xdr:row>
      <xdr:rowOff>114300</xdr:rowOff>
    </xdr:from>
    <xdr:ext cx="5715000" cy="3533775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23</xdr:col>
      <xdr:colOff>190500</xdr:colOff>
      <xdr:row>9</xdr:row>
      <xdr:rowOff>85725</xdr:rowOff>
    </xdr:from>
    <xdr:ext cx="4362450" cy="2695575"/>
    <xdr:graphicFrame macro="">
      <xdr:nvGraphicFramePr>
        <xdr:cNvPr id="33" name="Chart 33" title="Chart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23</xdr:col>
      <xdr:colOff>266700</xdr:colOff>
      <xdr:row>16</xdr:row>
      <xdr:rowOff>190500</xdr:rowOff>
    </xdr:from>
    <xdr:ext cx="4524375" cy="2800350"/>
    <xdr:graphicFrame macro="">
      <xdr:nvGraphicFramePr>
        <xdr:cNvPr id="36" name="Chart 36" title="Char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15</xdr:col>
      <xdr:colOff>457200</xdr:colOff>
      <xdr:row>537</xdr:row>
      <xdr:rowOff>190500</xdr:rowOff>
    </xdr:from>
    <xdr:ext cx="5715000" cy="3533775"/>
    <xdr:graphicFrame macro="">
      <xdr:nvGraphicFramePr>
        <xdr:cNvPr id="37" name="Chart 37" title="Chart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571500</xdr:colOff>
      <xdr:row>848</xdr:row>
      <xdr:rowOff>180975</xdr:rowOff>
    </xdr:from>
    <xdr:ext cx="3476625" cy="2152650"/>
    <xdr:graphicFrame macro="">
      <xdr:nvGraphicFramePr>
        <xdr:cNvPr id="38" name="Chart 38" title="Chart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600075</xdr:colOff>
      <xdr:row>12</xdr:row>
      <xdr:rowOff>76200</xdr:rowOff>
    </xdr:from>
    <xdr:ext cx="2943225" cy="1819275"/>
    <xdr:graphicFrame macro="">
      <xdr:nvGraphicFramePr>
        <xdr:cNvPr id="39" name="Chart 39" title="Chart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466725</xdr:colOff>
      <xdr:row>15</xdr:row>
      <xdr:rowOff>85725</xdr:rowOff>
    </xdr:from>
    <xdr:ext cx="4600575" cy="2838450"/>
    <xdr:graphicFrame macro="">
      <xdr:nvGraphicFramePr>
        <xdr:cNvPr id="40" name="Chart 40" title="Chart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638175</xdr:colOff>
      <xdr:row>91</xdr:row>
      <xdr:rowOff>28575</xdr:rowOff>
    </xdr:from>
    <xdr:ext cx="3276600" cy="2028825"/>
    <xdr:graphicFrame macro="">
      <xdr:nvGraphicFramePr>
        <xdr:cNvPr id="41" name="Chart 41" title="Chart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600075</xdr:colOff>
      <xdr:row>196</xdr:row>
      <xdr:rowOff>104775</xdr:rowOff>
    </xdr:from>
    <xdr:ext cx="3438525" cy="2124075"/>
    <xdr:graphicFrame macro="">
      <xdr:nvGraphicFramePr>
        <xdr:cNvPr id="43" name="Chart 43" title="Chart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21</xdr:col>
      <xdr:colOff>685800</xdr:colOff>
      <xdr:row>328</xdr:row>
      <xdr:rowOff>219075</xdr:rowOff>
    </xdr:from>
    <xdr:ext cx="4200525" cy="2600325"/>
    <xdr:graphicFrame macro="">
      <xdr:nvGraphicFramePr>
        <xdr:cNvPr id="45" name="Chart 45" title="Chart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22</xdr:col>
      <xdr:colOff>76200</xdr:colOff>
      <xdr:row>428</xdr:row>
      <xdr:rowOff>38100</xdr:rowOff>
    </xdr:from>
    <xdr:ext cx="4714875" cy="2914650"/>
    <xdr:graphicFrame macro="">
      <xdr:nvGraphicFramePr>
        <xdr:cNvPr id="46" name="Chart 46" title="Chart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21</xdr:col>
      <xdr:colOff>542925</xdr:colOff>
      <xdr:row>538</xdr:row>
      <xdr:rowOff>9525</xdr:rowOff>
    </xdr:from>
    <xdr:ext cx="2781300" cy="1724025"/>
    <xdr:graphicFrame macro="">
      <xdr:nvGraphicFramePr>
        <xdr:cNvPr id="48" name="Chart 48" title="Chart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22</xdr:col>
      <xdr:colOff>600075</xdr:colOff>
      <xdr:row>649</xdr:row>
      <xdr:rowOff>114300</xdr:rowOff>
    </xdr:from>
    <xdr:ext cx="3457575" cy="2143125"/>
    <xdr:graphicFrame macro="">
      <xdr:nvGraphicFramePr>
        <xdr:cNvPr id="50" name="Chart 50" title="Chart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276225</xdr:colOff>
      <xdr:row>764</xdr:row>
      <xdr:rowOff>152400</xdr:rowOff>
    </xdr:from>
    <xdr:ext cx="5715000" cy="3533775"/>
    <xdr:graphicFrame macro="">
      <xdr:nvGraphicFramePr>
        <xdr:cNvPr id="53" name="Chart 53" title="Chart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22</xdr:col>
      <xdr:colOff>495300</xdr:colOff>
      <xdr:row>970</xdr:row>
      <xdr:rowOff>47625</xdr:rowOff>
    </xdr:from>
    <xdr:ext cx="4305300" cy="2657475"/>
    <xdr:graphicFrame macro="">
      <xdr:nvGraphicFramePr>
        <xdr:cNvPr id="55" name="Chart 55" title="Chart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12</xdr:col>
      <xdr:colOff>676275</xdr:colOff>
      <xdr:row>18</xdr:row>
      <xdr:rowOff>9525</xdr:rowOff>
    </xdr:from>
    <xdr:ext cx="4038600" cy="2495550"/>
    <xdr:graphicFrame macro="">
      <xdr:nvGraphicFramePr>
        <xdr:cNvPr id="57" name="Chart 57" title="Chart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561975</xdr:colOff>
      <xdr:row>1</xdr:row>
      <xdr:rowOff>0</xdr:rowOff>
    </xdr:from>
    <xdr:ext cx="6553200" cy="4048125"/>
    <xdr:graphicFrame macro="">
      <xdr:nvGraphicFramePr>
        <xdr:cNvPr id="42" name="Chart 42" title="Chart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85725</xdr:colOff>
      <xdr:row>2</xdr:row>
      <xdr:rowOff>104775</xdr:rowOff>
    </xdr:from>
    <xdr:ext cx="5715000" cy="3533775"/>
    <xdr:graphicFrame macro="">
      <xdr:nvGraphicFramePr>
        <xdr:cNvPr id="44" name="Chart 44" title="Chart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504825</xdr:colOff>
      <xdr:row>2</xdr:row>
      <xdr:rowOff>85725</xdr:rowOff>
    </xdr:from>
    <xdr:ext cx="5715000" cy="3533775"/>
    <xdr:graphicFrame macro="">
      <xdr:nvGraphicFramePr>
        <xdr:cNvPr id="47" name="Chart 47" title="Chart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800100</xdr:colOff>
      <xdr:row>9</xdr:row>
      <xdr:rowOff>9525</xdr:rowOff>
    </xdr:from>
    <xdr:ext cx="6543675" cy="4038600"/>
    <xdr:graphicFrame macro="">
      <xdr:nvGraphicFramePr>
        <xdr:cNvPr id="49" name="Chart 49" title="Chart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333375</xdr:colOff>
      <xdr:row>42</xdr:row>
      <xdr:rowOff>28575</xdr:rowOff>
    </xdr:from>
    <xdr:ext cx="5715000" cy="3533775"/>
    <xdr:graphicFrame macro="">
      <xdr:nvGraphicFramePr>
        <xdr:cNvPr id="52" name="Chart 52" title="Chart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476250</xdr:colOff>
      <xdr:row>21</xdr:row>
      <xdr:rowOff>66675</xdr:rowOff>
    </xdr:from>
    <xdr:ext cx="5267325" cy="3257550"/>
    <xdr:graphicFrame macro="">
      <xdr:nvGraphicFramePr>
        <xdr:cNvPr id="51" name="Chart 51" title="Chart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581025</xdr:colOff>
      <xdr:row>20</xdr:row>
      <xdr:rowOff>142875</xdr:rowOff>
    </xdr:from>
    <xdr:ext cx="5267325" cy="3257550"/>
    <xdr:graphicFrame macro="">
      <xdr:nvGraphicFramePr>
        <xdr:cNvPr id="54" name="Chart 54" title="Chart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600075</xdr:colOff>
      <xdr:row>38</xdr:row>
      <xdr:rowOff>66675</xdr:rowOff>
    </xdr:from>
    <xdr:ext cx="5267325" cy="3257550"/>
    <xdr:graphicFrame macro="">
      <xdr:nvGraphicFramePr>
        <xdr:cNvPr id="56" name="Chart 56" title="Chart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219075</xdr:colOff>
      <xdr:row>64</xdr:row>
      <xdr:rowOff>47625</xdr:rowOff>
    </xdr:from>
    <xdr:ext cx="5267325" cy="3257550"/>
    <xdr:graphicFrame macro="">
      <xdr:nvGraphicFramePr>
        <xdr:cNvPr id="58" name="Chart 58" title="Chart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123825</xdr:colOff>
      <xdr:row>92</xdr:row>
      <xdr:rowOff>28575</xdr:rowOff>
    </xdr:from>
    <xdr:ext cx="5267325" cy="3257550"/>
    <xdr:graphicFrame macro="">
      <xdr:nvGraphicFramePr>
        <xdr:cNvPr id="59" name="Chart 59" title="Chart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638175</xdr:colOff>
      <xdr:row>116</xdr:row>
      <xdr:rowOff>28575</xdr:rowOff>
    </xdr:from>
    <xdr:ext cx="5267325" cy="3257550"/>
    <xdr:graphicFrame macro="">
      <xdr:nvGraphicFramePr>
        <xdr:cNvPr id="60" name="Chart 60" title="Chart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247650</xdr:colOff>
      <xdr:row>143</xdr:row>
      <xdr:rowOff>9525</xdr:rowOff>
    </xdr:from>
    <xdr:ext cx="5267325" cy="3257550"/>
    <xdr:graphicFrame macro="">
      <xdr:nvGraphicFramePr>
        <xdr:cNvPr id="61" name="Chart 61" title="Chart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57150</xdr:colOff>
      <xdr:row>165</xdr:row>
      <xdr:rowOff>180975</xdr:rowOff>
    </xdr:from>
    <xdr:ext cx="5267325" cy="3257550"/>
    <xdr:graphicFrame macro="">
      <xdr:nvGraphicFramePr>
        <xdr:cNvPr id="62" name="Chart 62" title="Chart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66675</xdr:colOff>
      <xdr:row>188</xdr:row>
      <xdr:rowOff>66675</xdr:rowOff>
    </xdr:from>
    <xdr:ext cx="5267325" cy="3257550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638175</xdr:colOff>
      <xdr:row>207</xdr:row>
      <xdr:rowOff>0</xdr:rowOff>
    </xdr:from>
    <xdr:ext cx="5267325" cy="3257550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8</xdr:col>
      <xdr:colOff>247650</xdr:colOff>
      <xdr:row>2</xdr:row>
      <xdr:rowOff>28575</xdr:rowOff>
    </xdr:from>
    <xdr:ext cx="5715000" cy="3533775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14</xdr:col>
      <xdr:colOff>704850</xdr:colOff>
      <xdr:row>1</xdr:row>
      <xdr:rowOff>123825</xdr:rowOff>
    </xdr:from>
    <xdr:ext cx="8477250" cy="5238750"/>
    <xdr:graphicFrame macro="">
      <xdr:nvGraphicFramePr>
        <xdr:cNvPr id="66" name="Chart 66" title="Chart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1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/>
  <cols>
    <col min="15" max="15" width="19" customWidth="1"/>
    <col min="20" max="20" width="20.33203125" customWidth="1"/>
  </cols>
  <sheetData>
    <row r="1" spans="1:33" ht="15.75" customHeight="1">
      <c r="A1" s="38" t="s">
        <v>31</v>
      </c>
      <c r="B1" s="38" t="s">
        <v>1</v>
      </c>
      <c r="C1" s="1" t="s">
        <v>2</v>
      </c>
      <c r="D1" s="38" t="s">
        <v>3</v>
      </c>
      <c r="E1" s="39" t="s">
        <v>4</v>
      </c>
      <c r="F1" s="39" t="s">
        <v>5</v>
      </c>
      <c r="G1" s="38" t="s">
        <v>6</v>
      </c>
      <c r="H1" s="40" t="s">
        <v>7</v>
      </c>
      <c r="I1" s="41" t="s">
        <v>8</v>
      </c>
      <c r="J1" s="38" t="s">
        <v>9</v>
      </c>
      <c r="K1" s="41" t="s">
        <v>10</v>
      </c>
      <c r="L1" s="42" t="s">
        <v>11</v>
      </c>
      <c r="M1" s="1" t="s">
        <v>32</v>
      </c>
      <c r="N1" s="1" t="s">
        <v>13</v>
      </c>
      <c r="O1" s="5" t="s">
        <v>33</v>
      </c>
      <c r="P1" s="43" t="s">
        <v>34</v>
      </c>
      <c r="Q1" s="44" t="s">
        <v>35</v>
      </c>
      <c r="R1" s="36" t="s">
        <v>36</v>
      </c>
      <c r="S1" s="6" t="s">
        <v>18</v>
      </c>
      <c r="T1" s="6" t="s">
        <v>19</v>
      </c>
      <c r="U1" s="6" t="s">
        <v>1</v>
      </c>
      <c r="V1" s="36" t="s">
        <v>37</v>
      </c>
      <c r="W1" s="6" t="s">
        <v>38</v>
      </c>
      <c r="X1" s="36" t="s">
        <v>39</v>
      </c>
      <c r="Y1" s="36" t="s">
        <v>40</v>
      </c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45" t="s">
        <v>41</v>
      </c>
      <c r="B2" s="5">
        <v>0</v>
      </c>
      <c r="C2" s="5">
        <v>0</v>
      </c>
      <c r="D2" s="9">
        <v>42992</v>
      </c>
      <c r="E2" s="10">
        <v>385.8</v>
      </c>
      <c r="F2" s="12"/>
      <c r="G2" s="46">
        <f>AVERAGE(F3:F18)</f>
        <v>7.7428571428571402</v>
      </c>
      <c r="H2" s="46">
        <f>AVERAGE(G2:G985)</f>
        <v>9.9909590409590425</v>
      </c>
      <c r="I2" s="13">
        <v>126</v>
      </c>
      <c r="J2" s="47"/>
      <c r="K2" s="13">
        <v>22</v>
      </c>
      <c r="L2" s="48">
        <f>AVERAGE(K49,K125,K213,K339,K401,K488,K607,K688,K797,K916)</f>
        <v>25.53</v>
      </c>
      <c r="M2" s="47"/>
      <c r="N2" s="47"/>
      <c r="O2" s="47"/>
      <c r="P2" s="49">
        <f>SUM(O2:O12)-104.4</f>
        <v>399.19999999999993</v>
      </c>
      <c r="Q2" s="6" t="s">
        <v>42</v>
      </c>
      <c r="R2" s="6" t="s">
        <v>42</v>
      </c>
      <c r="S2" s="48">
        <f>I6-I14</f>
        <v>62.900000000000006</v>
      </c>
      <c r="T2" s="7">
        <f>SUM(S2:S10)*3.1</f>
        <v>1000.3700000000001</v>
      </c>
      <c r="U2" s="36">
        <v>0</v>
      </c>
      <c r="V2" s="7"/>
      <c r="W2" s="7" t="s">
        <v>440</v>
      </c>
      <c r="X2" s="7"/>
      <c r="Y2" s="7" t="e">
        <f t="shared" ref="Y2:Y12" si="0">STDEV(X2)/SQRT(10)</f>
        <v>#DIV/0!</v>
      </c>
      <c r="Z2" s="7"/>
      <c r="AA2" s="7"/>
      <c r="AB2" s="7"/>
      <c r="AC2" s="7"/>
      <c r="AD2" s="7"/>
      <c r="AE2" s="7"/>
      <c r="AF2" s="7"/>
      <c r="AG2" s="7"/>
    </row>
    <row r="3" spans="1:33" ht="15.75" customHeight="1">
      <c r="A3" s="50" t="s">
        <v>23</v>
      </c>
      <c r="B3" s="5">
        <v>0</v>
      </c>
      <c r="C3" s="5">
        <v>0</v>
      </c>
      <c r="D3" s="9">
        <v>42993</v>
      </c>
      <c r="E3" s="10">
        <v>378.1</v>
      </c>
      <c r="F3" s="12">
        <f>E2-E3</f>
        <v>7.6999999999999886</v>
      </c>
      <c r="G3" s="47"/>
      <c r="H3" s="47"/>
      <c r="I3" s="13">
        <v>121.7</v>
      </c>
      <c r="J3" s="47">
        <f t="shared" ref="J3:J12" si="1">(I2-I3)/(D3-D2)</f>
        <v>4.2999999999999972</v>
      </c>
      <c r="K3" s="13">
        <v>22.3</v>
      </c>
      <c r="L3" s="47"/>
      <c r="M3" s="47"/>
      <c r="N3" s="47"/>
      <c r="O3" s="46">
        <f>E7-E12</f>
        <v>88.400000000000034</v>
      </c>
      <c r="P3" s="49"/>
      <c r="Q3" s="7">
        <f>SUM(P2,P355,P561,P751)</f>
        <v>1420.2</v>
      </c>
      <c r="R3" s="7">
        <f>SUM(P79,P167,P293,P442,P642,P870)</f>
        <v>2531.6499999999996</v>
      </c>
      <c r="S3" s="48">
        <f>49.8-I16</f>
        <v>20.599999999999998</v>
      </c>
      <c r="T3" s="7"/>
      <c r="U3" s="36">
        <v>1</v>
      </c>
      <c r="V3" s="7"/>
      <c r="W3" s="7" t="e">
        <f t="shared" ref="W3:W12" si="2">STDEV(V3)/SQRT(10)</f>
        <v>#DIV/0!</v>
      </c>
      <c r="X3" s="7"/>
      <c r="Y3" s="7" t="e">
        <f t="shared" si="0"/>
        <v>#DIV/0!</v>
      </c>
      <c r="Z3" s="7"/>
      <c r="AA3" s="7"/>
      <c r="AB3" s="7"/>
      <c r="AC3" s="7"/>
      <c r="AD3" s="7"/>
      <c r="AE3" s="7"/>
      <c r="AF3" s="7"/>
      <c r="AG3" s="7"/>
    </row>
    <row r="4" spans="1:33" ht="15.75" customHeight="1">
      <c r="A4" s="47"/>
      <c r="B4" s="5">
        <v>0</v>
      </c>
      <c r="C4" s="5">
        <v>0</v>
      </c>
      <c r="D4" s="9">
        <v>42996</v>
      </c>
      <c r="E4" s="10">
        <v>359.9</v>
      </c>
      <c r="F4" s="12">
        <f t="shared" ref="F4:F6" si="3">(E3-E4)/(D4-D3)</f>
        <v>6.0666666666666815</v>
      </c>
      <c r="G4" s="47">
        <f>COUNT(F3:F53)</f>
        <v>40</v>
      </c>
      <c r="H4" s="47"/>
      <c r="I4" s="13">
        <v>109.5</v>
      </c>
      <c r="J4" s="51">
        <f t="shared" si="1"/>
        <v>4.0666666666666673</v>
      </c>
      <c r="K4" s="13">
        <v>23.1</v>
      </c>
      <c r="L4" s="47"/>
      <c r="M4" s="47"/>
      <c r="N4" s="47"/>
      <c r="O4" s="46">
        <f>E13-E16</f>
        <v>47.599999999999966</v>
      </c>
      <c r="P4" s="49"/>
      <c r="Q4" s="7"/>
      <c r="R4" s="7"/>
      <c r="S4" s="51">
        <f>43.8-I18</f>
        <v>8.7999999999999972</v>
      </c>
      <c r="T4" s="7"/>
      <c r="U4" s="36">
        <v>2</v>
      </c>
      <c r="V4" s="7"/>
      <c r="W4" s="7" t="e">
        <f t="shared" si="2"/>
        <v>#DIV/0!</v>
      </c>
      <c r="X4" s="7"/>
      <c r="Y4" s="7" t="e">
        <f t="shared" si="0"/>
        <v>#DIV/0!</v>
      </c>
      <c r="Z4" s="7"/>
      <c r="AA4" s="7"/>
      <c r="AB4" s="7"/>
      <c r="AC4" s="7"/>
      <c r="AD4" s="7"/>
      <c r="AE4" s="7"/>
      <c r="AF4" s="7"/>
      <c r="AG4" s="7"/>
    </row>
    <row r="5" spans="1:33" ht="15.75" customHeight="1">
      <c r="A5" s="47"/>
      <c r="B5" s="5">
        <v>0</v>
      </c>
      <c r="C5" s="5">
        <v>0</v>
      </c>
      <c r="D5" s="9">
        <v>42998</v>
      </c>
      <c r="E5" s="10">
        <v>349.5</v>
      </c>
      <c r="F5" s="12">
        <f t="shared" si="3"/>
        <v>5.1999999999999886</v>
      </c>
      <c r="G5" s="47"/>
      <c r="H5" s="47"/>
      <c r="I5" s="13">
        <v>100.8</v>
      </c>
      <c r="J5" s="47">
        <f t="shared" si="1"/>
        <v>4.3500000000000014</v>
      </c>
      <c r="K5" s="13">
        <v>22.7</v>
      </c>
      <c r="L5" s="47"/>
      <c r="M5" s="47"/>
      <c r="N5" s="47"/>
      <c r="O5" s="46">
        <f>E17-E20</f>
        <v>44</v>
      </c>
      <c r="P5" s="49"/>
      <c r="Q5" s="7"/>
      <c r="R5" s="7"/>
      <c r="S5" s="48">
        <f>49.1-I19</f>
        <v>12</v>
      </c>
      <c r="T5" s="7"/>
      <c r="U5" s="36">
        <v>3</v>
      </c>
      <c r="V5" s="7"/>
      <c r="W5" s="7" t="e">
        <f t="shared" si="2"/>
        <v>#DIV/0!</v>
      </c>
      <c r="X5" s="7"/>
      <c r="Y5" s="7" t="e">
        <f t="shared" si="0"/>
        <v>#DIV/0!</v>
      </c>
      <c r="Z5" s="7"/>
      <c r="AA5" s="7"/>
      <c r="AB5" s="7"/>
      <c r="AC5" s="7"/>
      <c r="AD5" s="7"/>
      <c r="AE5" s="7"/>
      <c r="AF5" s="7"/>
      <c r="AG5" s="7"/>
    </row>
    <row r="6" spans="1:33" ht="15.75" customHeight="1">
      <c r="A6" s="47"/>
      <c r="B6" s="5">
        <v>0.5</v>
      </c>
      <c r="C6" s="5">
        <v>0</v>
      </c>
      <c r="D6" s="9">
        <v>42999</v>
      </c>
      <c r="E6" s="10">
        <v>339.3</v>
      </c>
      <c r="F6" s="12">
        <f t="shared" si="3"/>
        <v>10.199999999999989</v>
      </c>
      <c r="G6" s="47"/>
      <c r="H6" s="47"/>
      <c r="I6" s="13">
        <v>96.9</v>
      </c>
      <c r="J6" s="47">
        <f t="shared" si="1"/>
        <v>3.8999999999999915</v>
      </c>
      <c r="K6" s="13">
        <v>23.2</v>
      </c>
      <c r="L6" s="47"/>
      <c r="M6" s="47"/>
      <c r="N6" s="47"/>
      <c r="O6" s="46">
        <f>E21-E24</f>
        <v>49.100000000000023</v>
      </c>
      <c r="P6" s="49"/>
      <c r="Q6" s="7"/>
      <c r="R6" s="7"/>
      <c r="S6" s="48">
        <f>I20-I23</f>
        <v>29</v>
      </c>
      <c r="T6" s="7"/>
      <c r="U6" s="36">
        <v>4</v>
      </c>
      <c r="V6" s="7"/>
      <c r="W6" s="7" t="e">
        <f t="shared" si="2"/>
        <v>#DIV/0!</v>
      </c>
      <c r="X6" s="7"/>
      <c r="Y6" s="7" t="e">
        <f t="shared" si="0"/>
        <v>#DIV/0!</v>
      </c>
      <c r="Z6" s="7"/>
      <c r="AA6" s="7"/>
      <c r="AB6" s="7"/>
      <c r="AC6" s="7"/>
      <c r="AD6" s="7"/>
      <c r="AE6" s="7"/>
      <c r="AF6" s="7"/>
      <c r="AG6" s="7"/>
    </row>
    <row r="7" spans="1:33" ht="15.75" customHeight="1">
      <c r="A7" s="47"/>
      <c r="B7" s="5">
        <v>0.5</v>
      </c>
      <c r="C7" s="5">
        <f t="shared" ref="C7:C8" si="4">D7-$D6</f>
        <v>1</v>
      </c>
      <c r="D7" s="9">
        <v>43000</v>
      </c>
      <c r="E7" s="10">
        <v>355.3</v>
      </c>
      <c r="F7" s="12">
        <f>(363.7-E7)/(D7-D6)</f>
        <v>8.3999999999999773</v>
      </c>
      <c r="G7" s="47"/>
      <c r="H7" s="47"/>
      <c r="I7" s="13">
        <v>92.4</v>
      </c>
      <c r="J7" s="47">
        <f t="shared" si="1"/>
        <v>4.5</v>
      </c>
      <c r="K7" s="13">
        <v>22.8</v>
      </c>
      <c r="L7" s="47"/>
      <c r="M7" s="47"/>
      <c r="N7" s="47"/>
      <c r="O7" s="46">
        <f>E25-E28</f>
        <v>41</v>
      </c>
      <c r="P7" s="49"/>
      <c r="Q7" s="7"/>
      <c r="R7" s="7"/>
      <c r="S7" s="48">
        <f>83.6-I31</f>
        <v>53.199999999999996</v>
      </c>
      <c r="T7" s="7"/>
      <c r="U7" s="36">
        <v>5</v>
      </c>
      <c r="V7" s="7"/>
      <c r="W7" s="7" t="e">
        <f t="shared" si="2"/>
        <v>#DIV/0!</v>
      </c>
      <c r="X7" s="7"/>
      <c r="Y7" s="7" t="e">
        <f t="shared" si="0"/>
        <v>#DIV/0!</v>
      </c>
      <c r="Z7" s="7"/>
      <c r="AA7" s="7"/>
      <c r="AB7" s="7"/>
      <c r="AC7" s="7"/>
      <c r="AD7" s="7"/>
      <c r="AE7" s="7"/>
      <c r="AF7" s="7"/>
      <c r="AG7" s="7"/>
    </row>
    <row r="8" spans="1:33" ht="15.75" customHeight="1">
      <c r="A8" s="47"/>
      <c r="B8" s="5">
        <v>0.5</v>
      </c>
      <c r="C8" s="5">
        <f t="shared" si="4"/>
        <v>3</v>
      </c>
      <c r="D8" s="9">
        <v>43003</v>
      </c>
      <c r="E8" s="10">
        <v>335.6</v>
      </c>
      <c r="F8" s="12">
        <f t="shared" ref="F8:F12" si="5">(E7-E8)/(D8-D7)</f>
        <v>6.5666666666666629</v>
      </c>
      <c r="G8" s="47"/>
      <c r="H8" s="47"/>
      <c r="I8" s="13">
        <v>79.3</v>
      </c>
      <c r="J8" s="51">
        <f t="shared" si="1"/>
        <v>4.3666666666666698</v>
      </c>
      <c r="K8" s="13">
        <v>23.2</v>
      </c>
      <c r="L8" s="47"/>
      <c r="M8" s="47"/>
      <c r="N8" s="47"/>
      <c r="O8" s="46">
        <f>E29-E32</f>
        <v>47.099999999999966</v>
      </c>
      <c r="P8" s="49"/>
      <c r="Q8" s="7"/>
      <c r="R8" s="7"/>
      <c r="S8" s="51">
        <f>86.2-I39</f>
        <v>54.300000000000004</v>
      </c>
      <c r="T8" s="7"/>
      <c r="U8" s="36">
        <v>6</v>
      </c>
      <c r="V8" s="7"/>
      <c r="W8" s="7" t="e">
        <f t="shared" si="2"/>
        <v>#DIV/0!</v>
      </c>
      <c r="X8" s="7"/>
      <c r="Y8" s="7" t="e">
        <f t="shared" si="0"/>
        <v>#DIV/0!</v>
      </c>
      <c r="Z8" s="7"/>
      <c r="AA8" s="7"/>
      <c r="AB8" s="7"/>
      <c r="AC8" s="7"/>
      <c r="AD8" s="7"/>
      <c r="AE8" s="7"/>
      <c r="AF8" s="7"/>
      <c r="AG8" s="7"/>
    </row>
    <row r="9" spans="1:33" ht="15.75" customHeight="1">
      <c r="A9" s="47"/>
      <c r="B9" s="5">
        <v>1</v>
      </c>
      <c r="C9" s="5">
        <f>D9-$D6</f>
        <v>6</v>
      </c>
      <c r="D9" s="9">
        <v>43005</v>
      </c>
      <c r="E9" s="10">
        <v>324</v>
      </c>
      <c r="F9" s="12">
        <f t="shared" si="5"/>
        <v>5.8000000000000114</v>
      </c>
      <c r="G9" s="47"/>
      <c r="H9" s="47"/>
      <c r="I9" s="13">
        <v>71.5</v>
      </c>
      <c r="J9" s="47">
        <f t="shared" si="1"/>
        <v>3.8999999999999986</v>
      </c>
      <c r="K9" s="18">
        <v>23.5</v>
      </c>
      <c r="L9" s="47"/>
      <c r="M9" s="47"/>
      <c r="N9" s="47"/>
      <c r="O9" s="46">
        <f>E33-E36</f>
        <v>40.5</v>
      </c>
      <c r="P9" s="49"/>
      <c r="Q9" s="7"/>
      <c r="R9" s="7"/>
      <c r="S9" s="48">
        <f>103.9-I49</f>
        <v>62.800000000000004</v>
      </c>
      <c r="T9" s="7"/>
      <c r="U9" s="36">
        <v>7</v>
      </c>
      <c r="V9" s="7"/>
      <c r="W9" s="7" t="e">
        <f t="shared" si="2"/>
        <v>#DIV/0!</v>
      </c>
      <c r="X9" s="7"/>
      <c r="Y9" s="7" t="e">
        <f t="shared" si="0"/>
        <v>#DIV/0!</v>
      </c>
      <c r="Z9" s="7"/>
      <c r="AA9" s="7"/>
      <c r="AB9" s="7"/>
      <c r="AC9" s="7"/>
      <c r="AD9" s="7"/>
      <c r="AE9" s="7"/>
      <c r="AF9" s="7"/>
      <c r="AG9" s="7"/>
    </row>
    <row r="10" spans="1:33" ht="15.75" customHeight="1">
      <c r="A10" s="47"/>
      <c r="B10" s="5">
        <v>1</v>
      </c>
      <c r="C10" s="5">
        <f>D10-D6</f>
        <v>8</v>
      </c>
      <c r="D10" s="17">
        <v>43007</v>
      </c>
      <c r="E10" s="10">
        <v>308.89999999999998</v>
      </c>
      <c r="F10" s="12">
        <f t="shared" si="5"/>
        <v>7.5500000000000114</v>
      </c>
      <c r="G10" s="47"/>
      <c r="H10" s="47"/>
      <c r="I10" s="13">
        <v>62.9</v>
      </c>
      <c r="J10" s="47">
        <f t="shared" si="1"/>
        <v>4.3000000000000007</v>
      </c>
      <c r="K10" s="13">
        <v>23.8</v>
      </c>
      <c r="L10" s="47"/>
      <c r="M10" s="47"/>
      <c r="N10" s="47"/>
      <c r="O10" s="46">
        <f>E40-E45</f>
        <v>55.5</v>
      </c>
      <c r="P10" s="49"/>
      <c r="Q10" s="7"/>
      <c r="R10" s="7"/>
      <c r="S10" s="48">
        <f>I51-I53</f>
        <v>19.099999999999994</v>
      </c>
      <c r="T10" s="7"/>
      <c r="U10" s="36">
        <v>8</v>
      </c>
      <c r="V10" s="7"/>
      <c r="W10" s="7" t="e">
        <f t="shared" si="2"/>
        <v>#DIV/0!</v>
      </c>
      <c r="X10" s="7"/>
      <c r="Y10" s="7" t="e">
        <f t="shared" si="0"/>
        <v>#DIV/0!</v>
      </c>
      <c r="Z10" s="7"/>
      <c r="AA10" s="7"/>
      <c r="AB10" s="7"/>
      <c r="AC10" s="7"/>
      <c r="AD10" s="7"/>
      <c r="AE10" s="7"/>
      <c r="AF10" s="7"/>
      <c r="AG10" s="7"/>
    </row>
    <row r="11" spans="1:33" ht="15.75" customHeight="1">
      <c r="A11" s="47"/>
      <c r="B11" s="5">
        <v>1</v>
      </c>
      <c r="C11" s="5">
        <f>D11-D6</f>
        <v>11</v>
      </c>
      <c r="D11" s="19">
        <v>43010</v>
      </c>
      <c r="E11" s="11">
        <v>286.5</v>
      </c>
      <c r="F11" s="12">
        <f t="shared" si="5"/>
        <v>7.4666666666666588</v>
      </c>
      <c r="G11" s="47"/>
      <c r="H11" s="47"/>
      <c r="I11" s="13">
        <v>50.6</v>
      </c>
      <c r="J11" s="16">
        <f t="shared" si="1"/>
        <v>4.0999999999999988</v>
      </c>
      <c r="K11" s="13">
        <v>23.7</v>
      </c>
      <c r="L11" s="47"/>
      <c r="M11" s="47"/>
      <c r="N11" s="47"/>
      <c r="O11" s="46">
        <f>E46-E49</f>
        <v>45.599999999999966</v>
      </c>
      <c r="P11" s="49"/>
      <c r="Q11" s="7"/>
      <c r="R11" s="7"/>
      <c r="S11" s="7"/>
      <c r="T11" s="7"/>
      <c r="U11" s="36">
        <v>9</v>
      </c>
      <c r="V11" s="7"/>
      <c r="W11" s="7" t="e">
        <f t="shared" si="2"/>
        <v>#DIV/0!</v>
      </c>
      <c r="X11" s="7"/>
      <c r="Y11" s="7" t="e">
        <f t="shared" si="0"/>
        <v>#DIV/0!</v>
      </c>
      <c r="Z11" s="7"/>
      <c r="AA11" s="7"/>
      <c r="AB11" s="7"/>
      <c r="AC11" s="7"/>
      <c r="AD11" s="7"/>
      <c r="AE11" s="7"/>
      <c r="AF11" s="7"/>
      <c r="AG11" s="7"/>
    </row>
    <row r="12" spans="1:33" ht="15.75" customHeight="1">
      <c r="A12" s="47"/>
      <c r="B12" s="5">
        <v>1</v>
      </c>
      <c r="C12" s="5">
        <f>D12-D6</f>
        <v>13</v>
      </c>
      <c r="D12" s="19">
        <v>43012</v>
      </c>
      <c r="E12" s="11">
        <v>266.89999999999998</v>
      </c>
      <c r="F12" s="12">
        <f t="shared" si="5"/>
        <v>9.8000000000000114</v>
      </c>
      <c r="G12" s="47"/>
      <c r="H12" s="47"/>
      <c r="I12" s="13">
        <v>42.3</v>
      </c>
      <c r="J12" s="47">
        <f t="shared" si="1"/>
        <v>4.1500000000000021</v>
      </c>
      <c r="K12" s="13">
        <v>24.1</v>
      </c>
      <c r="L12" s="47"/>
      <c r="M12" s="47"/>
      <c r="N12" s="47"/>
      <c r="O12" s="46">
        <f>E50-E53</f>
        <v>44.800000000000011</v>
      </c>
      <c r="P12" s="49"/>
      <c r="Q12" s="7"/>
      <c r="R12" s="7"/>
      <c r="S12" s="7"/>
      <c r="T12" s="7"/>
      <c r="U12" s="36">
        <v>10</v>
      </c>
      <c r="V12" s="7"/>
      <c r="W12" s="7" t="e">
        <f t="shared" si="2"/>
        <v>#DIV/0!</v>
      </c>
      <c r="X12" s="7"/>
      <c r="Y12" s="7" t="e">
        <f t="shared" si="0"/>
        <v>#DIV/0!</v>
      </c>
      <c r="Z12" s="7"/>
      <c r="AA12" s="7"/>
      <c r="AB12" s="7"/>
      <c r="AC12" s="7"/>
      <c r="AD12" s="7"/>
      <c r="AE12" s="7"/>
      <c r="AF12" s="7"/>
      <c r="AG12" s="7"/>
    </row>
    <row r="13" spans="1:33" ht="15.75" customHeight="1">
      <c r="A13" s="47"/>
      <c r="B13" s="5">
        <v>2</v>
      </c>
      <c r="C13" s="5">
        <f>D13-D6</f>
        <v>14</v>
      </c>
      <c r="D13" s="19">
        <v>43013</v>
      </c>
      <c r="E13" s="12">
        <v>379.4</v>
      </c>
      <c r="F13" s="12"/>
      <c r="G13" s="47"/>
      <c r="H13" s="47"/>
      <c r="I13" s="15" t="s">
        <v>24</v>
      </c>
      <c r="J13" s="47"/>
      <c r="K13" s="15"/>
      <c r="L13" s="47"/>
      <c r="M13" s="47"/>
      <c r="N13" s="47"/>
      <c r="O13" s="47"/>
      <c r="P13" s="49"/>
      <c r="Q13" s="7"/>
      <c r="R13" s="7"/>
      <c r="S13" s="36" t="s">
        <v>43</v>
      </c>
      <c r="T13" s="7">
        <f>AVERAGE(T2,T79,T167,T293,T355,T442,T561,T642,T751,T870)</f>
        <v>857.58400000000006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ht="15.75" customHeight="1">
      <c r="A14" s="47"/>
      <c r="B14" s="5">
        <v>2</v>
      </c>
      <c r="C14" s="5">
        <f>D14-$D6</f>
        <v>15</v>
      </c>
      <c r="D14" s="19">
        <v>43014</v>
      </c>
      <c r="E14" s="11">
        <v>369.3</v>
      </c>
      <c r="F14" s="12">
        <f t="shared" ref="F14:F16" si="6">(E13-E14)/(D14-D13)</f>
        <v>10.099999999999966</v>
      </c>
      <c r="G14" s="47"/>
      <c r="H14" s="47"/>
      <c r="I14" s="13">
        <v>34</v>
      </c>
      <c r="J14" s="47">
        <f t="shared" ref="J14:J15" si="7">(49.8-I14)/(D14-D13)</f>
        <v>15.799999999999997</v>
      </c>
      <c r="K14" s="13">
        <v>24.3</v>
      </c>
      <c r="L14" s="47"/>
      <c r="M14" s="47"/>
      <c r="N14" s="47"/>
      <c r="O14" s="47"/>
      <c r="P14" s="49"/>
      <c r="Q14" s="7"/>
      <c r="R14" s="7"/>
      <c r="S14" s="36" t="s">
        <v>44</v>
      </c>
      <c r="T14" s="7">
        <f>STDEV(T2,T79,T167,T293,T355,T442,T561,T642,T751,T870)/SQRT(10)</f>
        <v>45.268780122483719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 customHeight="1">
      <c r="A15" s="47"/>
      <c r="B15" s="5">
        <v>2</v>
      </c>
      <c r="C15" s="5">
        <f t="shared" ref="C15:C58" si="8">D15-$D$6</f>
        <v>18</v>
      </c>
      <c r="D15" s="19">
        <v>43017</v>
      </c>
      <c r="E15" s="11">
        <v>347.7</v>
      </c>
      <c r="F15" s="12">
        <f t="shared" si="6"/>
        <v>7.2000000000000073</v>
      </c>
      <c r="G15" s="47"/>
      <c r="H15" s="47"/>
      <c r="I15" s="13">
        <v>37.229999999999997</v>
      </c>
      <c r="J15" s="47">
        <f t="shared" si="7"/>
        <v>4.1900000000000004</v>
      </c>
      <c r="K15" s="13">
        <v>24.7</v>
      </c>
      <c r="L15" s="47"/>
      <c r="M15" s="47"/>
      <c r="N15" s="47"/>
      <c r="O15" s="47"/>
      <c r="P15" s="4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5.75" customHeight="1">
      <c r="A16" s="47"/>
      <c r="B16" s="5">
        <v>2</v>
      </c>
      <c r="C16" s="5">
        <f t="shared" si="8"/>
        <v>20</v>
      </c>
      <c r="D16" s="19">
        <v>43019</v>
      </c>
      <c r="E16" s="11">
        <v>331.8</v>
      </c>
      <c r="F16" s="12">
        <f t="shared" si="6"/>
        <v>7.9499999999999886</v>
      </c>
      <c r="G16" s="47"/>
      <c r="H16" s="47"/>
      <c r="I16" s="13">
        <v>29.2</v>
      </c>
      <c r="J16" s="51">
        <f>(I15-I16)/(D16-D15)</f>
        <v>4.0149999999999988</v>
      </c>
      <c r="K16" s="13">
        <v>24.3</v>
      </c>
      <c r="L16" s="47"/>
      <c r="M16" s="47"/>
      <c r="N16" s="47"/>
      <c r="O16" s="47"/>
      <c r="P16" s="4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15.75" customHeight="1">
      <c r="A17" s="47"/>
      <c r="B17" s="5">
        <v>3</v>
      </c>
      <c r="C17" s="5">
        <f t="shared" si="8"/>
        <v>21</v>
      </c>
      <c r="D17" s="19">
        <v>43020</v>
      </c>
      <c r="E17" s="11">
        <v>376.8</v>
      </c>
      <c r="F17" s="12"/>
      <c r="G17" s="47"/>
      <c r="H17" s="47"/>
      <c r="I17" s="15"/>
      <c r="J17" s="47"/>
      <c r="K17" s="15"/>
      <c r="L17" s="47"/>
      <c r="M17" s="47"/>
      <c r="N17" s="47"/>
      <c r="O17" s="47"/>
      <c r="P17" s="4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5.75" customHeight="1">
      <c r="A18" s="47"/>
      <c r="B18" s="5">
        <v>3</v>
      </c>
      <c r="C18" s="5">
        <f t="shared" si="8"/>
        <v>22</v>
      </c>
      <c r="D18" s="19">
        <f>D16+2</f>
        <v>43021</v>
      </c>
      <c r="E18" s="11">
        <v>368.4</v>
      </c>
      <c r="F18" s="12">
        <f t="shared" ref="F18:F20" si="9">(E17-E18)/(D18-D17)</f>
        <v>8.4000000000000341</v>
      </c>
      <c r="G18" s="47"/>
      <c r="H18" s="47"/>
      <c r="I18" s="13">
        <v>35</v>
      </c>
      <c r="J18" s="47">
        <f>(43.8-I18)/(D18-D16)</f>
        <v>4.3999999999999986</v>
      </c>
      <c r="K18" s="13">
        <v>24.6</v>
      </c>
      <c r="L18" s="47"/>
      <c r="M18" s="47"/>
      <c r="N18" s="47"/>
      <c r="O18" s="47"/>
      <c r="P18" s="4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15.75" customHeight="1">
      <c r="A19" s="47"/>
      <c r="B19" s="5">
        <v>3</v>
      </c>
      <c r="C19" s="5">
        <f t="shared" si="8"/>
        <v>25</v>
      </c>
      <c r="D19" s="19">
        <f>D18+3</f>
        <v>43024</v>
      </c>
      <c r="E19" s="11">
        <v>348.4</v>
      </c>
      <c r="F19" s="12">
        <f t="shared" si="9"/>
        <v>6.666666666666667</v>
      </c>
      <c r="G19" s="47"/>
      <c r="H19" s="47"/>
      <c r="I19" s="18">
        <v>37.1</v>
      </c>
      <c r="J19" s="47">
        <f>(49.1-37.1)/(D19-D18)</f>
        <v>4</v>
      </c>
      <c r="K19" s="18">
        <v>24.6</v>
      </c>
      <c r="L19" s="47"/>
      <c r="M19" s="47"/>
      <c r="N19" s="47"/>
      <c r="O19" s="47"/>
      <c r="P19" s="4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ht="15.75" customHeight="1">
      <c r="A20" s="47"/>
      <c r="B20" s="5">
        <v>3</v>
      </c>
      <c r="C20" s="5">
        <f t="shared" si="8"/>
        <v>27</v>
      </c>
      <c r="D20" s="19">
        <f>D19+2</f>
        <v>43026</v>
      </c>
      <c r="E20" s="11">
        <v>332.8</v>
      </c>
      <c r="F20" s="12">
        <f t="shared" si="9"/>
        <v>7.7999999999999829</v>
      </c>
      <c r="G20" s="47"/>
      <c r="H20" s="47"/>
      <c r="I20" s="18">
        <v>68.3</v>
      </c>
      <c r="J20" s="47">
        <f>(78.9-68.3)/(D20-D19)</f>
        <v>5.3000000000000043</v>
      </c>
      <c r="K20" s="18">
        <v>24.9</v>
      </c>
      <c r="L20" s="47"/>
      <c r="M20" s="47"/>
      <c r="N20" s="47"/>
      <c r="O20" s="47"/>
      <c r="P20" s="4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5.75" customHeight="1">
      <c r="A21" s="47"/>
      <c r="B21" s="5">
        <v>4</v>
      </c>
      <c r="C21" s="5">
        <f t="shared" si="8"/>
        <v>28</v>
      </c>
      <c r="D21" s="20">
        <v>43027</v>
      </c>
      <c r="E21" s="11">
        <v>397</v>
      </c>
      <c r="F21" s="12"/>
      <c r="G21" s="47"/>
      <c r="H21" s="47"/>
      <c r="I21" s="48"/>
      <c r="L21" s="47"/>
      <c r="M21" s="47"/>
      <c r="N21" s="47"/>
      <c r="O21" s="47"/>
      <c r="P21" s="4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5.75" customHeight="1">
      <c r="A22" s="47"/>
      <c r="B22" s="5">
        <v>4</v>
      </c>
      <c r="C22" s="5">
        <f t="shared" si="8"/>
        <v>29</v>
      </c>
      <c r="D22" s="19">
        <f>D20+2</f>
        <v>43028</v>
      </c>
      <c r="E22" s="11">
        <v>386</v>
      </c>
      <c r="F22" s="12">
        <f t="shared" ref="F22:F24" si="10">(E21-E22)/(D22-D21)</f>
        <v>11</v>
      </c>
      <c r="G22" s="47"/>
      <c r="H22" s="47"/>
      <c r="I22" s="18">
        <v>57.6</v>
      </c>
      <c r="J22" s="47">
        <f>(68.3-57.6)/(D22-D20)</f>
        <v>5.3499999999999979</v>
      </c>
      <c r="K22" s="18">
        <v>25.2</v>
      </c>
      <c r="L22" s="47"/>
      <c r="M22" s="47"/>
      <c r="N22" s="47"/>
      <c r="O22" s="47"/>
      <c r="P22" s="49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5.75" customHeight="1">
      <c r="A23" s="47"/>
      <c r="B23" s="5">
        <v>4</v>
      </c>
      <c r="C23" s="5">
        <f t="shared" si="8"/>
        <v>32</v>
      </c>
      <c r="D23" s="19">
        <v>43031</v>
      </c>
      <c r="E23" s="11">
        <v>365.4</v>
      </c>
      <c r="F23" s="12">
        <f t="shared" si="10"/>
        <v>6.8666666666666742</v>
      </c>
      <c r="G23" s="47"/>
      <c r="H23" s="47"/>
      <c r="I23" s="18">
        <v>39.299999999999997</v>
      </c>
      <c r="J23" s="47">
        <f>(I22-I23)/(D23-D22)</f>
        <v>6.1000000000000014</v>
      </c>
      <c r="K23" s="18">
        <v>25.3</v>
      </c>
      <c r="L23" s="47"/>
      <c r="M23" s="47"/>
      <c r="N23" s="47"/>
      <c r="O23" s="47"/>
      <c r="P23" s="4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5.75" customHeight="1">
      <c r="A24" s="47"/>
      <c r="B24" s="5">
        <v>4</v>
      </c>
      <c r="C24" s="5">
        <f t="shared" si="8"/>
        <v>34</v>
      </c>
      <c r="D24" s="19">
        <v>43033</v>
      </c>
      <c r="E24" s="11">
        <v>347.9</v>
      </c>
      <c r="F24" s="12">
        <f t="shared" si="10"/>
        <v>8.75</v>
      </c>
      <c r="G24" s="47"/>
      <c r="H24" s="47"/>
      <c r="I24" s="18">
        <v>75.3</v>
      </c>
      <c r="J24" s="47">
        <f>(83.6-I24)/(D24-D23)</f>
        <v>4.1499999999999986</v>
      </c>
      <c r="K24" s="18">
        <v>24.9</v>
      </c>
      <c r="L24" s="47"/>
      <c r="M24" s="47"/>
      <c r="N24" s="47"/>
      <c r="O24" s="47"/>
      <c r="P24" s="4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5.75" customHeight="1">
      <c r="A25" s="47"/>
      <c r="B25" s="5">
        <v>5</v>
      </c>
      <c r="C25" s="5">
        <f t="shared" si="8"/>
        <v>35</v>
      </c>
      <c r="D25" s="20">
        <v>43034</v>
      </c>
      <c r="E25" s="11">
        <v>362.4</v>
      </c>
      <c r="F25" s="12"/>
      <c r="G25" s="47"/>
      <c r="H25" s="47"/>
      <c r="I25" s="18"/>
      <c r="J25" s="47"/>
      <c r="K25" s="48"/>
      <c r="L25" s="47"/>
      <c r="M25" s="47"/>
      <c r="N25" s="47"/>
      <c r="O25" s="47"/>
      <c r="P25" s="49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5.75" customHeight="1">
      <c r="A26" s="47"/>
      <c r="B26" s="5">
        <v>5</v>
      </c>
      <c r="C26" s="5">
        <f t="shared" si="8"/>
        <v>36</v>
      </c>
      <c r="D26" s="19">
        <v>43035</v>
      </c>
      <c r="E26" s="11">
        <v>354.7</v>
      </c>
      <c r="F26" s="12">
        <f t="shared" ref="F26:F28" si="11">(E25-E26)/(D26-D25)</f>
        <v>7.6999999999999886</v>
      </c>
      <c r="G26" s="47"/>
      <c r="H26" s="47"/>
      <c r="I26" s="18">
        <v>67.8</v>
      </c>
      <c r="J26" s="47">
        <f>(I24-I26)/(D26-D24)</f>
        <v>3.75</v>
      </c>
      <c r="K26" s="18">
        <v>24.6</v>
      </c>
      <c r="L26" s="47"/>
      <c r="M26" s="47"/>
      <c r="N26" s="47"/>
      <c r="O26" s="47"/>
      <c r="P26" s="49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15.75" customHeight="1">
      <c r="A27" s="47"/>
      <c r="B27" s="5">
        <v>5</v>
      </c>
      <c r="C27" s="5">
        <f t="shared" si="8"/>
        <v>39</v>
      </c>
      <c r="D27" s="19">
        <v>43038</v>
      </c>
      <c r="E27" s="11">
        <v>335.2</v>
      </c>
      <c r="F27" s="12">
        <f t="shared" si="11"/>
        <v>6.5</v>
      </c>
      <c r="G27" s="47"/>
      <c r="H27" s="47"/>
      <c r="I27" s="18">
        <v>56.6</v>
      </c>
      <c r="J27" s="51">
        <f t="shared" ref="J27:J28" si="12">(I26-I27)/(D27-D26)</f>
        <v>3.7333333333333321</v>
      </c>
      <c r="K27" s="18">
        <v>24.7</v>
      </c>
      <c r="L27" s="47"/>
      <c r="M27" s="47"/>
      <c r="N27" s="47"/>
      <c r="O27" s="47"/>
      <c r="P27" s="4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5.75" customHeight="1">
      <c r="A28" s="47"/>
      <c r="B28" s="5">
        <v>5</v>
      </c>
      <c r="C28" s="5">
        <f t="shared" si="8"/>
        <v>41</v>
      </c>
      <c r="D28" s="19">
        <v>43040</v>
      </c>
      <c r="E28" s="11">
        <v>321.39999999999998</v>
      </c>
      <c r="F28" s="12">
        <f t="shared" si="11"/>
        <v>6.9000000000000057</v>
      </c>
      <c r="G28" s="47"/>
      <c r="H28" s="47"/>
      <c r="I28" s="18">
        <v>48</v>
      </c>
      <c r="J28" s="51">
        <f t="shared" si="12"/>
        <v>4.3000000000000007</v>
      </c>
      <c r="K28" s="18">
        <v>25.1</v>
      </c>
      <c r="L28" s="47"/>
      <c r="M28" s="47"/>
      <c r="N28" s="47"/>
      <c r="O28" s="47"/>
      <c r="P28" s="4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ht="15.75" customHeight="1">
      <c r="A29" s="47"/>
      <c r="B29" s="5">
        <v>6</v>
      </c>
      <c r="C29" s="5">
        <f t="shared" si="8"/>
        <v>42</v>
      </c>
      <c r="D29" s="20">
        <v>43041</v>
      </c>
      <c r="E29" s="11">
        <v>366.2</v>
      </c>
      <c r="F29" s="12"/>
      <c r="G29" s="47"/>
      <c r="H29" s="47"/>
      <c r="I29" s="48"/>
      <c r="J29" s="47"/>
      <c r="K29" s="48"/>
      <c r="L29" s="47"/>
      <c r="M29" s="47"/>
      <c r="N29" s="47"/>
      <c r="O29" s="47"/>
      <c r="P29" s="4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ht="15.75" customHeight="1">
      <c r="A30" s="47"/>
      <c r="B30" s="5">
        <v>6</v>
      </c>
      <c r="C30" s="5">
        <f t="shared" si="8"/>
        <v>43</v>
      </c>
      <c r="D30" s="19">
        <v>43042</v>
      </c>
      <c r="E30" s="11">
        <v>359.2</v>
      </c>
      <c r="F30" s="12">
        <f t="shared" ref="F30:F32" si="13">(E29-E30)/(D30-D29)</f>
        <v>7</v>
      </c>
      <c r="G30" s="47"/>
      <c r="H30" s="47"/>
      <c r="I30" s="18">
        <v>41.6</v>
      </c>
      <c r="J30" s="47">
        <f>(I28-I30)/(D30-D28)</f>
        <v>3.1999999999999993</v>
      </c>
      <c r="K30" s="18">
        <v>24.9</v>
      </c>
      <c r="L30" s="47"/>
      <c r="M30" s="47"/>
      <c r="N30" s="47"/>
      <c r="O30" s="47"/>
      <c r="P30" s="4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ht="15.75" customHeight="1">
      <c r="A31" s="47"/>
      <c r="B31" s="5">
        <v>6</v>
      </c>
      <c r="C31" s="5">
        <f t="shared" si="8"/>
        <v>46</v>
      </c>
      <c r="D31" s="19">
        <v>43045</v>
      </c>
      <c r="E31" s="11">
        <v>336.9</v>
      </c>
      <c r="F31" s="12">
        <f t="shared" si="13"/>
        <v>7.4333333333333371</v>
      </c>
      <c r="G31" s="47"/>
      <c r="H31" s="47"/>
      <c r="I31" s="18">
        <v>30.4</v>
      </c>
      <c r="J31" s="51">
        <f>(I30-I31)/(D31-D30)</f>
        <v>3.7333333333333343</v>
      </c>
      <c r="K31" s="18">
        <v>23.8</v>
      </c>
      <c r="L31" s="47"/>
      <c r="M31" s="47"/>
      <c r="N31" s="47"/>
      <c r="O31" s="47"/>
      <c r="P31" s="4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ht="15.75" customHeight="1">
      <c r="A32" s="47"/>
      <c r="B32" s="5">
        <v>6</v>
      </c>
      <c r="C32" s="5">
        <f t="shared" si="8"/>
        <v>48</v>
      </c>
      <c r="D32" s="19">
        <v>43047</v>
      </c>
      <c r="E32" s="11">
        <v>319.10000000000002</v>
      </c>
      <c r="F32" s="12">
        <f t="shared" si="13"/>
        <v>8.8999999999999773</v>
      </c>
      <c r="G32" s="47"/>
      <c r="H32" s="47"/>
      <c r="I32" s="18">
        <v>74.400000000000006</v>
      </c>
      <c r="J32" s="47">
        <f>(86.2-I32)/(D32-D31)</f>
        <v>5.8999999999999986</v>
      </c>
      <c r="K32" s="18">
        <v>25.1</v>
      </c>
      <c r="L32" s="47"/>
      <c r="M32" s="47"/>
      <c r="N32" s="47"/>
      <c r="O32" s="47"/>
      <c r="P32" s="4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ht="15.75" customHeight="1">
      <c r="A33" s="47"/>
      <c r="B33" s="5">
        <v>7</v>
      </c>
      <c r="C33" s="5">
        <f t="shared" si="8"/>
        <v>49</v>
      </c>
      <c r="D33" s="20">
        <v>43048</v>
      </c>
      <c r="E33" s="11">
        <v>376.9</v>
      </c>
      <c r="F33" s="12"/>
      <c r="G33" s="47"/>
      <c r="H33" s="47"/>
      <c r="I33" s="48"/>
      <c r="J33" s="47"/>
      <c r="K33" s="48"/>
      <c r="L33" s="47"/>
      <c r="M33" s="47"/>
      <c r="N33" s="47"/>
      <c r="O33" s="47"/>
      <c r="P33" s="49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ht="15.75" customHeight="1">
      <c r="A34" s="47"/>
      <c r="B34" s="5">
        <v>7</v>
      </c>
      <c r="C34" s="5">
        <f t="shared" si="8"/>
        <v>50</v>
      </c>
      <c r="D34" s="19">
        <v>43049</v>
      </c>
      <c r="E34" s="11">
        <v>368.2</v>
      </c>
      <c r="F34" s="12">
        <f t="shared" ref="F34:F36" si="14">(E33-E34)/(D34-D33)</f>
        <v>8.6999999999999886</v>
      </c>
      <c r="G34" s="47"/>
      <c r="H34" s="47"/>
      <c r="I34" s="18">
        <v>66.7</v>
      </c>
      <c r="J34" s="47">
        <f>(I32-I34)/(D34-D32)</f>
        <v>3.8500000000000014</v>
      </c>
      <c r="K34" s="18">
        <v>25.3</v>
      </c>
      <c r="L34" s="47"/>
      <c r="M34" s="47"/>
      <c r="N34" s="47"/>
      <c r="O34" s="47"/>
      <c r="P34" s="4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ht="15.75" customHeight="1">
      <c r="A35" s="47"/>
      <c r="B35" s="5">
        <v>7</v>
      </c>
      <c r="C35" s="5">
        <f t="shared" si="8"/>
        <v>53</v>
      </c>
      <c r="D35" s="19">
        <v>43052</v>
      </c>
      <c r="E35" s="11">
        <v>347.8</v>
      </c>
      <c r="F35" s="12">
        <f t="shared" si="14"/>
        <v>6.7999999999999927</v>
      </c>
      <c r="G35" s="47"/>
      <c r="H35" s="47"/>
      <c r="I35" s="18">
        <v>55.8</v>
      </c>
      <c r="J35" s="51">
        <f t="shared" ref="J35:J36" si="15">(I34-I35)/(D35-D34)</f>
        <v>3.6333333333333351</v>
      </c>
      <c r="K35" s="18">
        <v>25.4</v>
      </c>
      <c r="L35" s="47"/>
      <c r="M35" s="47"/>
      <c r="N35" s="47"/>
      <c r="O35" s="47"/>
      <c r="P35" s="49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ht="15.75" customHeight="1">
      <c r="A36" s="47"/>
      <c r="B36" s="5">
        <v>7</v>
      </c>
      <c r="C36" s="5">
        <f t="shared" si="8"/>
        <v>55</v>
      </c>
      <c r="D36" s="19">
        <v>43054</v>
      </c>
      <c r="E36" s="11">
        <v>336.4</v>
      </c>
      <c r="F36" s="12">
        <f t="shared" si="14"/>
        <v>5.7000000000000171</v>
      </c>
      <c r="G36" s="47"/>
      <c r="H36" s="47"/>
      <c r="I36" s="18">
        <v>49.4</v>
      </c>
      <c r="J36" s="51">
        <f t="shared" si="15"/>
        <v>3.1999999999999993</v>
      </c>
      <c r="K36" s="18">
        <v>25</v>
      </c>
      <c r="L36" s="47"/>
      <c r="M36" s="47"/>
      <c r="N36" s="47"/>
      <c r="O36" s="47"/>
      <c r="P36" s="49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ht="13.2">
      <c r="A37" s="47"/>
      <c r="B37" s="5">
        <v>8</v>
      </c>
      <c r="C37" s="5">
        <f t="shared" si="8"/>
        <v>56</v>
      </c>
      <c r="D37" s="20">
        <v>43055</v>
      </c>
      <c r="E37" s="11">
        <v>362.6</v>
      </c>
      <c r="F37" s="12"/>
      <c r="G37" s="47"/>
      <c r="H37" s="47"/>
      <c r="I37" s="48"/>
      <c r="J37" s="47"/>
      <c r="K37" s="48"/>
      <c r="L37" s="47"/>
      <c r="M37" s="47"/>
      <c r="N37" s="47"/>
      <c r="O37" s="47"/>
      <c r="P37" s="49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ht="13.2">
      <c r="A38" s="47"/>
      <c r="B38" s="5">
        <v>8</v>
      </c>
      <c r="C38" s="5">
        <f t="shared" si="8"/>
        <v>57</v>
      </c>
      <c r="D38" s="20">
        <v>43056</v>
      </c>
      <c r="E38" s="11">
        <v>346.9</v>
      </c>
      <c r="F38" s="12">
        <f t="shared" ref="F38:F39" si="16">(E37-E38)/(D38-D37)</f>
        <v>15.700000000000045</v>
      </c>
      <c r="G38" s="47"/>
      <c r="H38" s="47"/>
      <c r="I38" s="18">
        <v>42.6</v>
      </c>
      <c r="J38" s="47">
        <f>(I36-I38)/(D38-D36)</f>
        <v>3.3999999999999986</v>
      </c>
      <c r="K38" s="18">
        <v>25.5</v>
      </c>
      <c r="L38" s="47"/>
      <c r="M38" s="47"/>
      <c r="N38" s="47"/>
      <c r="O38" s="47"/>
      <c r="P38" s="49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ht="13.2">
      <c r="A39" s="47"/>
      <c r="B39" s="5">
        <v>8</v>
      </c>
      <c r="C39" s="5">
        <f t="shared" si="8"/>
        <v>60</v>
      </c>
      <c r="D39" s="20">
        <v>43059</v>
      </c>
      <c r="E39" s="11">
        <v>327</v>
      </c>
      <c r="F39" s="12">
        <f t="shared" si="16"/>
        <v>6.6333333333333258</v>
      </c>
      <c r="G39" s="47"/>
      <c r="H39" s="47"/>
      <c r="I39" s="18">
        <v>31.9</v>
      </c>
      <c r="J39" s="51">
        <f>(I38-I39)/(D39-D38)</f>
        <v>3.5666666666666678</v>
      </c>
      <c r="K39" s="18">
        <v>25.6</v>
      </c>
      <c r="L39" s="47"/>
      <c r="M39" s="47"/>
      <c r="N39" s="47"/>
      <c r="O39" s="47"/>
      <c r="P39" s="4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ht="13.2">
      <c r="A40" s="47"/>
      <c r="B40" s="5">
        <v>8</v>
      </c>
      <c r="C40" s="5">
        <f t="shared" si="8"/>
        <v>61</v>
      </c>
      <c r="D40" s="20">
        <v>43060</v>
      </c>
      <c r="E40" s="11">
        <v>367.8</v>
      </c>
      <c r="F40" s="12"/>
      <c r="G40" s="47"/>
      <c r="H40" s="47"/>
      <c r="I40" s="48"/>
      <c r="J40" s="47"/>
      <c r="K40" s="48"/>
      <c r="L40" s="47"/>
      <c r="M40" s="47"/>
      <c r="N40" s="47"/>
      <c r="O40" s="47"/>
      <c r="P40" s="4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ht="13.2">
      <c r="A41" s="47"/>
      <c r="B41" s="5">
        <v>8</v>
      </c>
      <c r="C41" s="5">
        <f t="shared" si="8"/>
        <v>62</v>
      </c>
      <c r="D41" s="20">
        <v>43061</v>
      </c>
      <c r="E41" s="11">
        <v>361.7</v>
      </c>
      <c r="F41" s="12">
        <f>(E40-E41)/(D41-D40)</f>
        <v>6.1000000000000227</v>
      </c>
      <c r="G41" s="47"/>
      <c r="H41" s="47"/>
      <c r="I41" s="18">
        <v>95.5</v>
      </c>
      <c r="J41" s="47">
        <f>(103.9-I41)/(D41-D40)</f>
        <v>8.4000000000000057</v>
      </c>
      <c r="K41" s="18">
        <v>26.3</v>
      </c>
      <c r="L41" s="47"/>
      <c r="M41" s="47"/>
      <c r="N41" s="47"/>
      <c r="O41" s="47"/>
      <c r="P41" s="4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ht="13.2">
      <c r="A42" s="47"/>
      <c r="B42" s="5">
        <v>9</v>
      </c>
      <c r="C42" s="5">
        <f t="shared" si="8"/>
        <v>63</v>
      </c>
      <c r="D42" s="20">
        <v>43062</v>
      </c>
      <c r="E42" s="11"/>
      <c r="F42" s="12"/>
      <c r="G42" s="47"/>
      <c r="H42" s="47"/>
      <c r="I42" s="18"/>
      <c r="J42" s="51"/>
      <c r="K42" s="18"/>
      <c r="L42" s="47"/>
      <c r="M42" s="47"/>
      <c r="N42" s="47"/>
      <c r="O42" s="47"/>
      <c r="P42" s="4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ht="13.2">
      <c r="A43" s="47"/>
      <c r="B43" s="5">
        <v>9</v>
      </c>
      <c r="C43" s="5">
        <f t="shared" si="8"/>
        <v>64</v>
      </c>
      <c r="D43" s="20">
        <v>43063</v>
      </c>
      <c r="E43" s="11">
        <v>346.2</v>
      </c>
      <c r="F43" s="12">
        <f>(E41-E43)/(D43-D41)</f>
        <v>7.75</v>
      </c>
      <c r="G43" s="47"/>
      <c r="H43" s="47"/>
      <c r="I43" s="18">
        <v>87.8</v>
      </c>
      <c r="J43" s="51">
        <f>(I41-I43)/(D43-D41)</f>
        <v>3.8500000000000014</v>
      </c>
      <c r="K43" s="18">
        <v>26.5</v>
      </c>
      <c r="L43" s="47"/>
      <c r="M43" s="47"/>
      <c r="N43" s="47"/>
      <c r="O43" s="47"/>
      <c r="P43" s="49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ht="13.2">
      <c r="A44" s="47"/>
      <c r="B44" s="5">
        <v>9</v>
      </c>
      <c r="C44" s="5">
        <f t="shared" si="8"/>
        <v>67</v>
      </c>
      <c r="D44" s="23">
        <v>43066</v>
      </c>
      <c r="E44" s="11">
        <v>326.39999999999998</v>
      </c>
      <c r="F44" s="12">
        <f t="shared" ref="F44:F45" si="17">(E43-E44)/(D44-D43)</f>
        <v>6.6000000000000041</v>
      </c>
      <c r="G44" s="47"/>
      <c r="H44" s="47"/>
      <c r="I44" s="18">
        <v>75.7</v>
      </c>
      <c r="J44" s="51">
        <f t="shared" ref="J44:J45" si="18">(I43-I44)/(D44-D43)</f>
        <v>4.0333333333333314</v>
      </c>
      <c r="K44" s="18">
        <v>26.7</v>
      </c>
      <c r="L44" s="47"/>
      <c r="M44" s="47"/>
      <c r="N44" s="47"/>
      <c r="O44" s="47"/>
      <c r="P44" s="4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ht="13.2">
      <c r="A45" s="47"/>
      <c r="B45" s="5">
        <v>9</v>
      </c>
      <c r="C45" s="5">
        <f t="shared" si="8"/>
        <v>69</v>
      </c>
      <c r="D45" s="23">
        <v>43068</v>
      </c>
      <c r="E45" s="11">
        <v>312.3</v>
      </c>
      <c r="F45" s="12">
        <f t="shared" si="17"/>
        <v>7.0499999999999829</v>
      </c>
      <c r="G45" s="47"/>
      <c r="H45" s="47"/>
      <c r="I45" s="18">
        <v>67.8</v>
      </c>
      <c r="J45" s="51">
        <f t="shared" si="18"/>
        <v>3.9500000000000028</v>
      </c>
      <c r="K45" s="18">
        <v>27</v>
      </c>
      <c r="L45" s="47"/>
      <c r="M45" s="47"/>
      <c r="N45" s="47"/>
      <c r="O45" s="47"/>
      <c r="P45" s="4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ht="13.2">
      <c r="A46" s="47"/>
      <c r="B46" s="5">
        <v>10</v>
      </c>
      <c r="C46" s="5">
        <f t="shared" si="8"/>
        <v>70</v>
      </c>
      <c r="D46" s="23">
        <v>43069</v>
      </c>
      <c r="E46" s="11">
        <v>353.9</v>
      </c>
      <c r="F46" s="12"/>
      <c r="G46" s="47"/>
      <c r="H46" s="47"/>
      <c r="I46" s="48"/>
      <c r="J46" s="47"/>
      <c r="K46" s="48"/>
      <c r="L46" s="47"/>
      <c r="M46" s="47"/>
      <c r="N46" s="47"/>
      <c r="O46" s="47"/>
      <c r="P46" s="49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ht="13.2">
      <c r="A47" s="47"/>
      <c r="B47" s="5">
        <v>10</v>
      </c>
      <c r="C47" s="5">
        <f t="shared" si="8"/>
        <v>71</v>
      </c>
      <c r="D47" s="23">
        <v>43070</v>
      </c>
      <c r="E47" s="11">
        <v>342.4</v>
      </c>
      <c r="F47" s="12">
        <f t="shared" ref="F47:F49" si="19">(E46-E47)/(D47-D46)</f>
        <v>11.5</v>
      </c>
      <c r="G47" s="47"/>
      <c r="H47" s="47"/>
      <c r="I47" s="18">
        <v>59.8</v>
      </c>
      <c r="J47" s="47">
        <f>(I45-I47)/(D47-D45)</f>
        <v>4</v>
      </c>
      <c r="K47" s="18">
        <v>26.8</v>
      </c>
      <c r="L47" s="47"/>
      <c r="M47" s="47"/>
      <c r="N47" s="47"/>
      <c r="O47" s="47"/>
      <c r="P47" s="4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ht="13.2">
      <c r="A48" s="47"/>
      <c r="B48" s="5">
        <v>10</v>
      </c>
      <c r="C48" s="5">
        <f t="shared" si="8"/>
        <v>74</v>
      </c>
      <c r="D48" s="23">
        <v>43073</v>
      </c>
      <c r="E48" s="11">
        <v>324.89999999999998</v>
      </c>
      <c r="F48" s="12">
        <f t="shared" si="19"/>
        <v>5.833333333333333</v>
      </c>
      <c r="G48" s="47"/>
      <c r="H48" s="47"/>
      <c r="I48" s="18">
        <v>47.7</v>
      </c>
      <c r="J48" s="51">
        <f t="shared" ref="J48:J49" si="20">(I47-I48)/(D48-D47)</f>
        <v>4.0333333333333314</v>
      </c>
      <c r="K48" s="18">
        <v>26.9</v>
      </c>
      <c r="L48" s="47"/>
      <c r="M48" s="47"/>
      <c r="N48" s="47"/>
      <c r="O48" s="47"/>
      <c r="P48" s="4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ht="13.2">
      <c r="A49" s="47"/>
      <c r="B49" s="5">
        <v>10</v>
      </c>
      <c r="C49" s="5">
        <f t="shared" si="8"/>
        <v>76</v>
      </c>
      <c r="D49" s="23">
        <v>43075</v>
      </c>
      <c r="E49" s="11">
        <v>308.3</v>
      </c>
      <c r="F49" s="12">
        <f t="shared" si="19"/>
        <v>8.2999999999999829</v>
      </c>
      <c r="G49" s="47"/>
      <c r="H49" s="47"/>
      <c r="I49" s="18">
        <v>41.1</v>
      </c>
      <c r="J49" s="51">
        <f t="shared" si="20"/>
        <v>3.3000000000000007</v>
      </c>
      <c r="K49" s="18">
        <v>26.6</v>
      </c>
      <c r="L49" s="47"/>
      <c r="M49" s="47"/>
      <c r="N49" s="47"/>
      <c r="O49" s="47"/>
      <c r="P49" s="4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ht="13.2">
      <c r="A50" s="47"/>
      <c r="B50" s="5">
        <v>11</v>
      </c>
      <c r="C50" s="5">
        <f t="shared" si="8"/>
        <v>77</v>
      </c>
      <c r="D50" s="24">
        <v>43076</v>
      </c>
      <c r="E50" s="11">
        <v>384</v>
      </c>
      <c r="F50" s="12"/>
      <c r="G50" s="47"/>
      <c r="H50" s="47"/>
      <c r="I50" s="48"/>
      <c r="J50" s="47"/>
      <c r="K50" s="48"/>
      <c r="L50" s="47"/>
      <c r="M50" s="47"/>
      <c r="N50" s="47"/>
      <c r="O50" s="47"/>
      <c r="P50" s="4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ht="13.2">
      <c r="A51" s="47"/>
      <c r="B51" s="5">
        <v>11</v>
      </c>
      <c r="C51" s="5">
        <f t="shared" si="8"/>
        <v>78</v>
      </c>
      <c r="D51" s="24">
        <v>43077</v>
      </c>
      <c r="E51" s="11">
        <v>374.8</v>
      </c>
      <c r="F51" s="12">
        <f t="shared" ref="F51:F53" si="21">(E50-E51)/(D51-D50)</f>
        <v>9.1999999999999886</v>
      </c>
      <c r="G51" s="47"/>
      <c r="H51" s="47"/>
      <c r="I51" s="18">
        <v>74.599999999999994</v>
      </c>
      <c r="J51" s="47"/>
      <c r="K51" s="18">
        <v>26.5</v>
      </c>
      <c r="L51" s="47"/>
      <c r="M51" s="47"/>
      <c r="N51" s="47"/>
      <c r="O51" s="47"/>
      <c r="P51" s="4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ht="13.2">
      <c r="A52" s="55"/>
      <c r="B52" s="5">
        <v>11</v>
      </c>
      <c r="C52" s="5">
        <f t="shared" si="8"/>
        <v>81</v>
      </c>
      <c r="D52" s="24">
        <v>43080</v>
      </c>
      <c r="E52" s="11">
        <v>355.8</v>
      </c>
      <c r="F52" s="12">
        <f t="shared" si="21"/>
        <v>6.333333333333333</v>
      </c>
      <c r="G52" s="47"/>
      <c r="H52" s="47"/>
      <c r="I52" s="18">
        <v>62.5</v>
      </c>
      <c r="J52" s="51">
        <f t="shared" ref="J52:J53" si="22">(I51-I52)/(D52-D51)</f>
        <v>4.0333333333333314</v>
      </c>
      <c r="K52" s="18">
        <v>26.7</v>
      </c>
      <c r="L52" s="47"/>
      <c r="M52" s="47"/>
      <c r="N52" s="47"/>
      <c r="O52" s="47"/>
      <c r="P52" s="4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13.2">
      <c r="A53" s="50" t="s">
        <v>46</v>
      </c>
      <c r="B53" s="50">
        <v>11</v>
      </c>
      <c r="C53" s="5">
        <f t="shared" si="8"/>
        <v>83</v>
      </c>
      <c r="D53" s="25">
        <v>43082</v>
      </c>
      <c r="E53" s="11">
        <v>339.2</v>
      </c>
      <c r="F53" s="12">
        <f t="shared" si="21"/>
        <v>8.3000000000000114</v>
      </c>
      <c r="G53" s="47"/>
      <c r="H53" s="47"/>
      <c r="I53" s="18">
        <v>55.5</v>
      </c>
      <c r="J53" s="51">
        <f t="shared" si="22"/>
        <v>3.5</v>
      </c>
      <c r="K53" s="18">
        <v>26.7</v>
      </c>
      <c r="L53" s="47"/>
      <c r="M53" s="47"/>
      <c r="N53" s="47"/>
      <c r="O53" s="47"/>
      <c r="P53" s="4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3.2">
      <c r="A54" s="47"/>
      <c r="B54" s="50">
        <v>12</v>
      </c>
      <c r="C54" s="5">
        <f t="shared" si="8"/>
        <v>84</v>
      </c>
      <c r="D54" s="24">
        <v>43083</v>
      </c>
      <c r="E54" s="12"/>
      <c r="F54" s="12"/>
      <c r="G54" s="47"/>
      <c r="H54" s="47"/>
      <c r="I54" s="48"/>
      <c r="J54" s="47"/>
      <c r="K54" s="18"/>
      <c r="L54" s="47"/>
      <c r="M54" s="47"/>
      <c r="N54" s="47"/>
      <c r="O54" s="47"/>
      <c r="P54" s="49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3.2">
      <c r="A55" s="57" t="s">
        <v>28</v>
      </c>
      <c r="B55" s="58">
        <v>12</v>
      </c>
      <c r="C55" s="59">
        <f t="shared" si="8"/>
        <v>85</v>
      </c>
      <c r="D55" s="60">
        <v>43084</v>
      </c>
      <c r="E55" s="61"/>
      <c r="F55" s="61"/>
      <c r="G55" s="62"/>
      <c r="H55" s="62"/>
      <c r="I55" s="63"/>
      <c r="J55" s="62"/>
      <c r="K55" s="64">
        <v>26.9</v>
      </c>
      <c r="L55" s="62"/>
      <c r="M55" s="62"/>
      <c r="N55" s="62"/>
      <c r="O55" s="62"/>
      <c r="P55" s="65"/>
      <c r="Q55" s="66"/>
      <c r="R55" s="66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3.2">
      <c r="A56" s="47"/>
      <c r="B56" s="50">
        <v>12</v>
      </c>
      <c r="C56" s="5">
        <f t="shared" si="8"/>
        <v>98</v>
      </c>
      <c r="D56" s="32">
        <v>43097</v>
      </c>
      <c r="E56" s="12"/>
      <c r="F56" s="12"/>
      <c r="G56" s="47"/>
      <c r="H56" s="47"/>
      <c r="I56" s="33">
        <v>87.2</v>
      </c>
      <c r="J56" s="47"/>
      <c r="K56" s="33">
        <v>27.7</v>
      </c>
      <c r="L56" s="47"/>
      <c r="M56" s="47"/>
      <c r="N56" s="47"/>
      <c r="O56" s="47"/>
      <c r="P56" s="49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3.2">
      <c r="A57" s="47"/>
      <c r="B57" s="50">
        <v>12</v>
      </c>
      <c r="C57" s="5">
        <f t="shared" si="8"/>
        <v>105</v>
      </c>
      <c r="D57" s="32">
        <v>43104</v>
      </c>
      <c r="E57" s="12"/>
      <c r="F57" s="12"/>
      <c r="G57" s="47"/>
      <c r="H57" s="47"/>
      <c r="I57" s="33">
        <v>58.4</v>
      </c>
      <c r="J57" s="47"/>
      <c r="K57" s="33">
        <v>26.9</v>
      </c>
      <c r="L57" s="47"/>
      <c r="M57" s="47"/>
      <c r="N57" s="47"/>
      <c r="O57" s="47"/>
      <c r="P57" s="49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3.2">
      <c r="A58" s="47"/>
      <c r="C58" s="5">
        <f t="shared" si="8"/>
        <v>112</v>
      </c>
      <c r="D58" s="32">
        <v>43111</v>
      </c>
      <c r="E58" s="12"/>
      <c r="F58" s="12"/>
      <c r="G58" s="47"/>
      <c r="H58" s="47"/>
      <c r="I58" s="33">
        <v>28.4</v>
      </c>
      <c r="J58" s="47"/>
      <c r="K58" s="33">
        <v>27</v>
      </c>
      <c r="L58" s="47"/>
      <c r="M58" s="47"/>
      <c r="N58" s="47"/>
      <c r="O58" s="47"/>
      <c r="P58" s="49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3.2">
      <c r="A59" s="47"/>
      <c r="B59" s="55"/>
      <c r="C59" s="55"/>
      <c r="D59" s="67"/>
      <c r="E59" s="67"/>
      <c r="F59" s="67"/>
      <c r="G59" s="12"/>
      <c r="H59" s="12"/>
      <c r="I59" s="37"/>
      <c r="J59" s="47"/>
      <c r="K59" s="33"/>
      <c r="L59" s="47"/>
      <c r="M59" s="47"/>
      <c r="N59" s="47"/>
      <c r="O59" s="48"/>
      <c r="P59" s="47"/>
      <c r="Q59" s="47"/>
      <c r="R59" s="49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3.2">
      <c r="A60" s="47"/>
      <c r="B60" s="55"/>
      <c r="C60" s="50">
        <v>117</v>
      </c>
      <c r="D60" s="32">
        <v>43116</v>
      </c>
      <c r="E60" s="67"/>
      <c r="F60" s="67"/>
      <c r="G60" s="12"/>
      <c r="H60" s="12"/>
      <c r="I60" s="37">
        <v>15.5</v>
      </c>
      <c r="J60" s="47"/>
      <c r="K60" s="33">
        <v>27.2</v>
      </c>
      <c r="L60" s="47"/>
      <c r="M60" s="47"/>
      <c r="N60" s="47"/>
      <c r="O60" s="48"/>
      <c r="P60" s="47"/>
      <c r="Q60" s="47"/>
      <c r="R60" s="49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3.2">
      <c r="A61" s="47"/>
      <c r="B61" s="55"/>
      <c r="C61" s="50">
        <v>124</v>
      </c>
      <c r="D61" s="32">
        <v>43123</v>
      </c>
      <c r="E61" s="67"/>
      <c r="F61" s="67"/>
      <c r="G61" s="12"/>
      <c r="H61" s="12"/>
      <c r="I61" s="37">
        <v>12.8</v>
      </c>
      <c r="J61" s="47"/>
      <c r="K61" s="33">
        <v>26.6</v>
      </c>
      <c r="L61" s="47"/>
      <c r="M61" s="47"/>
      <c r="N61" s="47"/>
      <c r="O61" s="48"/>
      <c r="P61" s="47"/>
      <c r="Q61" s="47"/>
      <c r="R61" s="49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3.2">
      <c r="A62" s="47"/>
      <c r="B62" s="55"/>
      <c r="C62" s="50">
        <v>131</v>
      </c>
      <c r="D62" s="32">
        <v>43130</v>
      </c>
      <c r="E62" s="67"/>
      <c r="F62" s="67"/>
      <c r="G62" s="12"/>
      <c r="H62" s="12"/>
      <c r="I62" s="36">
        <v>46.3</v>
      </c>
      <c r="J62" s="47"/>
      <c r="K62" s="36">
        <v>27.8</v>
      </c>
      <c r="L62" s="47"/>
      <c r="M62" s="47"/>
      <c r="N62" s="47"/>
      <c r="O62" s="48"/>
      <c r="P62" s="47"/>
      <c r="Q62" s="47"/>
      <c r="R62" s="49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3.2">
      <c r="A63" s="47"/>
      <c r="B63" s="55"/>
      <c r="C63" s="50">
        <v>138</v>
      </c>
      <c r="D63" s="24">
        <v>43137</v>
      </c>
      <c r="E63" s="67"/>
      <c r="F63" s="67"/>
      <c r="G63" s="12"/>
      <c r="H63" s="12"/>
      <c r="I63" s="37">
        <v>19.600000000000001</v>
      </c>
      <c r="J63" s="37"/>
      <c r="K63" s="33">
        <v>27.4</v>
      </c>
      <c r="L63" s="47"/>
      <c r="M63" s="47"/>
      <c r="N63" s="47"/>
      <c r="O63" s="48"/>
      <c r="P63" s="47"/>
      <c r="Q63" s="47"/>
      <c r="R63" s="49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3.2">
      <c r="A64" s="47"/>
      <c r="B64" s="55"/>
      <c r="C64" s="5">
        <v>145</v>
      </c>
      <c r="D64" s="20">
        <v>43144</v>
      </c>
      <c r="E64" s="67"/>
      <c r="F64" s="67"/>
      <c r="G64" s="12"/>
      <c r="H64" s="12"/>
      <c r="I64" s="50">
        <v>54.5</v>
      </c>
      <c r="J64" s="47"/>
      <c r="K64" s="18">
        <v>27.6</v>
      </c>
      <c r="L64" s="47"/>
      <c r="M64" s="47"/>
      <c r="N64" s="47"/>
      <c r="O64" s="48"/>
      <c r="P64" s="47"/>
      <c r="Q64" s="47"/>
      <c r="R64" s="49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3.2">
      <c r="A65" s="47"/>
      <c r="B65" s="55"/>
      <c r="C65" s="50">
        <v>152</v>
      </c>
      <c r="D65" s="24">
        <v>43151</v>
      </c>
      <c r="E65" s="67"/>
      <c r="F65" s="67"/>
      <c r="G65" s="12"/>
      <c r="H65" s="12"/>
      <c r="I65" s="50">
        <v>27.9</v>
      </c>
      <c r="J65" s="47"/>
      <c r="K65" s="18">
        <v>28.2</v>
      </c>
      <c r="L65" s="47"/>
      <c r="M65" s="47"/>
      <c r="N65" s="47"/>
      <c r="O65" s="48"/>
      <c r="P65" s="47"/>
      <c r="Q65" s="47"/>
      <c r="R65" s="49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3.2">
      <c r="A66" s="47"/>
      <c r="B66" s="55"/>
      <c r="C66" s="50">
        <v>159</v>
      </c>
      <c r="D66" s="24">
        <v>43158</v>
      </c>
      <c r="E66" s="67"/>
      <c r="F66" s="67"/>
      <c r="G66" s="12"/>
      <c r="H66" s="12"/>
      <c r="I66" s="50">
        <v>54.6</v>
      </c>
      <c r="J66" s="47"/>
      <c r="K66" s="18">
        <v>28.9</v>
      </c>
      <c r="L66" s="47"/>
      <c r="M66" s="47"/>
      <c r="N66" s="47"/>
      <c r="O66" s="48"/>
      <c r="P66" s="47"/>
      <c r="Q66" s="47"/>
      <c r="R66" s="49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3.2">
      <c r="A67" s="47"/>
      <c r="B67" s="55"/>
      <c r="C67" s="50">
        <v>166</v>
      </c>
      <c r="D67" s="24">
        <v>43165</v>
      </c>
      <c r="E67" s="67"/>
      <c r="F67" s="67"/>
      <c r="G67" s="12"/>
      <c r="H67" s="12"/>
      <c r="I67" s="50">
        <v>19</v>
      </c>
      <c r="J67" s="47"/>
      <c r="K67" s="18">
        <v>26.6</v>
      </c>
      <c r="L67" s="47"/>
      <c r="M67" s="47"/>
      <c r="N67" s="47"/>
      <c r="O67" s="48"/>
      <c r="P67" s="47"/>
      <c r="Q67" s="47"/>
      <c r="R67" s="49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3.2">
      <c r="A68" s="47"/>
      <c r="B68" s="55"/>
      <c r="C68" s="50">
        <v>173</v>
      </c>
      <c r="D68" s="24">
        <v>43172</v>
      </c>
      <c r="E68" s="67"/>
      <c r="F68" s="67"/>
      <c r="G68" s="12"/>
      <c r="H68" s="12"/>
      <c r="I68" s="50">
        <v>34</v>
      </c>
      <c r="J68" s="47"/>
      <c r="K68" s="18">
        <v>26.6</v>
      </c>
      <c r="L68" s="47"/>
      <c r="M68" s="47"/>
      <c r="N68" s="47"/>
      <c r="O68" s="48"/>
      <c r="P68" s="47"/>
      <c r="Q68" s="47"/>
      <c r="R68" s="49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3.2">
      <c r="A69" s="47"/>
      <c r="B69" s="55"/>
      <c r="C69" s="55"/>
      <c r="D69" s="67"/>
      <c r="E69" s="67"/>
      <c r="F69" s="67"/>
      <c r="G69" s="12"/>
      <c r="H69" s="12"/>
      <c r="I69" s="47"/>
      <c r="J69" s="47"/>
      <c r="K69" s="48"/>
      <c r="L69" s="47"/>
      <c r="M69" s="47"/>
      <c r="N69" s="47"/>
      <c r="O69" s="48"/>
      <c r="P69" s="47"/>
      <c r="Q69" s="47"/>
      <c r="R69" s="49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3.2">
      <c r="A70" s="47"/>
      <c r="B70" s="55"/>
      <c r="C70" s="55"/>
      <c r="D70" s="67"/>
      <c r="E70" s="67"/>
      <c r="F70" s="67"/>
      <c r="G70" s="12"/>
      <c r="H70" s="12"/>
      <c r="I70" s="47"/>
      <c r="J70" s="47"/>
      <c r="K70" s="48"/>
      <c r="L70" s="47"/>
      <c r="M70" s="47"/>
      <c r="N70" s="47"/>
      <c r="O70" s="48"/>
      <c r="P70" s="47"/>
      <c r="Q70" s="47"/>
      <c r="R70" s="49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3.2">
      <c r="A71" s="47"/>
      <c r="B71" s="55"/>
      <c r="C71" s="55"/>
      <c r="D71" s="67"/>
      <c r="E71" s="67"/>
      <c r="F71" s="67"/>
      <c r="G71" s="12"/>
      <c r="H71" s="12"/>
      <c r="I71" s="47"/>
      <c r="J71" s="47"/>
      <c r="K71" s="48"/>
      <c r="L71" s="47"/>
      <c r="M71" s="47"/>
      <c r="N71" s="47"/>
      <c r="O71" s="48"/>
      <c r="P71" s="47"/>
      <c r="Q71" s="47"/>
      <c r="R71" s="49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3.2">
      <c r="A72" s="47"/>
      <c r="B72" s="55"/>
      <c r="C72" s="55"/>
      <c r="D72" s="67"/>
      <c r="E72" s="67"/>
      <c r="F72" s="67"/>
      <c r="G72" s="12"/>
      <c r="H72" s="12"/>
      <c r="I72" s="47"/>
      <c r="J72" s="47"/>
      <c r="K72" s="48"/>
      <c r="L72" s="47"/>
      <c r="M72" s="47"/>
      <c r="N72" s="47"/>
      <c r="O72" s="48"/>
      <c r="P72" s="47"/>
      <c r="Q72" s="47"/>
      <c r="R72" s="49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3.2">
      <c r="A73" s="47"/>
      <c r="B73" s="55"/>
      <c r="C73" s="55"/>
      <c r="D73" s="67"/>
      <c r="E73" s="67"/>
      <c r="F73" s="67"/>
      <c r="G73" s="12"/>
      <c r="H73" s="12"/>
      <c r="I73" s="47"/>
      <c r="J73" s="47"/>
      <c r="K73" s="48"/>
      <c r="L73" s="47"/>
      <c r="M73" s="47"/>
      <c r="N73" s="47"/>
      <c r="O73" s="48"/>
      <c r="P73" s="47"/>
      <c r="Q73" s="47"/>
      <c r="R73" s="49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3.2">
      <c r="A74" s="47"/>
      <c r="B74" s="55"/>
      <c r="C74" s="55"/>
      <c r="D74" s="67"/>
      <c r="E74" s="67"/>
      <c r="F74" s="67"/>
      <c r="G74" s="12"/>
      <c r="H74" s="12"/>
      <c r="I74" s="47"/>
      <c r="J74" s="47"/>
      <c r="K74" s="48"/>
      <c r="L74" s="47"/>
      <c r="M74" s="47"/>
      <c r="N74" s="47"/>
      <c r="O74" s="48"/>
      <c r="P74" s="47"/>
      <c r="Q74" s="47"/>
      <c r="R74" s="49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3.2">
      <c r="A75" s="47"/>
      <c r="B75" s="55"/>
      <c r="C75" s="55"/>
      <c r="D75" s="67"/>
      <c r="E75" s="67"/>
      <c r="F75" s="67"/>
      <c r="G75" s="12"/>
      <c r="H75" s="12"/>
      <c r="I75" s="47"/>
      <c r="J75" s="47"/>
      <c r="K75" s="48"/>
      <c r="L75" s="47"/>
      <c r="M75" s="47"/>
      <c r="N75" s="47"/>
      <c r="O75" s="48"/>
      <c r="P75" s="47"/>
      <c r="Q75" s="47"/>
      <c r="R75" s="49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3.2">
      <c r="A76" s="47"/>
      <c r="B76" s="55"/>
      <c r="C76" s="55"/>
      <c r="D76" s="67"/>
      <c r="E76" s="67"/>
      <c r="F76" s="67"/>
      <c r="G76" s="12"/>
      <c r="H76" s="12"/>
      <c r="I76" s="47"/>
      <c r="J76" s="47"/>
      <c r="K76" s="48"/>
      <c r="L76" s="47"/>
      <c r="M76" s="47"/>
      <c r="N76" s="47"/>
      <c r="O76" s="48"/>
      <c r="P76" s="47"/>
      <c r="Q76" s="47"/>
      <c r="R76" s="49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3.2">
      <c r="A77" s="47"/>
      <c r="B77" s="55"/>
      <c r="C77" s="55"/>
      <c r="D77" s="67"/>
      <c r="E77" s="67"/>
      <c r="F77" s="67"/>
      <c r="G77" s="12"/>
      <c r="H77" s="12"/>
      <c r="I77" s="47"/>
      <c r="J77" s="47"/>
      <c r="K77" s="48"/>
      <c r="L77" s="47"/>
      <c r="M77" s="47"/>
      <c r="N77" s="47"/>
      <c r="O77" s="48"/>
      <c r="P77" s="47"/>
      <c r="Q77" s="47"/>
      <c r="R77" s="49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3.2">
      <c r="A78" s="47"/>
      <c r="B78" s="55"/>
      <c r="C78" s="55"/>
      <c r="D78" s="67"/>
      <c r="E78" s="12"/>
      <c r="F78" s="12"/>
      <c r="G78" s="47"/>
      <c r="H78" s="47"/>
      <c r="I78" s="48"/>
      <c r="J78" s="47"/>
      <c r="K78" s="48"/>
      <c r="L78" s="47"/>
      <c r="M78" s="47"/>
      <c r="N78" s="47"/>
      <c r="O78" s="47"/>
      <c r="P78" s="49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26.4">
      <c r="A79" s="45" t="s">
        <v>55</v>
      </c>
      <c r="B79" s="5">
        <v>0</v>
      </c>
      <c r="C79" s="5">
        <v>0</v>
      </c>
      <c r="D79" s="9">
        <v>42992</v>
      </c>
      <c r="E79" s="10">
        <v>402.5</v>
      </c>
      <c r="F79" s="12" t="s">
        <v>21</v>
      </c>
      <c r="G79" s="46">
        <f>AVERAGE(F80:F95)</f>
        <v>7.5142857142857107</v>
      </c>
      <c r="H79" s="47"/>
      <c r="I79" s="13">
        <v>114.8</v>
      </c>
      <c r="J79" s="48"/>
      <c r="K79" s="13">
        <v>20.6</v>
      </c>
      <c r="L79" s="47"/>
      <c r="M79" s="47"/>
      <c r="N79" s="47"/>
      <c r="O79" s="47"/>
      <c r="P79" s="49">
        <f>SUM(O79:O94)-104.4</f>
        <v>597.95000000000016</v>
      </c>
      <c r="Q79" s="7"/>
      <c r="R79" s="7"/>
      <c r="S79" s="73">
        <f>I83-I89</f>
        <v>54.6</v>
      </c>
      <c r="T79" s="7">
        <f>SUM(S79:S85)*3.1</f>
        <v>950.77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3.2">
      <c r="A80" s="50" t="s">
        <v>30</v>
      </c>
      <c r="B80" s="5">
        <v>0</v>
      </c>
      <c r="C80" s="5">
        <v>0</v>
      </c>
      <c r="D80" s="9">
        <v>42993</v>
      </c>
      <c r="E80" s="10">
        <v>394.3</v>
      </c>
      <c r="F80" s="12">
        <f>E79-E80</f>
        <v>8.1999999999999886</v>
      </c>
      <c r="G80" s="47"/>
      <c r="H80" s="47"/>
      <c r="I80" s="13">
        <v>110.6</v>
      </c>
      <c r="J80" s="48">
        <f t="shared" ref="J80:J89" si="23">(I79-I80)/(D80-D79)</f>
        <v>4.2000000000000028</v>
      </c>
      <c r="K80" s="13">
        <v>20.8</v>
      </c>
      <c r="L80" s="47"/>
      <c r="M80" s="47"/>
      <c r="N80" s="47"/>
      <c r="O80" s="47">
        <f>(382.9-E89)/2</f>
        <v>47.449999999999989</v>
      </c>
      <c r="P80" s="49"/>
      <c r="Q80" s="7"/>
      <c r="R80" s="7"/>
      <c r="S80" s="73">
        <f>68-I95</f>
        <v>38.200000000000003</v>
      </c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3.2">
      <c r="A81" s="47"/>
      <c r="B81" s="5">
        <v>0</v>
      </c>
      <c r="C81" s="5">
        <v>0</v>
      </c>
      <c r="D81" s="9">
        <v>42996</v>
      </c>
      <c r="E81" s="10">
        <v>375.7</v>
      </c>
      <c r="F81" s="12">
        <f t="shared" ref="F81:F83" si="24">(E80-E81)/(D81-D80)</f>
        <v>6.2000000000000073</v>
      </c>
      <c r="G81" s="47"/>
      <c r="H81" s="47"/>
      <c r="I81" s="13">
        <v>97.7</v>
      </c>
      <c r="J81" s="48">
        <f t="shared" si="23"/>
        <v>4.2999999999999972</v>
      </c>
      <c r="K81" s="13">
        <v>21</v>
      </c>
      <c r="L81" s="47"/>
      <c r="M81" s="47"/>
      <c r="N81" s="47"/>
      <c r="O81" s="46">
        <f>E90-E93</f>
        <v>46.100000000000023</v>
      </c>
      <c r="P81" s="49"/>
      <c r="Q81" s="7"/>
      <c r="R81" s="7"/>
      <c r="S81" s="73">
        <f>80.8-I100</f>
        <v>42.699999999999996</v>
      </c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3.2">
      <c r="A82" s="47"/>
      <c r="B82" s="5">
        <v>0</v>
      </c>
      <c r="C82" s="5">
        <v>0</v>
      </c>
      <c r="D82" s="9">
        <v>42998</v>
      </c>
      <c r="E82" s="10">
        <v>364.5</v>
      </c>
      <c r="F82" s="12">
        <f t="shared" si="24"/>
        <v>5.5999999999999943</v>
      </c>
      <c r="G82" s="47"/>
      <c r="H82" s="47"/>
      <c r="I82" s="13">
        <v>89.4</v>
      </c>
      <c r="J82" s="48">
        <f t="shared" si="23"/>
        <v>4.1499999999999986</v>
      </c>
      <c r="K82" s="13">
        <v>20.9</v>
      </c>
      <c r="L82" s="47"/>
      <c r="M82" s="47"/>
      <c r="N82" s="47"/>
      <c r="O82" s="46">
        <f>E94-E97</f>
        <v>45.100000000000023</v>
      </c>
      <c r="P82" s="49"/>
      <c r="Q82" s="7"/>
      <c r="R82" s="7"/>
      <c r="S82" s="73">
        <f>77.1-I104</f>
        <v>25.699999999999996</v>
      </c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3.2">
      <c r="A83" s="47"/>
      <c r="B83" s="5">
        <v>0.5</v>
      </c>
      <c r="C83" s="5">
        <v>0</v>
      </c>
      <c r="D83" s="9">
        <v>42999</v>
      </c>
      <c r="E83" s="10">
        <v>357.2</v>
      </c>
      <c r="F83" s="12">
        <f t="shared" si="24"/>
        <v>7.3000000000000114</v>
      </c>
      <c r="G83" s="47"/>
      <c r="H83" s="47"/>
      <c r="I83" s="13">
        <v>85.5</v>
      </c>
      <c r="J83" s="48">
        <f t="shared" si="23"/>
        <v>3.9000000000000057</v>
      </c>
      <c r="K83" s="13">
        <v>21.3</v>
      </c>
      <c r="L83" s="47"/>
      <c r="M83" s="47"/>
      <c r="N83" s="47"/>
      <c r="O83" s="46">
        <f>E98-E101</f>
        <v>50.100000000000023</v>
      </c>
      <c r="P83" s="49"/>
      <c r="Q83" s="7"/>
      <c r="R83" s="7"/>
      <c r="S83" s="73">
        <f>103-I116</f>
        <v>76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3.2">
      <c r="A84" s="47"/>
      <c r="B84" s="5">
        <v>0.5</v>
      </c>
      <c r="C84" s="5">
        <f t="shared" ref="C84:C85" si="25">D84-$D83</f>
        <v>1</v>
      </c>
      <c r="D84" s="9">
        <v>43000</v>
      </c>
      <c r="E84" s="10">
        <v>374.3</v>
      </c>
      <c r="F84" s="12">
        <f>(382.9-E84)/(D84-D83)</f>
        <v>8.5999999999999659</v>
      </c>
      <c r="G84" s="47"/>
      <c r="H84" s="47"/>
      <c r="I84" s="13">
        <v>80.599999999999994</v>
      </c>
      <c r="J84" s="48">
        <f t="shared" si="23"/>
        <v>4.9000000000000057</v>
      </c>
      <c r="K84" s="13">
        <v>21.7</v>
      </c>
      <c r="L84" s="47"/>
      <c r="M84" s="47"/>
      <c r="N84" s="47"/>
      <c r="O84" s="46">
        <f>E102-E105</f>
        <v>47.700000000000045</v>
      </c>
      <c r="P84" s="49"/>
      <c r="Q84" s="7"/>
      <c r="R84" s="7"/>
      <c r="S84" s="73">
        <f>I118-I124</f>
        <v>38.300000000000004</v>
      </c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3.2">
      <c r="A85" s="47"/>
      <c r="B85" s="5">
        <v>0.5</v>
      </c>
      <c r="C85" s="5">
        <f t="shared" si="25"/>
        <v>3</v>
      </c>
      <c r="D85" s="9">
        <v>43003</v>
      </c>
      <c r="E85" s="10">
        <v>354.9</v>
      </c>
      <c r="F85" s="12">
        <f t="shared" ref="F85:F89" si="26">(E84-E85)/(D85-D84)</f>
        <v>6.4666666666666783</v>
      </c>
      <c r="G85" s="47"/>
      <c r="H85" s="47"/>
      <c r="I85" s="13">
        <v>68.7</v>
      </c>
      <c r="J85" s="48">
        <f t="shared" si="23"/>
        <v>3.9666666666666637</v>
      </c>
      <c r="K85" s="13">
        <v>21.4</v>
      </c>
      <c r="L85" s="47"/>
      <c r="M85" s="47"/>
      <c r="N85" s="47"/>
      <c r="O85" s="46">
        <f>E106-E109</f>
        <v>48.599999999999966</v>
      </c>
      <c r="P85" s="49"/>
      <c r="Q85" s="7"/>
      <c r="R85" s="7"/>
      <c r="S85" s="73">
        <f>91.4-I129</f>
        <v>31.200000000000003</v>
      </c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3.2">
      <c r="A86" s="47"/>
      <c r="B86" s="5">
        <v>1</v>
      </c>
      <c r="C86" s="5">
        <f>D86-$D83</f>
        <v>6</v>
      </c>
      <c r="D86" s="9">
        <v>43005</v>
      </c>
      <c r="E86" s="10">
        <v>342.6</v>
      </c>
      <c r="F86" s="12">
        <f t="shared" si="26"/>
        <v>6.1499999999999773</v>
      </c>
      <c r="G86" s="47"/>
      <c r="H86" s="47"/>
      <c r="I86" s="13">
        <v>60.1</v>
      </c>
      <c r="J86" s="48">
        <f t="shared" si="23"/>
        <v>4.3000000000000007</v>
      </c>
      <c r="K86" s="18">
        <v>22.2</v>
      </c>
      <c r="L86" s="47"/>
      <c r="M86" s="47"/>
      <c r="N86" s="47"/>
      <c r="O86" s="46">
        <f>E110-E113</f>
        <v>44.900000000000034</v>
      </c>
      <c r="P86" s="49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3.2">
      <c r="A87" s="47"/>
      <c r="B87" s="5">
        <v>1</v>
      </c>
      <c r="C87" s="5">
        <f>D87-D83</f>
        <v>8</v>
      </c>
      <c r="D87" s="9">
        <v>43007</v>
      </c>
      <c r="E87" s="10">
        <v>328.1</v>
      </c>
      <c r="F87" s="12">
        <f t="shared" si="26"/>
        <v>7.25</v>
      </c>
      <c r="G87" s="47"/>
      <c r="H87" s="47"/>
      <c r="I87" s="13">
        <v>51.6</v>
      </c>
      <c r="J87" s="48">
        <f t="shared" si="23"/>
        <v>4.25</v>
      </c>
      <c r="K87" s="13">
        <v>21.9</v>
      </c>
      <c r="L87" s="47"/>
      <c r="M87" s="47"/>
      <c r="N87" s="47"/>
      <c r="O87" s="46">
        <f>E117-E121</f>
        <v>54.5</v>
      </c>
      <c r="P87" s="49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3.2">
      <c r="A88" s="47"/>
      <c r="B88" s="5">
        <v>1</v>
      </c>
      <c r="C88" s="5">
        <f>D88-D83</f>
        <v>11</v>
      </c>
      <c r="D88" s="19">
        <v>43010</v>
      </c>
      <c r="E88" s="11">
        <v>306.5</v>
      </c>
      <c r="F88" s="12">
        <f t="shared" si="26"/>
        <v>7.2000000000000073</v>
      </c>
      <c r="G88" s="47"/>
      <c r="H88" s="47"/>
      <c r="I88" s="13">
        <v>38.799999999999997</v>
      </c>
      <c r="J88" s="15">
        <f t="shared" si="23"/>
        <v>4.2666666666666684</v>
      </c>
      <c r="K88" s="13">
        <v>22.8</v>
      </c>
      <c r="L88" s="47"/>
      <c r="M88" s="47"/>
      <c r="N88" s="47"/>
      <c r="O88" s="46">
        <f>E117-E121</f>
        <v>54.5</v>
      </c>
      <c r="P88" s="4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3.2">
      <c r="A89" s="47"/>
      <c r="B89" s="5">
        <v>1</v>
      </c>
      <c r="C89" s="5">
        <f>D89-D83</f>
        <v>13</v>
      </c>
      <c r="D89" s="19">
        <v>43012</v>
      </c>
      <c r="E89" s="11">
        <v>288</v>
      </c>
      <c r="F89" s="12">
        <f t="shared" si="26"/>
        <v>9.25</v>
      </c>
      <c r="G89" s="47"/>
      <c r="H89" s="47"/>
      <c r="I89" s="13">
        <v>30.9</v>
      </c>
      <c r="J89" s="48">
        <f t="shared" si="23"/>
        <v>3.9499999999999993</v>
      </c>
      <c r="K89" s="13">
        <v>23</v>
      </c>
      <c r="L89" s="47"/>
      <c r="M89" s="47"/>
      <c r="N89" s="47"/>
      <c r="O89" s="46">
        <f>E106-E109</f>
        <v>48.599999999999966</v>
      </c>
      <c r="P89" s="49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3.2">
      <c r="A90" s="47"/>
      <c r="B90" s="5">
        <v>2</v>
      </c>
      <c r="C90" s="5">
        <f>D90-D83</f>
        <v>14</v>
      </c>
      <c r="D90" s="19">
        <v>43013</v>
      </c>
      <c r="E90" s="11">
        <v>404.3</v>
      </c>
      <c r="F90" s="12"/>
      <c r="G90" s="47"/>
      <c r="H90" s="47"/>
      <c r="I90" s="15" t="s">
        <v>24</v>
      </c>
      <c r="J90" s="48"/>
      <c r="K90" s="15"/>
      <c r="L90" s="47"/>
      <c r="M90" s="47"/>
      <c r="N90" s="47"/>
      <c r="O90" s="46">
        <f>E110-E113</f>
        <v>44.900000000000034</v>
      </c>
      <c r="P90" s="4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3.2">
      <c r="A91" s="47"/>
      <c r="B91" s="5">
        <v>2</v>
      </c>
      <c r="C91" s="5">
        <f>D91-$D83</f>
        <v>15</v>
      </c>
      <c r="D91" s="19">
        <v>43014</v>
      </c>
      <c r="E91" s="11">
        <v>396.1</v>
      </c>
      <c r="F91" s="12">
        <f t="shared" ref="F91:F93" si="27">(E90-E91)/(D91-D90)</f>
        <v>8.1999999999999886</v>
      </c>
      <c r="G91" s="47"/>
      <c r="H91" s="47"/>
      <c r="I91" s="13">
        <v>60</v>
      </c>
      <c r="J91" s="48">
        <f>(68-I91)/(D91-D89)</f>
        <v>4</v>
      </c>
      <c r="K91" s="13">
        <v>22.9</v>
      </c>
      <c r="L91" s="47"/>
      <c r="M91" s="47"/>
      <c r="N91" s="47"/>
      <c r="O91" s="46">
        <f>E114-E116</f>
        <v>31.900000000000034</v>
      </c>
      <c r="P91" s="49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3.2">
      <c r="A92" s="47"/>
      <c r="B92" s="5">
        <v>2</v>
      </c>
      <c r="C92" s="5">
        <f t="shared" ref="C92:C133" si="28">D92-$D$6</f>
        <v>18</v>
      </c>
      <c r="D92" s="19">
        <v>43017</v>
      </c>
      <c r="E92" s="11">
        <v>375.9</v>
      </c>
      <c r="F92" s="12">
        <f t="shared" si="27"/>
        <v>6.7333333333333485</v>
      </c>
      <c r="G92" s="47"/>
      <c r="H92" s="47"/>
      <c r="I92" s="13">
        <v>46.7</v>
      </c>
      <c r="J92" s="48">
        <f>(49.8-I92)/(D92-D91)</f>
        <v>1.0333333333333314</v>
      </c>
      <c r="K92" s="13">
        <v>23.7</v>
      </c>
      <c r="L92" s="47"/>
      <c r="M92" s="47"/>
      <c r="N92" s="47"/>
      <c r="O92" s="46">
        <f>E117-E121</f>
        <v>54.5</v>
      </c>
      <c r="P92" s="49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3.2">
      <c r="A93" s="47"/>
      <c r="B93" s="5">
        <v>2</v>
      </c>
      <c r="C93" s="5">
        <f t="shared" si="28"/>
        <v>20</v>
      </c>
      <c r="D93" s="19">
        <v>43019</v>
      </c>
      <c r="E93" s="11">
        <v>358.2</v>
      </c>
      <c r="F93" s="12">
        <f t="shared" si="27"/>
        <v>8.8499999999999943</v>
      </c>
      <c r="G93" s="47"/>
      <c r="H93" s="47"/>
      <c r="I93" s="13">
        <v>38.200000000000003</v>
      </c>
      <c r="J93" s="48">
        <f>(I92-I93)/(D93-D92)</f>
        <v>4.25</v>
      </c>
      <c r="K93" s="13">
        <v>23.3</v>
      </c>
      <c r="L93" s="47"/>
      <c r="M93" s="47"/>
      <c r="N93" s="47"/>
      <c r="O93" s="46">
        <f>E122-E125</f>
        <v>46</v>
      </c>
      <c r="P93" s="49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3.2">
      <c r="A94" s="47"/>
      <c r="B94" s="5">
        <v>3</v>
      </c>
      <c r="C94" s="5">
        <f t="shared" si="28"/>
        <v>21</v>
      </c>
      <c r="D94" s="19">
        <v>43020</v>
      </c>
      <c r="E94" s="11">
        <v>391.8</v>
      </c>
      <c r="F94" s="12"/>
      <c r="G94" s="47"/>
      <c r="H94" s="47"/>
      <c r="I94" s="15"/>
      <c r="J94" s="48"/>
      <c r="K94" s="15"/>
      <c r="L94" s="47"/>
      <c r="M94" s="47"/>
      <c r="N94" s="47"/>
      <c r="O94" s="46">
        <f>E127-E129</f>
        <v>37.5</v>
      </c>
      <c r="P94" s="4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3.2">
      <c r="A95" s="47"/>
      <c r="B95" s="5">
        <v>3</v>
      </c>
      <c r="C95" s="5">
        <f t="shared" si="28"/>
        <v>22</v>
      </c>
      <c r="D95" s="19">
        <f>D93+2</f>
        <v>43021</v>
      </c>
      <c r="E95" s="11">
        <v>382.6</v>
      </c>
      <c r="F95" s="12">
        <f t="shared" ref="F95:F97" si="29">(E94-E95)/(D95-D94)</f>
        <v>9.1999999999999886</v>
      </c>
      <c r="G95" s="47"/>
      <c r="H95" s="47"/>
      <c r="I95" s="13">
        <v>29.8</v>
      </c>
      <c r="J95" s="48">
        <f>(43.8-I95)/(D95-D93)</f>
        <v>6.9999999999999982</v>
      </c>
      <c r="K95" s="13">
        <v>23.7</v>
      </c>
      <c r="L95" s="47"/>
      <c r="M95" s="47"/>
      <c r="N95" s="47"/>
      <c r="O95" s="47"/>
      <c r="P95" s="4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3.2">
      <c r="A96" s="47"/>
      <c r="B96" s="5">
        <v>3</v>
      </c>
      <c r="C96" s="5">
        <f t="shared" si="28"/>
        <v>25</v>
      </c>
      <c r="D96" s="19">
        <f>D95+3</f>
        <v>43024</v>
      </c>
      <c r="E96" s="11">
        <v>362</v>
      </c>
      <c r="F96" s="12">
        <f t="shared" si="29"/>
        <v>6.8666666666666742</v>
      </c>
      <c r="G96" s="47"/>
      <c r="H96" s="47"/>
      <c r="I96" s="18">
        <v>67.3</v>
      </c>
      <c r="J96" s="47">
        <f t="shared" ref="J96:J97" si="30">(80.8-67.3)/(D96-D95)</f>
        <v>4.5</v>
      </c>
      <c r="K96" s="18">
        <v>23.2</v>
      </c>
      <c r="L96" s="47"/>
      <c r="M96" s="47"/>
      <c r="N96" s="47"/>
      <c r="O96" s="47"/>
      <c r="P96" s="4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3.2">
      <c r="A97" s="47"/>
      <c r="B97" s="5">
        <v>3</v>
      </c>
      <c r="C97" s="5">
        <f t="shared" si="28"/>
        <v>27</v>
      </c>
      <c r="D97" s="19">
        <f>D96+2</f>
        <v>43026</v>
      </c>
      <c r="E97" s="11">
        <v>346.7</v>
      </c>
      <c r="F97" s="12">
        <f t="shared" si="29"/>
        <v>7.6500000000000057</v>
      </c>
      <c r="G97" s="47"/>
      <c r="H97" s="47"/>
      <c r="I97" s="18">
        <v>57.9</v>
      </c>
      <c r="J97" s="47">
        <f t="shared" si="30"/>
        <v>6.75</v>
      </c>
      <c r="K97" s="18">
        <v>34</v>
      </c>
      <c r="L97" s="47"/>
      <c r="M97" s="47"/>
      <c r="N97" s="47"/>
      <c r="O97" s="47"/>
      <c r="P97" s="4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3.2">
      <c r="A98" s="47"/>
      <c r="B98" s="5">
        <v>4</v>
      </c>
      <c r="C98" s="5">
        <f t="shared" si="28"/>
        <v>28</v>
      </c>
      <c r="D98" s="20">
        <v>43027</v>
      </c>
      <c r="E98" s="11">
        <v>383.1</v>
      </c>
      <c r="F98" s="12"/>
      <c r="G98" s="47"/>
      <c r="H98" s="47"/>
      <c r="I98" s="48"/>
      <c r="J98" s="47"/>
      <c r="K98" s="48"/>
      <c r="L98" s="47"/>
      <c r="M98" s="47"/>
      <c r="N98" s="47"/>
      <c r="O98" s="47"/>
      <c r="P98" s="4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3.2">
      <c r="A99" s="47"/>
      <c r="B99" s="5">
        <v>4</v>
      </c>
      <c r="C99" s="5">
        <f t="shared" si="28"/>
        <v>29</v>
      </c>
      <c r="D99" s="19">
        <f>D97+2</f>
        <v>43028</v>
      </c>
      <c r="E99" s="82">
        <v>372</v>
      </c>
      <c r="F99" s="12">
        <f t="shared" ref="F99:F101" si="31">(E98-E99)/(D99-D98)</f>
        <v>11.100000000000023</v>
      </c>
      <c r="G99" s="47"/>
      <c r="H99" s="47"/>
      <c r="I99" s="18">
        <v>50.6</v>
      </c>
      <c r="J99" s="48">
        <f>(I97-I99)/(D99-D97)</f>
        <v>3.6499999999999986</v>
      </c>
      <c r="K99" s="18">
        <v>23.2</v>
      </c>
      <c r="L99" s="47"/>
      <c r="M99" s="47"/>
      <c r="N99" s="47"/>
      <c r="O99" s="47"/>
      <c r="P99" s="4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3.2">
      <c r="A100" s="47"/>
      <c r="B100" s="5">
        <v>4</v>
      </c>
      <c r="C100" s="5">
        <f t="shared" si="28"/>
        <v>32</v>
      </c>
      <c r="D100" s="19">
        <v>43031</v>
      </c>
      <c r="E100" s="11">
        <v>351.4</v>
      </c>
      <c r="F100" s="12">
        <f t="shared" si="31"/>
        <v>6.8666666666666742</v>
      </c>
      <c r="G100" s="47"/>
      <c r="H100" s="47"/>
      <c r="I100" s="18">
        <v>38.1</v>
      </c>
      <c r="J100" s="48">
        <f>(I99-I100)/(D100-D99)</f>
        <v>4.166666666666667</v>
      </c>
      <c r="K100" s="18">
        <v>23.5</v>
      </c>
      <c r="L100" s="47"/>
      <c r="M100" s="47"/>
      <c r="N100" s="47"/>
      <c r="O100" s="47"/>
      <c r="P100" s="4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3.2">
      <c r="A101" s="47"/>
      <c r="B101" s="5">
        <v>4</v>
      </c>
      <c r="C101" s="5">
        <f t="shared" si="28"/>
        <v>34</v>
      </c>
      <c r="D101" s="19">
        <v>43033</v>
      </c>
      <c r="E101" s="11">
        <v>333</v>
      </c>
      <c r="F101" s="12">
        <f t="shared" si="31"/>
        <v>9.1999999999999886</v>
      </c>
      <c r="G101" s="47"/>
      <c r="H101" s="47"/>
      <c r="I101" s="18">
        <v>69.8</v>
      </c>
      <c r="J101" s="48">
        <f>(77.1-I101)/(D101-D100)</f>
        <v>3.6499999999999986</v>
      </c>
      <c r="K101" s="18">
        <v>23.4</v>
      </c>
      <c r="L101" s="47"/>
      <c r="M101" s="47"/>
      <c r="N101" s="47"/>
      <c r="O101" s="47"/>
      <c r="P101" s="4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3.2">
      <c r="A102" s="47"/>
      <c r="B102" s="5">
        <v>5</v>
      </c>
      <c r="C102" s="5">
        <f t="shared" si="28"/>
        <v>35</v>
      </c>
      <c r="D102" s="20">
        <v>43034</v>
      </c>
      <c r="E102" s="11">
        <v>360.1</v>
      </c>
      <c r="F102" s="12"/>
      <c r="G102" s="47"/>
      <c r="H102" s="47"/>
      <c r="I102" s="48"/>
      <c r="J102" s="48"/>
      <c r="K102" s="48"/>
      <c r="L102" s="47"/>
      <c r="M102" s="47"/>
      <c r="N102" s="47"/>
      <c r="O102" s="47"/>
      <c r="P102" s="4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3.2">
      <c r="A103" s="47"/>
      <c r="B103" s="5">
        <v>5</v>
      </c>
      <c r="C103" s="5">
        <f t="shared" si="28"/>
        <v>36</v>
      </c>
      <c r="D103" s="19">
        <v>43035</v>
      </c>
      <c r="E103" s="11">
        <v>351.2</v>
      </c>
      <c r="F103" s="12">
        <f t="shared" ref="F103:F105" si="32">(E102-E103)/(D103-D102)</f>
        <v>8.9000000000000341</v>
      </c>
      <c r="G103" s="47"/>
      <c r="H103" s="47"/>
      <c r="I103" s="18">
        <v>62</v>
      </c>
      <c r="J103" s="48">
        <f>(I101-I103)/(D103-D101)</f>
        <v>3.8999999999999986</v>
      </c>
      <c r="K103" s="18">
        <v>23.5</v>
      </c>
      <c r="L103" s="47"/>
      <c r="M103" s="47"/>
      <c r="N103" s="47"/>
      <c r="O103" s="47"/>
      <c r="P103" s="4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3.2">
      <c r="A104" s="47"/>
      <c r="B104" s="5">
        <v>5</v>
      </c>
      <c r="C104" s="5">
        <f t="shared" si="28"/>
        <v>39</v>
      </c>
      <c r="D104" s="19">
        <v>43038</v>
      </c>
      <c r="E104" s="11">
        <v>327.8</v>
      </c>
      <c r="F104" s="12">
        <f t="shared" si="32"/>
        <v>7.7999999999999927</v>
      </c>
      <c r="G104" s="47"/>
      <c r="H104" s="47"/>
      <c r="I104" s="18">
        <v>51.4</v>
      </c>
      <c r="J104" s="48">
        <f>(I103-I104)/(D104-D103)</f>
        <v>3.5333333333333337</v>
      </c>
      <c r="K104" s="18">
        <v>23.9</v>
      </c>
      <c r="L104" s="47"/>
      <c r="M104" s="47"/>
      <c r="N104" s="47"/>
      <c r="O104" s="47"/>
      <c r="P104" s="4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3.2">
      <c r="A105" s="47"/>
      <c r="B105" s="5">
        <v>5</v>
      </c>
      <c r="C105" s="5">
        <f t="shared" si="28"/>
        <v>41</v>
      </c>
      <c r="D105" s="19">
        <v>43040</v>
      </c>
      <c r="E105" s="11">
        <v>312.39999999999998</v>
      </c>
      <c r="F105" s="12">
        <f t="shared" si="32"/>
        <v>7.7000000000000171</v>
      </c>
      <c r="G105" s="47"/>
      <c r="H105" s="47"/>
      <c r="I105" s="18">
        <v>94.7</v>
      </c>
      <c r="J105" s="48">
        <f>(103-I105)/(D105-D104)</f>
        <v>4.1499999999999986</v>
      </c>
      <c r="K105" s="18">
        <v>23.6</v>
      </c>
      <c r="L105" s="47"/>
      <c r="M105" s="47"/>
      <c r="N105" s="47"/>
      <c r="O105" s="47"/>
      <c r="P105" s="4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3.2">
      <c r="A106" s="47"/>
      <c r="B106" s="5">
        <v>6</v>
      </c>
      <c r="C106" s="5">
        <f t="shared" si="28"/>
        <v>42</v>
      </c>
      <c r="D106" s="20">
        <v>43041</v>
      </c>
      <c r="E106" s="11">
        <v>359.4</v>
      </c>
      <c r="F106" s="12"/>
      <c r="G106" s="47"/>
      <c r="H106" s="47"/>
      <c r="I106" s="48"/>
      <c r="J106" s="47"/>
      <c r="K106" s="48"/>
      <c r="L106" s="47"/>
      <c r="M106" s="47"/>
      <c r="N106" s="47"/>
      <c r="O106" s="47"/>
      <c r="P106" s="4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3.2">
      <c r="A107" s="47"/>
      <c r="B107" s="5">
        <v>6</v>
      </c>
      <c r="C107" s="5">
        <f t="shared" si="28"/>
        <v>43</v>
      </c>
      <c r="D107" s="19">
        <v>43042</v>
      </c>
      <c r="E107" s="11">
        <v>350.6</v>
      </c>
      <c r="F107" s="12">
        <f t="shared" ref="F107:F109" si="33">(E106-E107)/(D107-D106)</f>
        <v>8.7999999999999545</v>
      </c>
      <c r="G107" s="47"/>
      <c r="H107" s="47"/>
      <c r="I107" s="18">
        <v>89.2</v>
      </c>
      <c r="J107" s="48">
        <f>(I105-I107)/(D107-D105)</f>
        <v>2.75</v>
      </c>
      <c r="K107" s="18">
        <v>24.3</v>
      </c>
      <c r="L107" s="47"/>
      <c r="M107" s="47"/>
      <c r="N107" s="47"/>
      <c r="O107" s="47"/>
      <c r="P107" s="4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3.2">
      <c r="A108" s="47"/>
      <c r="B108" s="5">
        <v>6</v>
      </c>
      <c r="C108" s="5">
        <f t="shared" si="28"/>
        <v>46</v>
      </c>
      <c r="D108" s="19">
        <v>43045</v>
      </c>
      <c r="E108" s="11">
        <v>328.2</v>
      </c>
      <c r="F108" s="12">
        <f t="shared" si="33"/>
        <v>7.4666666666666783</v>
      </c>
      <c r="G108" s="47"/>
      <c r="H108" s="47"/>
      <c r="I108" s="18">
        <v>78</v>
      </c>
      <c r="J108" s="48">
        <f t="shared" ref="J108:J109" si="34">(I107-I108)/(D108-D107)</f>
        <v>3.7333333333333343</v>
      </c>
      <c r="K108" s="18">
        <v>24.4</v>
      </c>
      <c r="L108" s="47"/>
      <c r="M108" s="47"/>
      <c r="N108" s="47"/>
      <c r="O108" s="47"/>
      <c r="P108" s="4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3.2">
      <c r="A109" s="47"/>
      <c r="B109" s="5">
        <v>6</v>
      </c>
      <c r="C109" s="5">
        <f t="shared" si="28"/>
        <v>48</v>
      </c>
      <c r="D109" s="19">
        <v>43047</v>
      </c>
      <c r="E109" s="11">
        <v>310.8</v>
      </c>
      <c r="F109" s="12">
        <f t="shared" si="33"/>
        <v>8.6999999999999886</v>
      </c>
      <c r="G109" s="47"/>
      <c r="H109" s="47"/>
      <c r="I109" s="18">
        <v>69.400000000000006</v>
      </c>
      <c r="J109" s="48">
        <f t="shared" si="34"/>
        <v>4.2999999999999972</v>
      </c>
      <c r="K109" s="18">
        <v>24.5</v>
      </c>
      <c r="L109" s="47"/>
      <c r="M109" s="47"/>
      <c r="N109" s="47"/>
      <c r="O109" s="47"/>
      <c r="P109" s="4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3.2">
      <c r="A110" s="47"/>
      <c r="B110" s="5">
        <v>7</v>
      </c>
      <c r="C110" s="5">
        <f t="shared" si="28"/>
        <v>49</v>
      </c>
      <c r="D110" s="20">
        <v>43048</v>
      </c>
      <c r="E110" s="11">
        <v>369.6</v>
      </c>
      <c r="F110" s="12"/>
      <c r="G110" s="47"/>
      <c r="H110" s="47"/>
      <c r="I110" s="48"/>
      <c r="J110" s="47"/>
      <c r="K110" s="48"/>
      <c r="L110" s="47"/>
      <c r="M110" s="47"/>
      <c r="N110" s="47"/>
      <c r="O110" s="47"/>
      <c r="P110" s="4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3.2">
      <c r="A111" s="47"/>
      <c r="B111" s="5">
        <v>7</v>
      </c>
      <c r="C111" s="5">
        <f t="shared" si="28"/>
        <v>50</v>
      </c>
      <c r="D111" s="19">
        <v>43049</v>
      </c>
      <c r="E111" s="11">
        <v>361.4</v>
      </c>
      <c r="F111" s="12">
        <f t="shared" ref="F111:F113" si="35">(E110-E111)/(D111-D110)</f>
        <v>8.2000000000000455</v>
      </c>
      <c r="G111" s="47"/>
      <c r="H111" s="47"/>
      <c r="I111" s="18">
        <v>62.2</v>
      </c>
      <c r="J111" s="48">
        <f>(I109-I111)/(D111-D109)</f>
        <v>3.6000000000000014</v>
      </c>
      <c r="K111" s="18">
        <v>23.9</v>
      </c>
      <c r="L111" s="47"/>
      <c r="M111" s="47"/>
      <c r="N111" s="47"/>
      <c r="O111" s="47"/>
      <c r="P111" s="4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3.2">
      <c r="A112" s="47"/>
      <c r="B112" s="5">
        <v>7</v>
      </c>
      <c r="C112" s="5">
        <f t="shared" si="28"/>
        <v>53</v>
      </c>
      <c r="D112" s="19">
        <v>43052</v>
      </c>
      <c r="E112" s="11">
        <v>338.8</v>
      </c>
      <c r="F112" s="12">
        <f t="shared" si="35"/>
        <v>7.5333333333333217</v>
      </c>
      <c r="G112" s="47"/>
      <c r="H112" s="47"/>
      <c r="I112" s="18">
        <v>51.4</v>
      </c>
      <c r="J112" s="48">
        <f t="shared" ref="J112:J113" si="36">(I111-I112)/(D112-D111)</f>
        <v>3.6000000000000014</v>
      </c>
      <c r="K112" s="18">
        <v>24</v>
      </c>
      <c r="L112" s="47"/>
      <c r="M112" s="47"/>
      <c r="N112" s="47"/>
      <c r="O112" s="47"/>
      <c r="P112" s="4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3.2">
      <c r="A113" s="47"/>
      <c r="B113" s="5">
        <v>7</v>
      </c>
      <c r="C113" s="5">
        <f t="shared" si="28"/>
        <v>55</v>
      </c>
      <c r="D113" s="19">
        <v>43054</v>
      </c>
      <c r="E113" s="11">
        <v>324.7</v>
      </c>
      <c r="F113" s="12">
        <f t="shared" si="35"/>
        <v>7.0500000000000114</v>
      </c>
      <c r="G113" s="47"/>
      <c r="H113" s="47"/>
      <c r="I113" s="18">
        <v>43.9</v>
      </c>
      <c r="J113" s="51">
        <f t="shared" si="36"/>
        <v>3.75</v>
      </c>
      <c r="K113" s="18">
        <v>24.5</v>
      </c>
      <c r="L113" s="47"/>
      <c r="M113" s="47"/>
      <c r="N113" s="47"/>
      <c r="O113" s="47"/>
      <c r="P113" s="4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3.2">
      <c r="A114" s="47"/>
      <c r="B114" s="5">
        <v>8</v>
      </c>
      <c r="C114" s="5">
        <f t="shared" si="28"/>
        <v>56</v>
      </c>
      <c r="D114" s="20">
        <v>43055</v>
      </c>
      <c r="E114" s="11">
        <v>371.3</v>
      </c>
      <c r="F114" s="12"/>
      <c r="G114" s="47"/>
      <c r="H114" s="47"/>
      <c r="I114" s="48"/>
      <c r="J114" s="47"/>
      <c r="K114" s="48"/>
      <c r="L114" s="47"/>
      <c r="M114" s="47"/>
      <c r="N114" s="47"/>
      <c r="O114" s="47"/>
      <c r="P114" s="4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3.2">
      <c r="A115" s="47"/>
      <c r="B115" s="5">
        <v>8</v>
      </c>
      <c r="C115" s="5">
        <f t="shared" si="28"/>
        <v>57</v>
      </c>
      <c r="D115" s="20">
        <v>43056</v>
      </c>
      <c r="E115" s="11">
        <v>357.2</v>
      </c>
      <c r="F115" s="12">
        <f t="shared" ref="F115:F116" si="37">(E114-E115)/(D115-D114)</f>
        <v>14.100000000000023</v>
      </c>
      <c r="G115" s="47"/>
      <c r="H115" s="47"/>
      <c r="I115" s="18">
        <v>36.799999999999997</v>
      </c>
      <c r="J115" s="48">
        <f>(I113-I115)/(D115-D113)</f>
        <v>3.5500000000000007</v>
      </c>
      <c r="K115" s="18">
        <v>24.4</v>
      </c>
      <c r="L115" s="47"/>
      <c r="M115" s="47"/>
      <c r="N115" s="47"/>
      <c r="O115" s="47"/>
      <c r="P115" s="4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3.2">
      <c r="A116" s="47"/>
      <c r="B116" s="5">
        <v>8</v>
      </c>
      <c r="C116" s="5">
        <f t="shared" si="28"/>
        <v>60</v>
      </c>
      <c r="D116" s="20">
        <v>43059</v>
      </c>
      <c r="E116" s="11">
        <v>339.4</v>
      </c>
      <c r="F116" s="12">
        <f t="shared" si="37"/>
        <v>5.9333333333333371</v>
      </c>
      <c r="G116" s="47"/>
      <c r="H116" s="47"/>
      <c r="I116" s="18">
        <v>27</v>
      </c>
      <c r="J116" s="51">
        <f>(I115-I116)/(D116-D115)</f>
        <v>3.2666666666666657</v>
      </c>
      <c r="K116" s="18">
        <v>24.6</v>
      </c>
      <c r="L116" s="47"/>
      <c r="M116" s="47"/>
      <c r="N116" s="47"/>
      <c r="O116" s="47"/>
      <c r="P116" s="4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3.2">
      <c r="A117" s="47"/>
      <c r="B117" s="5">
        <v>8</v>
      </c>
      <c r="C117" s="5">
        <f t="shared" si="28"/>
        <v>61</v>
      </c>
      <c r="D117" s="20">
        <v>43060</v>
      </c>
      <c r="E117" s="11">
        <v>371.6</v>
      </c>
      <c r="F117" s="12"/>
      <c r="G117" s="47"/>
      <c r="H117" s="47"/>
      <c r="I117" s="48"/>
      <c r="J117" s="47"/>
      <c r="K117" s="48"/>
      <c r="L117" s="47"/>
      <c r="M117" s="47"/>
      <c r="N117" s="47"/>
      <c r="O117" s="47"/>
      <c r="P117" s="4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3.2">
      <c r="A118" s="47"/>
      <c r="B118" s="5">
        <v>8</v>
      </c>
      <c r="C118" s="5">
        <f t="shared" si="28"/>
        <v>62</v>
      </c>
      <c r="D118" s="20">
        <v>43061</v>
      </c>
      <c r="E118" s="11">
        <v>367.2</v>
      </c>
      <c r="F118" s="12">
        <f t="shared" ref="F118:F121" si="38">(E117-E118)/(D118-D117)</f>
        <v>4.4000000000000341</v>
      </c>
      <c r="G118" s="47"/>
      <c r="H118" s="47"/>
      <c r="I118" s="18">
        <v>74.900000000000006</v>
      </c>
      <c r="J118" s="47">
        <f>(84.1-I118)/(D118-D117)</f>
        <v>9.1999999999999886</v>
      </c>
      <c r="K118" s="18">
        <v>25.4</v>
      </c>
      <c r="L118" s="47"/>
      <c r="M118" s="47"/>
      <c r="N118" s="47"/>
      <c r="O118" s="47"/>
      <c r="P118" s="4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3.2">
      <c r="A119" s="47"/>
      <c r="B119" s="5">
        <v>9</v>
      </c>
      <c r="C119" s="5">
        <f t="shared" si="28"/>
        <v>64</v>
      </c>
      <c r="D119" s="20">
        <v>43063</v>
      </c>
      <c r="E119" s="11">
        <v>352.7</v>
      </c>
      <c r="F119" s="12">
        <f t="shared" si="38"/>
        <v>7.25</v>
      </c>
      <c r="G119" s="47"/>
      <c r="H119" s="47"/>
      <c r="I119" s="18">
        <v>67.8</v>
      </c>
      <c r="J119" s="51">
        <f t="shared" ref="J119:J121" si="39">(I118-I119)/(D119-D118)</f>
        <v>3.5500000000000043</v>
      </c>
      <c r="K119" s="18">
        <v>25</v>
      </c>
      <c r="L119" s="47"/>
      <c r="M119" s="47"/>
      <c r="N119" s="47"/>
      <c r="O119" s="47"/>
      <c r="P119" s="4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3.2">
      <c r="A120" s="47"/>
      <c r="B120" s="5">
        <v>9</v>
      </c>
      <c r="C120" s="5">
        <f t="shared" si="28"/>
        <v>67</v>
      </c>
      <c r="D120" s="23">
        <v>43066</v>
      </c>
      <c r="E120" s="11">
        <v>332.2</v>
      </c>
      <c r="F120" s="12">
        <f t="shared" si="38"/>
        <v>6.833333333333333</v>
      </c>
      <c r="G120" s="47"/>
      <c r="H120" s="47"/>
      <c r="I120" s="18">
        <v>59</v>
      </c>
      <c r="J120" s="51">
        <f t="shared" si="39"/>
        <v>2.9333333333333322</v>
      </c>
      <c r="K120" s="18">
        <v>24.2</v>
      </c>
      <c r="L120" s="47"/>
      <c r="M120" s="47"/>
      <c r="N120" s="47"/>
      <c r="O120" s="47"/>
      <c r="P120" s="4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3.2">
      <c r="A121" s="47"/>
      <c r="B121" s="5">
        <v>9</v>
      </c>
      <c r="C121" s="5">
        <f t="shared" si="28"/>
        <v>69</v>
      </c>
      <c r="D121" s="23">
        <v>43068</v>
      </c>
      <c r="E121" s="11">
        <v>317.10000000000002</v>
      </c>
      <c r="F121" s="12">
        <f t="shared" si="38"/>
        <v>7.5499999999999829</v>
      </c>
      <c r="G121" s="47"/>
      <c r="H121" s="47"/>
      <c r="I121" s="18">
        <v>52.4</v>
      </c>
      <c r="J121" s="51">
        <f t="shared" si="39"/>
        <v>3.3000000000000007</v>
      </c>
      <c r="K121" s="18">
        <v>24.5</v>
      </c>
      <c r="L121" s="47"/>
      <c r="M121" s="47"/>
      <c r="N121" s="47"/>
      <c r="O121" s="47"/>
      <c r="P121" s="4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3.2">
      <c r="A122" s="47"/>
      <c r="B122" s="5">
        <v>9</v>
      </c>
      <c r="C122" s="5">
        <f t="shared" si="28"/>
        <v>70</v>
      </c>
      <c r="D122" s="23">
        <v>43069</v>
      </c>
      <c r="E122" s="11">
        <v>334.6</v>
      </c>
      <c r="F122" s="12"/>
      <c r="G122" s="47"/>
      <c r="H122" s="47"/>
      <c r="I122" s="48"/>
      <c r="J122" s="47"/>
      <c r="L122" s="47"/>
      <c r="M122" s="47"/>
      <c r="N122" s="47"/>
      <c r="O122" s="47"/>
      <c r="P122" s="4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3.2">
      <c r="A123" s="47"/>
      <c r="B123" s="5">
        <v>10</v>
      </c>
      <c r="C123" s="5">
        <f t="shared" si="28"/>
        <v>71</v>
      </c>
      <c r="D123" s="23">
        <v>43070</v>
      </c>
      <c r="E123" s="11">
        <v>325.3</v>
      </c>
      <c r="F123" s="12">
        <f t="shared" ref="F123:F125" si="40">(E122-E123)/(D123-D122)</f>
        <v>9.3000000000000114</v>
      </c>
      <c r="G123" s="47"/>
      <c r="H123" s="47"/>
      <c r="I123" s="18">
        <v>45.6</v>
      </c>
      <c r="J123" s="47">
        <f>(I121-I123)/(D123-D121)</f>
        <v>3.3999999999999986</v>
      </c>
      <c r="K123" s="18">
        <v>24.8</v>
      </c>
      <c r="L123" s="47"/>
      <c r="M123" s="47"/>
      <c r="N123" s="47"/>
      <c r="O123" s="47"/>
      <c r="P123" s="4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3.2">
      <c r="A124" s="47"/>
      <c r="B124" s="5">
        <v>10</v>
      </c>
      <c r="C124" s="5">
        <f t="shared" si="28"/>
        <v>74</v>
      </c>
      <c r="D124" s="23">
        <v>43073</v>
      </c>
      <c r="E124" s="11">
        <v>305.7</v>
      </c>
      <c r="F124" s="12">
        <f t="shared" si="40"/>
        <v>6.5333333333333412</v>
      </c>
      <c r="G124" s="47"/>
      <c r="H124" s="47"/>
      <c r="I124" s="18">
        <v>36.6</v>
      </c>
      <c r="J124" s="51">
        <f>(I123-I124)/(D124-D123)</f>
        <v>3</v>
      </c>
      <c r="K124" s="18">
        <v>24</v>
      </c>
      <c r="L124" s="47"/>
      <c r="M124" s="47"/>
      <c r="N124" s="47"/>
      <c r="O124" s="47"/>
      <c r="P124" s="4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3.2">
      <c r="A125" s="47"/>
      <c r="B125" s="5">
        <v>10</v>
      </c>
      <c r="C125" s="5">
        <f t="shared" si="28"/>
        <v>76</v>
      </c>
      <c r="D125" s="23">
        <v>43075</v>
      </c>
      <c r="E125" s="11">
        <v>288.60000000000002</v>
      </c>
      <c r="F125" s="12">
        <f t="shared" si="40"/>
        <v>8.5499999999999829</v>
      </c>
      <c r="G125" s="47"/>
      <c r="H125" s="47"/>
      <c r="I125" s="18">
        <v>84</v>
      </c>
      <c r="J125" s="47">
        <f>(91.4-I125)/(D125-D124)</f>
        <v>3.7000000000000028</v>
      </c>
      <c r="K125" s="18">
        <v>24.7</v>
      </c>
      <c r="L125" s="47"/>
      <c r="M125" s="47"/>
      <c r="N125" s="47"/>
      <c r="O125" s="47"/>
      <c r="P125" s="4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3.2">
      <c r="A126" s="47"/>
      <c r="B126" s="5">
        <v>10</v>
      </c>
      <c r="C126" s="5">
        <f t="shared" si="28"/>
        <v>77</v>
      </c>
      <c r="D126" s="24">
        <v>43076</v>
      </c>
      <c r="E126" s="11">
        <v>377.1</v>
      </c>
      <c r="F126" s="12"/>
      <c r="G126" s="47"/>
      <c r="H126" s="47"/>
      <c r="I126" s="48"/>
      <c r="J126" s="47"/>
      <c r="K126" s="48"/>
      <c r="L126" s="47"/>
      <c r="M126" s="47"/>
      <c r="N126" s="47"/>
      <c r="O126" s="47"/>
      <c r="P126" s="4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3.2">
      <c r="A127" s="47"/>
      <c r="B127" s="5">
        <v>11</v>
      </c>
      <c r="C127" s="5">
        <f t="shared" si="28"/>
        <v>78</v>
      </c>
      <c r="D127" s="24">
        <v>43077</v>
      </c>
      <c r="E127" s="11">
        <v>369</v>
      </c>
      <c r="F127" s="12">
        <f t="shared" ref="F127:F129" si="41">(E126-E127)/(D127-D126)</f>
        <v>8.1000000000000227</v>
      </c>
      <c r="G127" s="47"/>
      <c r="H127" s="47"/>
      <c r="I127" s="18">
        <v>77.599999999999994</v>
      </c>
      <c r="J127" s="47">
        <f>(I125-I127)/(D127-D125)</f>
        <v>3.2000000000000028</v>
      </c>
      <c r="K127" s="18">
        <v>24.7</v>
      </c>
      <c r="L127" s="47"/>
      <c r="M127" s="47"/>
      <c r="N127" s="47"/>
      <c r="O127" s="47"/>
      <c r="P127" s="4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3.2">
      <c r="A128" s="47"/>
      <c r="B128" s="5">
        <v>11</v>
      </c>
      <c r="C128" s="5">
        <f t="shared" si="28"/>
        <v>81</v>
      </c>
      <c r="D128" s="24">
        <v>43080</v>
      </c>
      <c r="E128" s="11">
        <v>349.6</v>
      </c>
      <c r="F128" s="12">
        <f t="shared" si="41"/>
        <v>6.4666666666666588</v>
      </c>
      <c r="G128" s="47"/>
      <c r="H128" s="47"/>
      <c r="I128" s="18">
        <v>67.400000000000006</v>
      </c>
      <c r="J128" s="51">
        <f t="shared" ref="J128:J129" si="42">(I127-I128)/(D128-D127)</f>
        <v>3.3999999999999964</v>
      </c>
      <c r="K128" s="18">
        <v>24.6</v>
      </c>
      <c r="L128" s="47"/>
      <c r="M128" s="47"/>
      <c r="N128" s="47"/>
      <c r="O128" s="47"/>
      <c r="P128" s="4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3.2">
      <c r="A129" s="50" t="s">
        <v>46</v>
      </c>
      <c r="B129" s="5">
        <v>11</v>
      </c>
      <c r="C129" s="5">
        <f t="shared" si="28"/>
        <v>83</v>
      </c>
      <c r="D129" s="25">
        <v>43082</v>
      </c>
      <c r="E129" s="11">
        <v>331.5</v>
      </c>
      <c r="F129" s="12">
        <f t="shared" si="41"/>
        <v>9.0500000000000114</v>
      </c>
      <c r="G129" s="47"/>
      <c r="H129" s="47"/>
      <c r="I129" s="18">
        <v>60.2</v>
      </c>
      <c r="J129" s="51">
        <f t="shared" si="42"/>
        <v>3.6000000000000014</v>
      </c>
      <c r="K129" s="18">
        <v>24.9</v>
      </c>
      <c r="L129" s="47"/>
      <c r="M129" s="47"/>
      <c r="N129" s="47"/>
      <c r="O129" s="47"/>
      <c r="P129" s="4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3.2">
      <c r="A130" s="57" t="s">
        <v>28</v>
      </c>
      <c r="B130" s="59">
        <v>11</v>
      </c>
      <c r="C130" s="59">
        <f t="shared" si="28"/>
        <v>85</v>
      </c>
      <c r="D130" s="60">
        <v>43084</v>
      </c>
      <c r="E130" s="61"/>
      <c r="F130" s="61"/>
      <c r="G130" s="62"/>
      <c r="H130" s="62"/>
      <c r="I130" s="63"/>
      <c r="J130" s="62"/>
      <c r="K130" s="64">
        <v>24.7</v>
      </c>
      <c r="L130" s="62"/>
      <c r="M130" s="62"/>
      <c r="N130" s="62"/>
      <c r="O130" s="62"/>
      <c r="P130" s="65"/>
      <c r="Q130" s="66"/>
      <c r="R130" s="66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3.2">
      <c r="A131" s="83" t="s">
        <v>59</v>
      </c>
      <c r="B131" s="83">
        <v>12</v>
      </c>
      <c r="C131" s="84">
        <f t="shared" si="28"/>
        <v>98</v>
      </c>
      <c r="D131" s="85">
        <v>43097</v>
      </c>
      <c r="E131" s="86"/>
      <c r="F131" s="86"/>
      <c r="G131" s="87"/>
      <c r="H131" s="87"/>
      <c r="I131" s="88"/>
      <c r="J131" s="87"/>
      <c r="K131" s="88"/>
      <c r="L131" s="87"/>
      <c r="M131" s="87"/>
      <c r="N131" s="87"/>
      <c r="O131" s="87"/>
      <c r="P131" s="4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3.2">
      <c r="A132" s="87"/>
      <c r="B132" s="83">
        <v>12</v>
      </c>
      <c r="C132" s="84">
        <f t="shared" si="28"/>
        <v>105</v>
      </c>
      <c r="D132" s="85">
        <v>43104</v>
      </c>
      <c r="E132" s="86"/>
      <c r="F132" s="86"/>
      <c r="G132" s="87"/>
      <c r="H132" s="87"/>
      <c r="I132" s="88"/>
      <c r="J132" s="87"/>
      <c r="K132" s="88"/>
      <c r="L132" s="87"/>
      <c r="M132" s="87"/>
      <c r="N132" s="87"/>
      <c r="O132" s="87"/>
      <c r="P132" s="4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3.2">
      <c r="A133" s="87"/>
      <c r="B133" s="83">
        <v>12</v>
      </c>
      <c r="C133" s="84">
        <f t="shared" si="28"/>
        <v>112</v>
      </c>
      <c r="D133" s="85">
        <v>43111</v>
      </c>
      <c r="E133" s="86"/>
      <c r="F133" s="86"/>
      <c r="G133" s="87"/>
      <c r="H133" s="87"/>
      <c r="I133" s="88"/>
      <c r="J133" s="87"/>
      <c r="K133" s="88"/>
      <c r="L133" s="87"/>
      <c r="M133" s="87"/>
      <c r="N133" s="87"/>
      <c r="O133" s="87"/>
      <c r="P133" s="4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3.2">
      <c r="A134" s="87"/>
      <c r="B134" s="83">
        <v>12</v>
      </c>
      <c r="C134" s="84"/>
      <c r="D134" s="89"/>
      <c r="E134" s="86"/>
      <c r="F134" s="86"/>
      <c r="G134" s="87"/>
      <c r="H134" s="87"/>
      <c r="I134" s="88"/>
      <c r="J134" s="87"/>
      <c r="K134" s="88"/>
      <c r="L134" s="87"/>
      <c r="M134" s="87"/>
      <c r="N134" s="87"/>
      <c r="O134" s="87"/>
      <c r="P134" s="4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3.2">
      <c r="A135" s="47"/>
      <c r="B135" s="50"/>
      <c r="C135" s="5"/>
      <c r="D135" s="67"/>
      <c r="E135" s="12"/>
      <c r="F135" s="12"/>
      <c r="G135" s="47"/>
      <c r="H135" s="47"/>
      <c r="I135" s="48"/>
      <c r="J135" s="47"/>
      <c r="K135" s="48"/>
      <c r="L135" s="47"/>
      <c r="M135" s="47"/>
      <c r="N135" s="47"/>
      <c r="O135" s="47"/>
      <c r="P135" s="4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3.2">
      <c r="B136" s="55"/>
      <c r="C136" s="55"/>
      <c r="D136" s="67"/>
      <c r="E136" s="12"/>
      <c r="F136" s="12"/>
      <c r="G136" s="47"/>
      <c r="H136" s="47"/>
      <c r="I136" s="48"/>
      <c r="J136" s="47"/>
      <c r="K136" s="48"/>
      <c r="L136" s="47"/>
      <c r="M136" s="47"/>
      <c r="N136" s="47"/>
      <c r="O136" s="47"/>
      <c r="P136" s="4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3.2">
      <c r="A137" s="47"/>
      <c r="B137" s="55"/>
      <c r="C137" s="55"/>
      <c r="D137" s="67"/>
      <c r="E137" s="12"/>
      <c r="F137" s="12"/>
      <c r="G137" s="47"/>
      <c r="H137" s="47"/>
      <c r="I137" s="48"/>
      <c r="J137" s="47"/>
      <c r="K137" s="48"/>
      <c r="L137" s="47"/>
      <c r="M137" s="47"/>
      <c r="N137" s="47"/>
      <c r="O137" s="47"/>
      <c r="P137" s="4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3.2">
      <c r="A138" s="47"/>
      <c r="B138" s="55"/>
      <c r="C138" s="55"/>
      <c r="D138" s="67"/>
      <c r="E138" s="12"/>
      <c r="F138" s="12"/>
      <c r="G138" s="47"/>
      <c r="H138" s="47"/>
      <c r="I138" s="48"/>
      <c r="J138" s="47"/>
      <c r="K138" s="48"/>
      <c r="L138" s="47"/>
      <c r="M138" s="47"/>
      <c r="N138" s="47"/>
      <c r="O138" s="47"/>
      <c r="P138" s="4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3.2">
      <c r="A139" s="47"/>
      <c r="B139" s="55"/>
      <c r="C139" s="55"/>
      <c r="D139" s="67"/>
      <c r="E139" s="12"/>
      <c r="F139" s="12"/>
      <c r="G139" s="47"/>
      <c r="H139" s="47"/>
      <c r="I139" s="48"/>
      <c r="J139" s="47"/>
      <c r="K139" s="48"/>
      <c r="L139" s="47"/>
      <c r="M139" s="47"/>
      <c r="N139" s="47"/>
      <c r="O139" s="47"/>
      <c r="P139" s="4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3.2">
      <c r="A140" s="47"/>
      <c r="B140" s="55"/>
      <c r="C140" s="55"/>
      <c r="D140" s="67"/>
      <c r="E140" s="12"/>
      <c r="F140" s="12"/>
      <c r="G140" s="47"/>
      <c r="H140" s="47"/>
      <c r="I140" s="48"/>
      <c r="J140" s="47"/>
      <c r="K140" s="48"/>
      <c r="L140" s="47"/>
      <c r="M140" s="47"/>
      <c r="N140" s="47"/>
      <c r="O140" s="47"/>
      <c r="P140" s="4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3.2">
      <c r="A141" s="47"/>
      <c r="B141" s="55"/>
      <c r="C141" s="55"/>
      <c r="D141" s="67"/>
      <c r="E141" s="12"/>
      <c r="F141" s="12"/>
      <c r="G141" s="47"/>
      <c r="H141" s="47"/>
      <c r="I141" s="48"/>
      <c r="J141" s="47"/>
      <c r="K141" s="48"/>
      <c r="L141" s="47"/>
      <c r="M141" s="47"/>
      <c r="N141" s="47"/>
      <c r="O141" s="47"/>
      <c r="P141" s="4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3.2">
      <c r="A142" s="47"/>
      <c r="B142" s="55"/>
      <c r="C142" s="55"/>
      <c r="D142" s="67"/>
      <c r="E142" s="12"/>
      <c r="F142" s="12"/>
      <c r="G142" s="47"/>
      <c r="H142" s="47"/>
      <c r="I142" s="48"/>
      <c r="J142" s="47"/>
      <c r="K142" s="48"/>
      <c r="L142" s="47"/>
      <c r="M142" s="47"/>
      <c r="N142" s="47"/>
      <c r="O142" s="47"/>
      <c r="P142" s="4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3.2">
      <c r="A143" s="47"/>
      <c r="B143" s="55"/>
      <c r="C143" s="55"/>
      <c r="D143" s="67"/>
      <c r="E143" s="12"/>
      <c r="F143" s="12"/>
      <c r="G143" s="47"/>
      <c r="H143" s="47"/>
      <c r="I143" s="48"/>
      <c r="J143" s="47"/>
      <c r="K143" s="48"/>
      <c r="L143" s="47"/>
      <c r="M143" s="47"/>
      <c r="N143" s="47"/>
      <c r="O143" s="47"/>
      <c r="P143" s="4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3.2">
      <c r="A144" s="47"/>
      <c r="B144" s="55"/>
      <c r="C144" s="55"/>
      <c r="D144" s="67"/>
      <c r="E144" s="12"/>
      <c r="F144" s="12"/>
      <c r="G144" s="47"/>
      <c r="H144" s="47"/>
      <c r="I144" s="48"/>
      <c r="J144" s="47"/>
      <c r="K144" s="48"/>
      <c r="L144" s="47"/>
      <c r="M144" s="47"/>
      <c r="N144" s="47"/>
      <c r="O144" s="47"/>
      <c r="P144" s="4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3.2">
      <c r="A145" s="47"/>
      <c r="B145" s="55"/>
      <c r="C145" s="55"/>
      <c r="D145" s="67"/>
      <c r="E145" s="12"/>
      <c r="F145" s="12"/>
      <c r="G145" s="47"/>
      <c r="H145" s="47"/>
      <c r="I145" s="48"/>
      <c r="J145" s="47"/>
      <c r="K145" s="48"/>
      <c r="L145" s="47"/>
      <c r="M145" s="47"/>
      <c r="N145" s="47"/>
      <c r="O145" s="47"/>
      <c r="P145" s="4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3.2">
      <c r="A146" s="47"/>
      <c r="B146" s="55"/>
      <c r="C146" s="55"/>
      <c r="D146" s="67"/>
      <c r="E146" s="12"/>
      <c r="F146" s="12"/>
      <c r="G146" s="47"/>
      <c r="H146" s="47"/>
      <c r="I146" s="48"/>
      <c r="J146" s="47"/>
      <c r="K146" s="48"/>
      <c r="L146" s="47"/>
      <c r="M146" s="47"/>
      <c r="N146" s="47"/>
      <c r="O146" s="47"/>
      <c r="P146" s="4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3.2">
      <c r="A147" s="47"/>
      <c r="B147" s="55"/>
      <c r="C147" s="55"/>
      <c r="D147" s="67"/>
      <c r="E147" s="12"/>
      <c r="F147" s="12"/>
      <c r="G147" s="47"/>
      <c r="H147" s="47"/>
      <c r="I147" s="48"/>
      <c r="J147" s="47"/>
      <c r="K147" s="48"/>
      <c r="L147" s="47"/>
      <c r="M147" s="47"/>
      <c r="N147" s="47"/>
      <c r="O147" s="47"/>
      <c r="P147" s="4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3.2">
      <c r="A148" s="47"/>
      <c r="B148" s="55"/>
      <c r="C148" s="55"/>
      <c r="D148" s="67"/>
      <c r="E148" s="12"/>
      <c r="F148" s="12"/>
      <c r="G148" s="47"/>
      <c r="H148" s="47"/>
      <c r="I148" s="48"/>
      <c r="J148" s="47"/>
      <c r="K148" s="48"/>
      <c r="L148" s="47"/>
      <c r="M148" s="47"/>
      <c r="N148" s="47"/>
      <c r="O148" s="47"/>
      <c r="P148" s="4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3.2">
      <c r="A149" s="47"/>
      <c r="B149" s="55"/>
      <c r="C149" s="55"/>
      <c r="D149" s="67"/>
      <c r="E149" s="12"/>
      <c r="F149" s="12"/>
      <c r="G149" s="47"/>
      <c r="H149" s="47"/>
      <c r="I149" s="48"/>
      <c r="J149" s="47"/>
      <c r="K149" s="48"/>
      <c r="L149" s="47"/>
      <c r="M149" s="47"/>
      <c r="N149" s="47"/>
      <c r="O149" s="47"/>
      <c r="P149" s="4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3.2">
      <c r="A150" s="47"/>
      <c r="B150" s="55"/>
      <c r="C150" s="55"/>
      <c r="D150" s="67"/>
      <c r="E150" s="12"/>
      <c r="F150" s="12"/>
      <c r="G150" s="47"/>
      <c r="H150" s="47"/>
      <c r="I150" s="48"/>
      <c r="J150" s="47"/>
      <c r="K150" s="48"/>
      <c r="L150" s="47"/>
      <c r="M150" s="47"/>
      <c r="N150" s="47"/>
      <c r="O150" s="47"/>
      <c r="P150" s="4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3.2">
      <c r="A151" s="47"/>
      <c r="B151" s="55"/>
      <c r="C151" s="55"/>
      <c r="D151" s="67"/>
      <c r="E151" s="12"/>
      <c r="F151" s="12"/>
      <c r="G151" s="47"/>
      <c r="H151" s="47"/>
      <c r="I151" s="48"/>
      <c r="J151" s="47"/>
      <c r="K151" s="48"/>
      <c r="L151" s="47"/>
      <c r="M151" s="47"/>
      <c r="N151" s="47"/>
      <c r="O151" s="47"/>
      <c r="P151" s="4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3.2">
      <c r="A152" s="47"/>
      <c r="B152" s="55"/>
      <c r="C152" s="55"/>
      <c r="D152" s="67"/>
      <c r="E152" s="12"/>
      <c r="F152" s="12"/>
      <c r="G152" s="47"/>
      <c r="H152" s="47"/>
      <c r="I152" s="48"/>
      <c r="J152" s="47"/>
      <c r="K152" s="48"/>
      <c r="L152" s="47"/>
      <c r="M152" s="47"/>
      <c r="N152" s="47"/>
      <c r="O152" s="47"/>
      <c r="P152" s="4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3.2">
      <c r="A153" s="47"/>
      <c r="B153" s="55"/>
      <c r="C153" s="55"/>
      <c r="D153" s="67"/>
      <c r="E153" s="12"/>
      <c r="F153" s="12"/>
      <c r="G153" s="47"/>
      <c r="H153" s="47"/>
      <c r="I153" s="48"/>
      <c r="J153" s="47"/>
      <c r="K153" s="48"/>
      <c r="L153" s="47"/>
      <c r="M153" s="47"/>
      <c r="N153" s="47"/>
      <c r="O153" s="47"/>
      <c r="P153" s="4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3.2">
      <c r="A154" s="47"/>
      <c r="B154" s="55"/>
      <c r="C154" s="55"/>
      <c r="D154" s="67"/>
      <c r="E154" s="12"/>
      <c r="F154" s="12"/>
      <c r="G154" s="47"/>
      <c r="H154" s="47"/>
      <c r="I154" s="48"/>
      <c r="J154" s="47"/>
      <c r="K154" s="48"/>
      <c r="L154" s="47"/>
      <c r="M154" s="47"/>
      <c r="N154" s="47"/>
      <c r="O154" s="47"/>
      <c r="P154" s="4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3.2">
      <c r="A155" s="47"/>
      <c r="B155" s="55"/>
      <c r="C155" s="55"/>
      <c r="D155" s="67"/>
      <c r="E155" s="12"/>
      <c r="F155" s="12"/>
      <c r="G155" s="47"/>
      <c r="H155" s="47"/>
      <c r="I155" s="48"/>
      <c r="J155" s="47"/>
      <c r="K155" s="48"/>
      <c r="L155" s="47"/>
      <c r="M155" s="47"/>
      <c r="N155" s="47"/>
      <c r="O155" s="47"/>
      <c r="P155" s="4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3.2">
      <c r="A156" s="47"/>
      <c r="B156" s="55"/>
      <c r="C156" s="55"/>
      <c r="D156" s="67"/>
      <c r="E156" s="12"/>
      <c r="F156" s="12"/>
      <c r="G156" s="47"/>
      <c r="H156" s="47"/>
      <c r="I156" s="48"/>
      <c r="J156" s="47"/>
      <c r="K156" s="48"/>
      <c r="L156" s="47"/>
      <c r="M156" s="47"/>
      <c r="N156" s="47"/>
      <c r="O156" s="47"/>
      <c r="P156" s="4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3.2">
      <c r="A157" s="47"/>
      <c r="B157" s="55"/>
      <c r="C157" s="55"/>
      <c r="D157" s="67"/>
      <c r="E157" s="12"/>
      <c r="F157" s="12"/>
      <c r="G157" s="47"/>
      <c r="H157" s="47"/>
      <c r="I157" s="48"/>
      <c r="J157" s="47"/>
      <c r="K157" s="48"/>
      <c r="L157" s="47"/>
      <c r="M157" s="47"/>
      <c r="N157" s="47"/>
      <c r="O157" s="47"/>
      <c r="P157" s="4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3.2">
      <c r="A158" s="47"/>
      <c r="B158" s="55"/>
      <c r="C158" s="55"/>
      <c r="D158" s="67"/>
      <c r="E158" s="12"/>
      <c r="F158" s="12"/>
      <c r="G158" s="47"/>
      <c r="H158" s="47"/>
      <c r="I158" s="48"/>
      <c r="J158" s="47"/>
      <c r="K158" s="48"/>
      <c r="L158" s="47"/>
      <c r="M158" s="47"/>
      <c r="N158" s="47"/>
      <c r="O158" s="47"/>
      <c r="P158" s="4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3.2">
      <c r="A159" s="47"/>
      <c r="B159" s="55"/>
      <c r="C159" s="55"/>
      <c r="D159" s="67"/>
      <c r="E159" s="12"/>
      <c r="F159" s="12"/>
      <c r="G159" s="47"/>
      <c r="H159" s="47"/>
      <c r="I159" s="48"/>
      <c r="J159" s="47"/>
      <c r="K159" s="48"/>
      <c r="L159" s="47"/>
      <c r="M159" s="47"/>
      <c r="N159" s="47"/>
      <c r="O159" s="47"/>
      <c r="P159" s="4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3.2">
      <c r="A160" s="47"/>
      <c r="B160" s="55"/>
      <c r="C160" s="55"/>
      <c r="D160" s="67"/>
      <c r="E160" s="12"/>
      <c r="F160" s="12"/>
      <c r="G160" s="47"/>
      <c r="H160" s="47"/>
      <c r="I160" s="48"/>
      <c r="J160" s="47"/>
      <c r="K160" s="48"/>
      <c r="L160" s="47"/>
      <c r="M160" s="47"/>
      <c r="N160" s="47"/>
      <c r="O160" s="47"/>
      <c r="P160" s="4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3.2">
      <c r="A161" s="47"/>
      <c r="B161" s="55"/>
      <c r="C161" s="55"/>
      <c r="D161" s="67"/>
      <c r="E161" s="12"/>
      <c r="F161" s="12"/>
      <c r="G161" s="47"/>
      <c r="H161" s="47"/>
      <c r="I161" s="48"/>
      <c r="J161" s="47"/>
      <c r="K161" s="48"/>
      <c r="L161" s="47"/>
      <c r="M161" s="47"/>
      <c r="N161" s="47"/>
      <c r="O161" s="47"/>
      <c r="P161" s="4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3.2">
      <c r="A162" s="47"/>
      <c r="B162" s="55"/>
      <c r="C162" s="55"/>
      <c r="D162" s="67"/>
      <c r="E162" s="12"/>
      <c r="F162" s="12"/>
      <c r="G162" s="47"/>
      <c r="H162" s="47"/>
      <c r="I162" s="48"/>
      <c r="J162" s="47"/>
      <c r="K162" s="48"/>
      <c r="L162" s="47"/>
      <c r="M162" s="47"/>
      <c r="N162" s="47"/>
      <c r="O162" s="47"/>
      <c r="P162" s="4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3.2">
      <c r="A163" s="47"/>
      <c r="B163" s="55"/>
      <c r="C163" s="55"/>
      <c r="D163" s="67"/>
      <c r="E163" s="12"/>
      <c r="F163" s="12"/>
      <c r="G163" s="47"/>
      <c r="H163" s="47"/>
      <c r="I163" s="48"/>
      <c r="J163" s="47"/>
      <c r="K163" s="48"/>
      <c r="L163" s="47"/>
      <c r="M163" s="47"/>
      <c r="N163" s="47"/>
      <c r="O163" s="47"/>
      <c r="P163" s="4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3.2">
      <c r="A164" s="47"/>
      <c r="B164" s="55"/>
      <c r="C164" s="55"/>
      <c r="D164" s="67"/>
      <c r="E164" s="12"/>
      <c r="F164" s="12"/>
      <c r="G164" s="47"/>
      <c r="H164" s="47"/>
      <c r="I164" s="48"/>
      <c r="J164" s="47"/>
      <c r="K164" s="48"/>
      <c r="L164" s="47"/>
      <c r="M164" s="47"/>
      <c r="N164" s="47"/>
      <c r="O164" s="47"/>
      <c r="P164" s="4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3.2">
      <c r="A165" s="47"/>
      <c r="B165" s="55"/>
      <c r="C165" s="55"/>
      <c r="D165" s="67"/>
      <c r="E165" s="12"/>
      <c r="F165" s="12"/>
      <c r="G165" s="47"/>
      <c r="H165" s="47"/>
      <c r="I165" s="48"/>
      <c r="J165" s="47"/>
      <c r="K165" s="48"/>
      <c r="L165" s="47"/>
      <c r="M165" s="47"/>
      <c r="N165" s="47"/>
      <c r="O165" s="47"/>
      <c r="P165" s="4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3.2">
      <c r="A166" s="47"/>
      <c r="B166" s="55"/>
      <c r="C166" s="55"/>
      <c r="D166" s="67"/>
      <c r="E166" s="12"/>
      <c r="F166" s="12"/>
      <c r="G166" s="47"/>
      <c r="H166" s="47"/>
      <c r="I166" s="48"/>
      <c r="J166" s="47"/>
      <c r="K166" s="48"/>
      <c r="L166" s="47"/>
      <c r="M166" s="47"/>
      <c r="N166" s="47"/>
      <c r="O166" s="47"/>
      <c r="P166" s="4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26.4">
      <c r="A167" s="45" t="s">
        <v>61</v>
      </c>
      <c r="B167" s="5">
        <v>0</v>
      </c>
      <c r="C167" s="5">
        <v>0</v>
      </c>
      <c r="D167" s="9">
        <v>42992</v>
      </c>
      <c r="E167" s="10">
        <v>401.9</v>
      </c>
      <c r="F167" s="12" t="s">
        <v>21</v>
      </c>
      <c r="G167" s="46">
        <f>AVERAGE(F168:F183)</f>
        <v>6.5743589743589723</v>
      </c>
      <c r="H167" s="47"/>
      <c r="I167" s="13">
        <v>126.2</v>
      </c>
      <c r="J167" s="47"/>
      <c r="K167" s="13">
        <v>18.600000000000001</v>
      </c>
      <c r="L167" s="47"/>
      <c r="M167" s="47"/>
      <c r="N167" s="47"/>
      <c r="O167" s="47"/>
      <c r="P167" s="49">
        <f>SUM(O167:O177)-104.4</f>
        <v>367.70000000000005</v>
      </c>
      <c r="Q167" s="7"/>
      <c r="R167" s="7"/>
      <c r="S167" s="73">
        <f>I171-I181</f>
        <v>73.099999999999994</v>
      </c>
      <c r="T167" s="7">
        <f>SUM(S167:S171)*3.1</f>
        <v>669.91</v>
      </c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3.2">
      <c r="A168" s="50" t="s">
        <v>30</v>
      </c>
      <c r="B168" s="5">
        <v>0</v>
      </c>
      <c r="C168" s="5">
        <v>0</v>
      </c>
      <c r="D168" s="9">
        <v>42993</v>
      </c>
      <c r="E168" s="10">
        <v>394.8</v>
      </c>
      <c r="F168" s="12">
        <f>E167-E168</f>
        <v>7.0999999999999659</v>
      </c>
      <c r="G168" s="47"/>
      <c r="H168" s="47"/>
      <c r="I168" s="13">
        <v>122</v>
      </c>
      <c r="J168" s="47">
        <f t="shared" ref="J168:J177" si="43">(I167-I168)/(D168-D167)</f>
        <v>4.2000000000000028</v>
      </c>
      <c r="K168" s="13">
        <v>18</v>
      </c>
      <c r="L168" s="47"/>
      <c r="M168" s="47"/>
      <c r="N168" s="47"/>
      <c r="O168" s="46">
        <f>389.2-E177</f>
        <v>84</v>
      </c>
      <c r="P168" s="49"/>
      <c r="Q168" s="7"/>
      <c r="R168" s="7"/>
      <c r="S168" s="73">
        <f>49.7-I184</f>
        <v>17.100000000000001</v>
      </c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3.2">
      <c r="A169" s="47"/>
      <c r="B169" s="5">
        <v>0</v>
      </c>
      <c r="C169" s="5">
        <v>0</v>
      </c>
      <c r="D169" s="9">
        <v>42996</v>
      </c>
      <c r="E169" s="10">
        <v>378</v>
      </c>
      <c r="F169" s="12">
        <f t="shared" ref="F169:F171" si="44">(E168-E169)/(D169-D168)</f>
        <v>5.6000000000000041</v>
      </c>
      <c r="G169" s="47"/>
      <c r="H169" s="47"/>
      <c r="I169" s="13">
        <v>110.3</v>
      </c>
      <c r="J169" s="47">
        <f t="shared" si="43"/>
        <v>3.9000000000000008</v>
      </c>
      <c r="K169" s="13">
        <v>18.7</v>
      </c>
      <c r="L169" s="47"/>
      <c r="M169" s="47"/>
      <c r="N169" s="47"/>
      <c r="O169" s="46">
        <f>369.5-E181</f>
        <v>20.300000000000011</v>
      </c>
      <c r="P169" s="49"/>
      <c r="Q169" s="7"/>
      <c r="R169" s="7"/>
      <c r="S169" s="73">
        <f>82.4-I196</f>
        <v>46.500000000000007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3.2">
      <c r="A170" s="47"/>
      <c r="B170" s="5">
        <v>0</v>
      </c>
      <c r="C170" s="5">
        <v>0</v>
      </c>
      <c r="D170" s="9">
        <v>42998</v>
      </c>
      <c r="E170" s="10">
        <v>367.3</v>
      </c>
      <c r="F170" s="12">
        <f t="shared" si="44"/>
        <v>5.3499999999999943</v>
      </c>
      <c r="G170" s="47"/>
      <c r="H170" s="47"/>
      <c r="I170" s="13">
        <v>102.8</v>
      </c>
      <c r="J170" s="47">
        <f t="shared" si="43"/>
        <v>3.75</v>
      </c>
      <c r="K170" s="13">
        <v>18.7</v>
      </c>
      <c r="L170" s="47"/>
      <c r="M170" s="47"/>
      <c r="N170" s="47"/>
      <c r="O170" s="46">
        <f>E182-E185</f>
        <v>28.699999999999989</v>
      </c>
      <c r="P170" s="49"/>
      <c r="Q170" s="7"/>
      <c r="R170" s="7"/>
      <c r="S170" s="73">
        <f>81.4-I204</f>
        <v>49.2</v>
      </c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3.2">
      <c r="A171" s="47"/>
      <c r="B171" s="5">
        <v>0.5</v>
      </c>
      <c r="C171" s="5">
        <v>0</v>
      </c>
      <c r="D171" s="9">
        <v>42999</v>
      </c>
      <c r="E171" s="10">
        <v>359.7</v>
      </c>
      <c r="F171" s="12">
        <f t="shared" si="44"/>
        <v>7.6000000000000227</v>
      </c>
      <c r="G171" s="47"/>
      <c r="H171" s="47"/>
      <c r="I171" s="13">
        <v>99.5</v>
      </c>
      <c r="J171" s="47">
        <f t="shared" si="43"/>
        <v>3.2999999999999972</v>
      </c>
      <c r="K171" s="13">
        <v>19.100000000000001</v>
      </c>
      <c r="L171" s="47"/>
      <c r="M171" s="47"/>
      <c r="N171" s="47"/>
      <c r="O171" s="46">
        <f>E186-E189</f>
        <v>40.399999999999977</v>
      </c>
      <c r="P171" s="49"/>
      <c r="Q171" s="7"/>
      <c r="R171" s="7"/>
      <c r="S171" s="73">
        <f>88.9-I217</f>
        <v>30.200000000000003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3.2">
      <c r="A172" s="47"/>
      <c r="B172" s="5">
        <v>0.5</v>
      </c>
      <c r="C172" s="5">
        <f t="shared" ref="C172:C173" si="45">D172-$D171</f>
        <v>1</v>
      </c>
      <c r="D172" s="9">
        <v>43000</v>
      </c>
      <c r="E172" s="10">
        <v>382.7</v>
      </c>
      <c r="F172" s="12">
        <f>(389.2-E172)/(D172-D171)</f>
        <v>6.5</v>
      </c>
      <c r="G172" s="47"/>
      <c r="H172" s="47"/>
      <c r="I172" s="13">
        <v>85.6</v>
      </c>
      <c r="J172" s="47">
        <f t="shared" si="43"/>
        <v>13.900000000000006</v>
      </c>
      <c r="K172" s="13">
        <v>18.8</v>
      </c>
      <c r="L172" s="47"/>
      <c r="M172" s="47"/>
      <c r="N172" s="47"/>
      <c r="O172" s="46">
        <f>E190-E193</f>
        <v>37.300000000000011</v>
      </c>
      <c r="P172" s="4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3.2">
      <c r="A173" s="47"/>
      <c r="B173" s="5">
        <v>0.5</v>
      </c>
      <c r="C173" s="5">
        <f t="shared" si="45"/>
        <v>3</v>
      </c>
      <c r="D173" s="9">
        <v>43003</v>
      </c>
      <c r="E173" s="10">
        <v>364.2</v>
      </c>
      <c r="F173" s="12">
        <f t="shared" ref="F173:F177" si="46">(E172-E173)/(D173-D172)</f>
        <v>6.166666666666667</v>
      </c>
      <c r="G173" s="47"/>
      <c r="H173" s="47"/>
      <c r="I173" s="13">
        <v>84.5</v>
      </c>
      <c r="J173" s="51">
        <f t="shared" si="43"/>
        <v>0.36666666666666475</v>
      </c>
      <c r="K173" s="13">
        <v>19.3</v>
      </c>
      <c r="L173" s="47"/>
      <c r="M173" s="47"/>
      <c r="N173" s="47"/>
      <c r="O173" s="46">
        <f>E194-E197</f>
        <v>37.100000000000023</v>
      </c>
      <c r="P173" s="4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3.2">
      <c r="A174" s="47"/>
      <c r="B174" s="5">
        <v>1</v>
      </c>
      <c r="C174" s="5">
        <f>D174-$D171</f>
        <v>6</v>
      </c>
      <c r="D174" s="9">
        <v>43005</v>
      </c>
      <c r="E174" s="10">
        <v>354.3</v>
      </c>
      <c r="F174" s="12">
        <f t="shared" si="46"/>
        <v>4.9499999999999886</v>
      </c>
      <c r="G174" s="47"/>
      <c r="H174" s="47"/>
      <c r="I174" s="13">
        <v>77.5</v>
      </c>
      <c r="J174" s="47">
        <f t="shared" si="43"/>
        <v>3.5</v>
      </c>
      <c r="K174" s="18">
        <v>19.600000000000001</v>
      </c>
      <c r="L174" s="47"/>
      <c r="M174" s="47"/>
      <c r="N174" s="47"/>
      <c r="O174" s="46">
        <f>E198-E201</f>
        <v>33.600000000000023</v>
      </c>
      <c r="P174" s="4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3.2">
      <c r="A175" s="47"/>
      <c r="B175" s="5">
        <v>1</v>
      </c>
      <c r="C175" s="5">
        <f>D175-D171</f>
        <v>8</v>
      </c>
      <c r="D175" s="17">
        <v>43007</v>
      </c>
      <c r="E175" s="10">
        <v>341.6</v>
      </c>
      <c r="F175" s="11">
        <f t="shared" si="46"/>
        <v>6.3499999999999943</v>
      </c>
      <c r="G175" s="47"/>
      <c r="H175" s="47"/>
      <c r="I175" s="13">
        <v>69.8</v>
      </c>
      <c r="J175" s="47">
        <f t="shared" si="43"/>
        <v>3.8500000000000014</v>
      </c>
      <c r="K175" s="13">
        <v>20</v>
      </c>
      <c r="L175" s="47"/>
      <c r="M175" s="47"/>
      <c r="N175" s="47"/>
      <c r="O175" s="46">
        <f>E202-E209</f>
        <v>119.80000000000001</v>
      </c>
      <c r="P175" s="4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3.2">
      <c r="A176" s="47"/>
      <c r="B176" s="5">
        <v>1</v>
      </c>
      <c r="C176" s="5">
        <f>D176-D171</f>
        <v>11</v>
      </c>
      <c r="D176" s="19">
        <v>43010</v>
      </c>
      <c r="E176" s="11">
        <v>323.2</v>
      </c>
      <c r="F176" s="12">
        <f t="shared" si="46"/>
        <v>6.1333333333333444</v>
      </c>
      <c r="G176" s="47"/>
      <c r="H176" s="47"/>
      <c r="I176" s="13">
        <v>59.1</v>
      </c>
      <c r="J176" s="16">
        <f t="shared" si="43"/>
        <v>3.5666666666666651</v>
      </c>
      <c r="K176" s="13">
        <v>20.399999999999999</v>
      </c>
      <c r="L176" s="47"/>
      <c r="M176" s="47"/>
      <c r="N176" s="47"/>
      <c r="O176" s="46">
        <f>E210-E213</f>
        <v>35.399999999999977</v>
      </c>
      <c r="P176" s="4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3.2">
      <c r="A177" s="47"/>
      <c r="B177" s="5">
        <v>1</v>
      </c>
      <c r="C177" s="5">
        <f>D177-D171</f>
        <v>13</v>
      </c>
      <c r="D177" s="19">
        <v>43012</v>
      </c>
      <c r="E177" s="11">
        <v>305.2</v>
      </c>
      <c r="F177" s="12">
        <f t="shared" si="46"/>
        <v>9</v>
      </c>
      <c r="G177" s="47"/>
      <c r="H177" s="47"/>
      <c r="I177" s="13">
        <v>52.8</v>
      </c>
      <c r="J177" s="47">
        <f t="shared" si="43"/>
        <v>3.1500000000000021</v>
      </c>
      <c r="K177" s="13">
        <v>20.7</v>
      </c>
      <c r="L177" s="47"/>
      <c r="M177" s="47"/>
      <c r="N177" s="47"/>
      <c r="O177" s="46">
        <f>E214-E217</f>
        <v>35.5</v>
      </c>
      <c r="P177" s="4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3.2">
      <c r="A178" s="47"/>
      <c r="B178" s="5">
        <v>2</v>
      </c>
      <c r="C178" s="5">
        <f>D178-D171</f>
        <v>14</v>
      </c>
      <c r="D178" s="19">
        <v>43013</v>
      </c>
      <c r="E178" s="11">
        <v>387.9</v>
      </c>
      <c r="F178" s="12"/>
      <c r="G178" s="47"/>
      <c r="H178" s="47"/>
      <c r="I178" s="15" t="s">
        <v>24</v>
      </c>
      <c r="J178" s="47"/>
      <c r="K178" s="13">
        <v>20.9</v>
      </c>
      <c r="L178" s="47"/>
      <c r="M178" s="47"/>
      <c r="N178" s="47"/>
      <c r="O178" s="47"/>
      <c r="P178" s="4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3.2">
      <c r="A179" s="47"/>
      <c r="B179" s="5">
        <v>2</v>
      </c>
      <c r="C179" s="5">
        <f>D179-$D171</f>
        <v>15</v>
      </c>
      <c r="D179" s="19">
        <v>43014</v>
      </c>
      <c r="E179" s="11">
        <v>379.5</v>
      </c>
      <c r="F179" s="12">
        <f t="shared" ref="F179:F181" si="47">(E178-E179)/(D179-D178)</f>
        <v>8.3999999999999773</v>
      </c>
      <c r="G179" s="47"/>
      <c r="H179" s="47"/>
      <c r="I179" s="13">
        <v>45.6</v>
      </c>
      <c r="J179" s="47">
        <f>(I179-I180)/(D180-D179)</f>
        <v>3.7000000000000006</v>
      </c>
      <c r="K179" s="13">
        <v>21</v>
      </c>
      <c r="L179" s="47"/>
      <c r="M179" s="47"/>
      <c r="N179" s="47"/>
      <c r="O179" s="47"/>
      <c r="P179" s="4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3.2">
      <c r="A180" s="47"/>
      <c r="B180" s="5">
        <v>2</v>
      </c>
      <c r="C180" s="5">
        <f t="shared" ref="C180:C221" si="48">D180-$D$6</f>
        <v>18</v>
      </c>
      <c r="D180" s="19">
        <v>43017</v>
      </c>
      <c r="E180" s="11">
        <v>362.5</v>
      </c>
      <c r="F180" s="12">
        <f t="shared" si="47"/>
        <v>5.666666666666667</v>
      </c>
      <c r="G180" s="47"/>
      <c r="H180" s="47"/>
      <c r="I180" s="13">
        <v>34.5</v>
      </c>
      <c r="J180" s="47">
        <f>(49.8-I180)/(D180-D179)</f>
        <v>5.0999999999999988</v>
      </c>
      <c r="K180" s="13">
        <v>21.4</v>
      </c>
      <c r="L180" s="47"/>
      <c r="M180" s="47"/>
      <c r="N180" s="47"/>
      <c r="O180" s="47"/>
      <c r="P180" s="4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3.2">
      <c r="A181" s="47"/>
      <c r="B181" s="5">
        <v>2</v>
      </c>
      <c r="C181" s="5">
        <f t="shared" si="48"/>
        <v>20</v>
      </c>
      <c r="D181" s="19">
        <v>43019</v>
      </c>
      <c r="E181" s="11">
        <v>349.2</v>
      </c>
      <c r="F181" s="12">
        <f t="shared" si="47"/>
        <v>6.6500000000000057</v>
      </c>
      <c r="G181" s="47"/>
      <c r="H181" s="47"/>
      <c r="I181" s="13">
        <v>26.4</v>
      </c>
      <c r="J181" s="47">
        <f>(I180-I181)/(D181-D180)</f>
        <v>4.0500000000000007</v>
      </c>
      <c r="K181" s="13">
        <v>24.3</v>
      </c>
      <c r="L181" s="47"/>
      <c r="M181" s="47"/>
      <c r="N181" s="47"/>
      <c r="O181" s="47"/>
      <c r="P181" s="4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3.2">
      <c r="A182" s="47"/>
      <c r="B182" s="5">
        <v>3</v>
      </c>
      <c r="C182" s="5">
        <f t="shared" si="48"/>
        <v>21</v>
      </c>
      <c r="D182" s="19">
        <v>43020</v>
      </c>
      <c r="E182" s="11">
        <v>387</v>
      </c>
      <c r="F182" s="12"/>
      <c r="G182" s="47"/>
      <c r="H182" s="47"/>
      <c r="I182" s="15"/>
      <c r="J182" s="47"/>
      <c r="K182" s="15"/>
      <c r="L182" s="47"/>
      <c r="M182" s="47"/>
      <c r="N182" s="47"/>
      <c r="O182" s="47"/>
      <c r="P182" s="4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3.2">
      <c r="A183" s="47"/>
      <c r="B183" s="5">
        <v>3</v>
      </c>
      <c r="C183" s="5">
        <f t="shared" si="48"/>
        <v>22</v>
      </c>
      <c r="D183" s="19">
        <f>D181+2</f>
        <v>43021</v>
      </c>
      <c r="E183" s="11">
        <v>391.7</v>
      </c>
      <c r="F183" s="12"/>
      <c r="G183" s="47"/>
      <c r="H183" s="47"/>
      <c r="I183" s="13">
        <v>43.9</v>
      </c>
      <c r="J183" s="47">
        <f>(49.7-I183)/(D183-D181)</f>
        <v>2.9000000000000021</v>
      </c>
      <c r="K183" s="13">
        <v>21.4</v>
      </c>
      <c r="L183" s="47"/>
      <c r="M183" s="47"/>
      <c r="N183" s="47"/>
      <c r="O183" s="47"/>
      <c r="P183" s="4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3.2">
      <c r="A184" s="47"/>
      <c r="B184" s="5">
        <v>3</v>
      </c>
      <c r="C184" s="5">
        <f t="shared" si="48"/>
        <v>25</v>
      </c>
      <c r="D184" s="19">
        <f>D183+3</f>
        <v>43024</v>
      </c>
      <c r="E184" s="11">
        <v>371.5</v>
      </c>
      <c r="F184" s="12">
        <f t="shared" ref="F184:F185" si="49">(E183-E184)/(D184-D183)</f>
        <v>6.7333333333333298</v>
      </c>
      <c r="G184" s="47"/>
      <c r="H184" s="47"/>
      <c r="I184" s="18">
        <v>32.6</v>
      </c>
      <c r="J184" s="51">
        <f>(I183-I184)/(D184-D183)</f>
        <v>3.7666666666666657</v>
      </c>
      <c r="K184" s="18">
        <v>21.4</v>
      </c>
      <c r="L184" s="47"/>
      <c r="M184" s="47"/>
      <c r="N184" s="47"/>
      <c r="O184" s="47"/>
      <c r="P184" s="4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3.2">
      <c r="A185" s="47"/>
      <c r="B185" s="5">
        <v>3</v>
      </c>
      <c r="C185" s="5">
        <f t="shared" si="48"/>
        <v>27</v>
      </c>
      <c r="D185" s="19">
        <f>D184+2</f>
        <v>43026</v>
      </c>
      <c r="E185" s="11">
        <v>358.3</v>
      </c>
      <c r="F185" s="12">
        <f t="shared" si="49"/>
        <v>6.5999999999999943</v>
      </c>
      <c r="G185" s="47"/>
      <c r="H185" s="47"/>
      <c r="I185" s="18">
        <v>44.7</v>
      </c>
      <c r="J185" s="47">
        <f>(52.5-I185)/(D185-D184)</f>
        <v>3.8999999999999986</v>
      </c>
      <c r="K185" s="18">
        <v>21.3</v>
      </c>
      <c r="L185" s="47"/>
      <c r="M185" s="47"/>
      <c r="N185" s="47"/>
      <c r="O185" s="47"/>
      <c r="P185" s="4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3.2">
      <c r="A186" s="47"/>
      <c r="B186" s="5">
        <v>4</v>
      </c>
      <c r="C186" s="5">
        <f t="shared" si="48"/>
        <v>28</v>
      </c>
      <c r="D186" s="20">
        <v>43027</v>
      </c>
      <c r="E186" s="11">
        <v>407.2</v>
      </c>
      <c r="F186" s="12"/>
      <c r="G186" s="47"/>
      <c r="H186" s="47"/>
      <c r="I186" s="48"/>
      <c r="J186" s="47"/>
      <c r="K186" s="48"/>
      <c r="L186" s="47"/>
      <c r="M186" s="47"/>
      <c r="N186" s="47"/>
      <c r="O186" s="47"/>
      <c r="P186" s="4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3.2">
      <c r="A187" s="47"/>
      <c r="B187" s="5">
        <v>4</v>
      </c>
      <c r="C187" s="5">
        <f t="shared" si="48"/>
        <v>29</v>
      </c>
      <c r="D187" s="19">
        <f>D185+2</f>
        <v>43028</v>
      </c>
      <c r="E187" s="11">
        <v>398.8</v>
      </c>
      <c r="F187" s="12">
        <f t="shared" ref="F187:F189" si="50">(E186-E187)/(D187-D186)</f>
        <v>8.3999999999999773</v>
      </c>
      <c r="G187" s="47"/>
      <c r="H187" s="47"/>
      <c r="I187" s="18">
        <v>36.6</v>
      </c>
      <c r="J187" s="47">
        <f>(I185-I187)/(D187-D185)</f>
        <v>4.0500000000000007</v>
      </c>
      <c r="K187" s="18">
        <v>21.8</v>
      </c>
      <c r="L187" s="47"/>
      <c r="M187" s="47"/>
      <c r="N187" s="47"/>
      <c r="O187" s="47"/>
      <c r="P187" s="4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3.2">
      <c r="A188" s="47"/>
      <c r="B188" s="5">
        <v>4</v>
      </c>
      <c r="C188" s="5">
        <f t="shared" si="48"/>
        <v>32</v>
      </c>
      <c r="D188" s="19">
        <v>43031</v>
      </c>
      <c r="E188" s="11">
        <v>381.2</v>
      </c>
      <c r="F188" s="12">
        <f t="shared" si="50"/>
        <v>5.8666666666666742</v>
      </c>
      <c r="G188" s="47"/>
      <c r="H188" s="47"/>
      <c r="I188" s="18">
        <v>23.7</v>
      </c>
      <c r="J188" s="47">
        <f>(I187-I188)/(D188-D187)</f>
        <v>4.3000000000000007</v>
      </c>
      <c r="K188" s="18">
        <v>21.9</v>
      </c>
      <c r="L188" s="47"/>
      <c r="M188" s="47"/>
      <c r="N188" s="47"/>
      <c r="O188" s="47"/>
      <c r="P188" s="4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3.2">
      <c r="A189" s="47"/>
      <c r="B189" s="5">
        <v>4</v>
      </c>
      <c r="C189" s="5">
        <f t="shared" si="48"/>
        <v>34</v>
      </c>
      <c r="D189" s="19">
        <v>43033</v>
      </c>
      <c r="E189" s="11">
        <v>366.8</v>
      </c>
      <c r="F189" s="12">
        <f t="shared" si="50"/>
        <v>7.1999999999999886</v>
      </c>
      <c r="G189" s="47"/>
      <c r="H189" s="47"/>
      <c r="I189" s="18">
        <v>75.8</v>
      </c>
      <c r="J189" s="47">
        <f>(82.4-I189)/(D189-D188)</f>
        <v>3.3000000000000043</v>
      </c>
      <c r="K189" s="18">
        <v>21.2</v>
      </c>
      <c r="L189" s="47"/>
      <c r="M189" s="47"/>
      <c r="N189" s="47"/>
      <c r="O189" s="47"/>
      <c r="P189" s="4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3.2">
      <c r="A190" s="47"/>
      <c r="B190" s="5">
        <v>5</v>
      </c>
      <c r="C190" s="5">
        <f t="shared" si="48"/>
        <v>35</v>
      </c>
      <c r="D190" s="20">
        <v>43034</v>
      </c>
      <c r="E190" s="11">
        <v>381.2</v>
      </c>
      <c r="F190" s="12"/>
      <c r="G190" s="47"/>
      <c r="H190" s="47"/>
      <c r="I190" s="48"/>
      <c r="J190" s="47"/>
      <c r="K190" s="48"/>
      <c r="L190" s="47"/>
      <c r="M190" s="47"/>
      <c r="N190" s="47"/>
      <c r="O190" s="47"/>
      <c r="P190" s="4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3.2">
      <c r="A191" s="47"/>
      <c r="B191" s="5">
        <v>5</v>
      </c>
      <c r="C191" s="5">
        <f t="shared" si="48"/>
        <v>36</v>
      </c>
      <c r="D191" s="19">
        <v>43035</v>
      </c>
      <c r="E191" s="11">
        <v>374.5</v>
      </c>
      <c r="F191" s="12">
        <f t="shared" ref="F191:F193" si="51">(E190-E191)/(D191-D190)</f>
        <v>6.6999999999999886</v>
      </c>
      <c r="G191" s="47"/>
      <c r="H191" s="47"/>
      <c r="I191" s="18">
        <v>68</v>
      </c>
      <c r="J191" s="47">
        <f>(I189-I191)/(D191-D189)</f>
        <v>3.8999999999999986</v>
      </c>
      <c r="K191" s="18">
        <v>21.1</v>
      </c>
      <c r="L191" s="47"/>
      <c r="M191" s="47"/>
      <c r="N191" s="47"/>
      <c r="O191" s="47"/>
      <c r="P191" s="4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3.2">
      <c r="A192" s="47"/>
      <c r="B192" s="5">
        <v>5</v>
      </c>
      <c r="C192" s="5">
        <f t="shared" si="48"/>
        <v>39</v>
      </c>
      <c r="D192" s="19">
        <v>43038</v>
      </c>
      <c r="E192" s="11">
        <v>356.1</v>
      </c>
      <c r="F192" s="12">
        <f t="shared" si="51"/>
        <v>6.1333333333333258</v>
      </c>
      <c r="G192" s="47"/>
      <c r="H192" s="47"/>
      <c r="I192" s="18">
        <v>59.4</v>
      </c>
      <c r="J192" s="48">
        <f t="shared" ref="J192:J193" si="52">(I191-I192)/(D192-D191)</f>
        <v>2.8666666666666671</v>
      </c>
      <c r="K192" s="18">
        <v>21</v>
      </c>
      <c r="L192" s="47"/>
      <c r="M192" s="47"/>
      <c r="N192" s="47"/>
      <c r="O192" s="47"/>
      <c r="P192" s="4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3.2">
      <c r="A193" s="47"/>
      <c r="B193" s="5">
        <v>5</v>
      </c>
      <c r="C193" s="5">
        <f t="shared" si="48"/>
        <v>41</v>
      </c>
      <c r="D193" s="19">
        <v>43040</v>
      </c>
      <c r="E193" s="11">
        <v>343.9</v>
      </c>
      <c r="F193" s="12">
        <f t="shared" si="51"/>
        <v>6.1000000000000227</v>
      </c>
      <c r="G193" s="47"/>
      <c r="H193" s="47"/>
      <c r="I193" s="18">
        <v>52.5</v>
      </c>
      <c r="J193" s="47">
        <f t="shared" si="52"/>
        <v>3.4499999999999993</v>
      </c>
      <c r="K193" s="18">
        <v>21.4</v>
      </c>
      <c r="L193" s="47"/>
      <c r="M193" s="47"/>
      <c r="N193" s="47"/>
      <c r="O193" s="47"/>
      <c r="P193" s="4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3.2">
      <c r="A194" s="47"/>
      <c r="B194" s="5">
        <v>6</v>
      </c>
      <c r="C194" s="5">
        <f t="shared" si="48"/>
        <v>42</v>
      </c>
      <c r="D194" s="20">
        <v>43041</v>
      </c>
      <c r="E194" s="11">
        <v>377.3</v>
      </c>
      <c r="F194" s="12"/>
      <c r="G194" s="47"/>
      <c r="H194" s="47"/>
      <c r="I194" s="48"/>
      <c r="J194" s="47"/>
      <c r="K194" s="48"/>
      <c r="L194" s="47"/>
      <c r="M194" s="47"/>
      <c r="N194" s="47"/>
      <c r="O194" s="47"/>
      <c r="P194" s="4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3.2">
      <c r="A195" s="47"/>
      <c r="B195" s="5">
        <v>6</v>
      </c>
      <c r="C195" s="5">
        <f t="shared" si="48"/>
        <v>43</v>
      </c>
      <c r="D195" s="19">
        <v>43042</v>
      </c>
      <c r="E195" s="11">
        <v>371.9</v>
      </c>
      <c r="F195" s="12">
        <f t="shared" ref="F195:F197" si="53">(E194-E195)/(D195-D194)</f>
        <v>5.4000000000000341</v>
      </c>
      <c r="G195" s="47"/>
      <c r="H195" s="47"/>
      <c r="I195" s="18">
        <v>46.7</v>
      </c>
      <c r="J195" s="47">
        <f>(I193-I195)/(D195-D193)</f>
        <v>2.8999999999999986</v>
      </c>
      <c r="K195" s="18">
        <v>21.4</v>
      </c>
      <c r="L195" s="47"/>
      <c r="M195" s="47"/>
      <c r="N195" s="47"/>
      <c r="O195" s="47"/>
      <c r="P195" s="4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3.2">
      <c r="A196" s="47"/>
      <c r="B196" s="5">
        <v>6</v>
      </c>
      <c r="C196" s="5">
        <f t="shared" si="48"/>
        <v>46</v>
      </c>
      <c r="D196" s="19">
        <v>43045</v>
      </c>
      <c r="E196" s="11">
        <v>354.4</v>
      </c>
      <c r="F196" s="12">
        <f t="shared" si="53"/>
        <v>5.833333333333333</v>
      </c>
      <c r="G196" s="47"/>
      <c r="H196" s="47"/>
      <c r="I196" s="18">
        <v>35.9</v>
      </c>
      <c r="J196" s="48">
        <f>(I195-I196)/(D196-D195)</f>
        <v>3.6000000000000014</v>
      </c>
      <c r="K196" s="18">
        <v>21.9</v>
      </c>
      <c r="L196" s="47"/>
      <c r="M196" s="47"/>
      <c r="N196" s="47"/>
      <c r="O196" s="47"/>
      <c r="P196" s="4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3.2">
      <c r="A197" s="47"/>
      <c r="B197" s="5">
        <v>6</v>
      </c>
      <c r="C197" s="5">
        <f t="shared" si="48"/>
        <v>48</v>
      </c>
      <c r="D197" s="19">
        <v>43047</v>
      </c>
      <c r="E197" s="11">
        <v>340.2</v>
      </c>
      <c r="F197" s="12">
        <f t="shared" si="53"/>
        <v>7.0999999999999943</v>
      </c>
      <c r="G197" s="47"/>
      <c r="H197" s="47"/>
      <c r="I197" s="18">
        <v>73.2</v>
      </c>
      <c r="J197" s="47">
        <f>(81.4-I197)/(D197-D196)</f>
        <v>4.1000000000000014</v>
      </c>
      <c r="K197" s="18">
        <v>21.7</v>
      </c>
      <c r="L197" s="47"/>
      <c r="M197" s="47"/>
      <c r="N197" s="47"/>
      <c r="O197" s="47"/>
      <c r="P197" s="4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3.2">
      <c r="A198" s="47"/>
      <c r="B198" s="5">
        <v>7</v>
      </c>
      <c r="C198" s="5">
        <f t="shared" si="48"/>
        <v>49</v>
      </c>
      <c r="D198" s="20">
        <v>43048</v>
      </c>
      <c r="E198" s="11">
        <v>385</v>
      </c>
      <c r="F198" s="12"/>
      <c r="G198" s="47"/>
      <c r="H198" s="47"/>
      <c r="I198" s="48"/>
      <c r="J198" s="47"/>
      <c r="K198" s="48"/>
      <c r="L198" s="47"/>
      <c r="M198" s="47"/>
      <c r="N198" s="47"/>
      <c r="O198" s="47"/>
      <c r="P198" s="4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3.2">
      <c r="A199" s="47"/>
      <c r="B199" s="5">
        <v>7</v>
      </c>
      <c r="C199" s="5">
        <f t="shared" si="48"/>
        <v>50</v>
      </c>
      <c r="D199" s="19">
        <v>43049</v>
      </c>
      <c r="E199" s="11">
        <v>377.2</v>
      </c>
      <c r="F199" s="12">
        <f t="shared" ref="F199:F201" si="54">(E198-E199)/(D199-D198)</f>
        <v>7.8000000000000114</v>
      </c>
      <c r="G199" s="47"/>
      <c r="H199" s="47"/>
      <c r="I199" s="18">
        <v>66.5</v>
      </c>
      <c r="J199" s="47">
        <f>(I197-I199)/(D199-D197)</f>
        <v>3.3500000000000014</v>
      </c>
      <c r="K199" s="18">
        <v>21.8</v>
      </c>
      <c r="L199" s="47"/>
      <c r="M199" s="47"/>
      <c r="N199" s="47"/>
      <c r="O199" s="47"/>
      <c r="P199" s="4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3.2">
      <c r="A200" s="47"/>
      <c r="B200" s="5">
        <v>7</v>
      </c>
      <c r="C200" s="5">
        <f t="shared" si="48"/>
        <v>53</v>
      </c>
      <c r="D200" s="19">
        <v>43052</v>
      </c>
      <c r="E200" s="11">
        <v>362.6</v>
      </c>
      <c r="F200" s="12">
        <f t="shared" si="54"/>
        <v>4.8666666666666556</v>
      </c>
      <c r="G200" s="47"/>
      <c r="H200" s="47"/>
      <c r="I200" s="18">
        <v>56</v>
      </c>
      <c r="J200" s="48">
        <f t="shared" ref="J200:J201" si="55">(I199-I200)/(D200-D199)</f>
        <v>3.5</v>
      </c>
      <c r="K200" s="18">
        <v>22.7</v>
      </c>
      <c r="L200" s="47"/>
      <c r="M200" s="47"/>
      <c r="N200" s="47"/>
      <c r="O200" s="47"/>
      <c r="P200" s="4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3.2">
      <c r="A201" s="47"/>
      <c r="B201" s="5">
        <v>7</v>
      </c>
      <c r="C201" s="5">
        <f t="shared" si="48"/>
        <v>55</v>
      </c>
      <c r="D201" s="19">
        <v>43054</v>
      </c>
      <c r="E201" s="11">
        <v>351.4</v>
      </c>
      <c r="F201" s="12">
        <f t="shared" si="54"/>
        <v>5.6000000000000227</v>
      </c>
      <c r="G201" s="47"/>
      <c r="H201" s="47"/>
      <c r="I201" s="18">
        <v>49.7</v>
      </c>
      <c r="J201" s="51">
        <f t="shared" si="55"/>
        <v>3.1499999999999986</v>
      </c>
      <c r="K201" s="18">
        <v>21.9</v>
      </c>
      <c r="L201" s="47"/>
      <c r="M201" s="47"/>
      <c r="N201" s="47"/>
      <c r="O201" s="47"/>
      <c r="P201" s="4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3.2">
      <c r="A202" s="47"/>
      <c r="B202" s="5">
        <v>8</v>
      </c>
      <c r="C202" s="5">
        <f t="shared" si="48"/>
        <v>56</v>
      </c>
      <c r="D202" s="20">
        <v>43055</v>
      </c>
      <c r="E202" s="11">
        <v>405.8</v>
      </c>
      <c r="F202" s="12"/>
      <c r="G202" s="47"/>
      <c r="H202" s="47"/>
      <c r="I202" s="48"/>
      <c r="J202" s="47"/>
      <c r="K202" s="48"/>
      <c r="L202" s="47"/>
      <c r="M202" s="47"/>
      <c r="N202" s="47"/>
      <c r="O202" s="47"/>
      <c r="P202" s="4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3.2">
      <c r="A203" s="47"/>
      <c r="B203" s="5">
        <v>8</v>
      </c>
      <c r="C203" s="5">
        <f t="shared" si="48"/>
        <v>57</v>
      </c>
      <c r="D203" s="20">
        <v>43056</v>
      </c>
      <c r="E203" s="11">
        <v>394.2</v>
      </c>
      <c r="F203" s="12">
        <f t="shared" ref="F203:F204" si="56">(E202-E203)/(D203-D202)</f>
        <v>11.600000000000023</v>
      </c>
      <c r="G203" s="47"/>
      <c r="H203" s="47"/>
      <c r="I203" s="18">
        <v>42.7</v>
      </c>
      <c r="J203" s="47">
        <f>(I201-I203)/(D203-D201)</f>
        <v>3.5</v>
      </c>
      <c r="K203" s="18">
        <v>22.7</v>
      </c>
      <c r="L203" s="47"/>
      <c r="M203" s="47"/>
      <c r="N203" s="47"/>
      <c r="O203" s="47"/>
      <c r="P203" s="4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3.2">
      <c r="A204" s="47"/>
      <c r="B204" s="5">
        <v>8</v>
      </c>
      <c r="C204" s="5">
        <f t="shared" si="48"/>
        <v>60</v>
      </c>
      <c r="D204" s="20">
        <v>43059</v>
      </c>
      <c r="E204" s="11">
        <v>377.4</v>
      </c>
      <c r="F204" s="12">
        <f t="shared" si="56"/>
        <v>5.6000000000000041</v>
      </c>
      <c r="G204" s="47"/>
      <c r="H204" s="47"/>
      <c r="I204" s="18">
        <v>32.200000000000003</v>
      </c>
      <c r="J204" s="51">
        <f>(I203-I204)/(D204-D203)</f>
        <v>3.5</v>
      </c>
      <c r="K204" s="18">
        <v>22.5</v>
      </c>
      <c r="L204" s="47"/>
      <c r="M204" s="47"/>
      <c r="N204" s="47"/>
      <c r="O204" s="47"/>
      <c r="P204" s="4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3.2">
      <c r="A205" s="47"/>
      <c r="B205" s="5">
        <v>8</v>
      </c>
      <c r="C205" s="5">
        <f t="shared" si="48"/>
        <v>61</v>
      </c>
      <c r="D205" s="20">
        <v>43060</v>
      </c>
      <c r="E205" s="11">
        <v>366.1</v>
      </c>
      <c r="F205" s="12"/>
      <c r="G205" s="47"/>
      <c r="H205" s="47"/>
      <c r="I205" s="48"/>
      <c r="J205" s="47"/>
      <c r="K205" s="48"/>
      <c r="L205" s="47"/>
      <c r="M205" s="47"/>
      <c r="N205" s="47"/>
      <c r="O205" s="47"/>
      <c r="P205" s="4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3.2">
      <c r="A206" s="47"/>
      <c r="B206" s="5">
        <v>8</v>
      </c>
      <c r="C206" s="5">
        <f t="shared" si="48"/>
        <v>62</v>
      </c>
      <c r="D206" s="20">
        <v>43061</v>
      </c>
      <c r="E206" s="11">
        <v>326.89999999999998</v>
      </c>
      <c r="F206" s="12"/>
      <c r="G206" s="47"/>
      <c r="H206" s="47"/>
      <c r="I206" s="18">
        <v>81.900000000000006</v>
      </c>
      <c r="J206" s="47">
        <f>(88.9-I206)/(D206-D205)</f>
        <v>7</v>
      </c>
      <c r="K206" s="18">
        <v>22.8</v>
      </c>
      <c r="L206" s="47"/>
      <c r="M206" s="47"/>
      <c r="N206" s="47"/>
      <c r="O206" s="47"/>
      <c r="P206" s="4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3.2">
      <c r="A207" s="47"/>
      <c r="B207" s="5">
        <v>9</v>
      </c>
      <c r="C207" s="5">
        <f t="shared" si="48"/>
        <v>64</v>
      </c>
      <c r="D207" s="20">
        <v>43063</v>
      </c>
      <c r="E207" s="11">
        <v>314.60000000000002</v>
      </c>
      <c r="F207" s="12">
        <f t="shared" ref="F207:F209" si="57">(E206-E207)/(D207-D206)</f>
        <v>6.1499999999999773</v>
      </c>
      <c r="G207" s="47"/>
      <c r="H207" s="47"/>
      <c r="I207" s="18">
        <v>74.900000000000006</v>
      </c>
      <c r="J207" s="51">
        <f t="shared" ref="J207:J209" si="58">(I206-I207)/(D207-D206)</f>
        <v>3.5</v>
      </c>
      <c r="K207" s="18">
        <v>22.3</v>
      </c>
      <c r="L207" s="47"/>
      <c r="M207" s="47"/>
      <c r="N207" s="47"/>
      <c r="O207" s="47"/>
      <c r="P207" s="4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3.2">
      <c r="A208" s="47"/>
      <c r="B208" s="5">
        <v>9</v>
      </c>
      <c r="C208" s="5">
        <f t="shared" si="48"/>
        <v>67</v>
      </c>
      <c r="D208" s="23">
        <v>43066</v>
      </c>
      <c r="E208" s="11">
        <v>297.2</v>
      </c>
      <c r="F208" s="12">
        <f t="shared" si="57"/>
        <v>5.8000000000000114</v>
      </c>
      <c r="G208" s="47"/>
      <c r="H208" s="47"/>
      <c r="I208" s="18">
        <v>65.7</v>
      </c>
      <c r="J208" s="51">
        <f t="shared" si="58"/>
        <v>3.0666666666666678</v>
      </c>
      <c r="K208" s="18">
        <v>22.3</v>
      </c>
      <c r="L208" s="47"/>
      <c r="M208" s="47"/>
      <c r="N208" s="47"/>
      <c r="O208" s="47"/>
      <c r="P208" s="4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3.2">
      <c r="A209" s="47"/>
      <c r="B209" s="5">
        <v>9</v>
      </c>
      <c r="C209" s="5">
        <f t="shared" si="48"/>
        <v>69</v>
      </c>
      <c r="D209" s="23">
        <v>43068</v>
      </c>
      <c r="E209" s="11">
        <v>286</v>
      </c>
      <c r="F209" s="12">
        <f t="shared" si="57"/>
        <v>5.5999999999999943</v>
      </c>
      <c r="G209" s="47"/>
      <c r="H209" s="47"/>
      <c r="I209" s="18">
        <v>59.1</v>
      </c>
      <c r="J209" s="51">
        <f t="shared" si="58"/>
        <v>3.3000000000000007</v>
      </c>
      <c r="K209" s="18">
        <v>23</v>
      </c>
      <c r="L209" s="47"/>
      <c r="M209" s="47"/>
      <c r="N209" s="47"/>
      <c r="O209" s="47"/>
      <c r="P209" s="4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3.2">
      <c r="A210" s="47"/>
      <c r="B210" s="5">
        <v>9</v>
      </c>
      <c r="C210" s="5">
        <f t="shared" si="48"/>
        <v>70</v>
      </c>
      <c r="D210" s="23">
        <v>43069</v>
      </c>
      <c r="E210" s="11">
        <v>352.2</v>
      </c>
      <c r="F210" s="12"/>
      <c r="G210" s="47"/>
      <c r="H210" s="47"/>
      <c r="I210" s="48"/>
      <c r="J210" s="47"/>
      <c r="K210" s="48"/>
      <c r="L210" s="47"/>
      <c r="M210" s="47"/>
      <c r="N210" s="47"/>
      <c r="O210" s="47"/>
      <c r="P210" s="4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3.2">
      <c r="A211" s="47"/>
      <c r="B211" s="5">
        <v>10</v>
      </c>
      <c r="C211" s="5">
        <f t="shared" si="48"/>
        <v>71</v>
      </c>
      <c r="D211" s="23">
        <v>43070</v>
      </c>
      <c r="E211" s="11">
        <v>344.6</v>
      </c>
      <c r="F211" s="12">
        <f t="shared" ref="F211:F213" si="59">(E210-E211)/(D211-D210)</f>
        <v>7.5999999999999659</v>
      </c>
      <c r="G211" s="47"/>
      <c r="H211" s="47"/>
      <c r="I211" s="18">
        <v>52.6</v>
      </c>
      <c r="J211" s="47">
        <f>(I209-I211)/(D211-D209)</f>
        <v>3.25</v>
      </c>
      <c r="K211" s="18">
        <v>22.4</v>
      </c>
      <c r="L211" s="47"/>
      <c r="M211" s="47"/>
      <c r="N211" s="47"/>
      <c r="O211" s="47"/>
      <c r="P211" s="4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3.2">
      <c r="A212" s="47"/>
      <c r="B212" s="5">
        <v>10</v>
      </c>
      <c r="C212" s="5">
        <f t="shared" si="48"/>
        <v>74</v>
      </c>
      <c r="D212" s="23">
        <v>43073</v>
      </c>
      <c r="E212" s="11">
        <v>329.8</v>
      </c>
      <c r="F212" s="12">
        <f t="shared" si="59"/>
        <v>4.9333333333333371</v>
      </c>
      <c r="G212" s="47"/>
      <c r="H212" s="47"/>
      <c r="I212" s="18">
        <v>42.8</v>
      </c>
      <c r="J212" s="51">
        <f t="shared" ref="J212:J213" si="60">(I211-I212)/(D212-D211)</f>
        <v>3.2666666666666679</v>
      </c>
      <c r="K212" s="18">
        <v>22.4</v>
      </c>
      <c r="L212" s="47"/>
      <c r="M212" s="47"/>
      <c r="N212" s="47"/>
      <c r="O212" s="47"/>
      <c r="P212" s="4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3.2">
      <c r="A213" s="47"/>
      <c r="B213" s="5">
        <v>10</v>
      </c>
      <c r="C213" s="5">
        <f t="shared" si="48"/>
        <v>76</v>
      </c>
      <c r="D213" s="23">
        <v>43075</v>
      </c>
      <c r="E213" s="11">
        <v>316.8</v>
      </c>
      <c r="F213" s="12">
        <f t="shared" si="59"/>
        <v>6.5</v>
      </c>
      <c r="G213" s="47"/>
      <c r="H213" s="47"/>
      <c r="I213" s="18">
        <v>36</v>
      </c>
      <c r="J213" s="51">
        <f t="shared" si="60"/>
        <v>3.3999999999999986</v>
      </c>
      <c r="K213" s="18">
        <v>22.6</v>
      </c>
      <c r="L213" s="47"/>
      <c r="M213" s="47"/>
      <c r="N213" s="47"/>
      <c r="O213" s="47"/>
      <c r="P213" s="4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3.2">
      <c r="A214" s="47"/>
      <c r="B214" s="5">
        <v>10</v>
      </c>
      <c r="C214" s="5">
        <f t="shared" si="48"/>
        <v>77</v>
      </c>
      <c r="D214" s="20">
        <v>43076</v>
      </c>
      <c r="E214" s="11">
        <v>375.2</v>
      </c>
      <c r="F214" s="12"/>
      <c r="G214" s="47"/>
      <c r="H214" s="47"/>
      <c r="I214" s="48"/>
      <c r="J214" s="47"/>
      <c r="K214" s="48"/>
      <c r="L214" s="47"/>
      <c r="M214" s="47"/>
      <c r="N214" s="47"/>
      <c r="O214" s="47"/>
      <c r="P214" s="4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3.2">
      <c r="A215" s="47"/>
      <c r="B215" s="5">
        <v>11</v>
      </c>
      <c r="C215" s="5">
        <f t="shared" si="48"/>
        <v>78</v>
      </c>
      <c r="D215" s="102">
        <v>43077</v>
      </c>
      <c r="E215" s="11">
        <v>370.1</v>
      </c>
      <c r="F215" s="12">
        <f t="shared" ref="F215:F217" si="61">(E214-E215)/(D215-D214)</f>
        <v>5.0999999999999659</v>
      </c>
      <c r="G215" s="47"/>
      <c r="H215" s="47"/>
      <c r="I215" s="18">
        <v>76.3</v>
      </c>
      <c r="J215" s="47"/>
      <c r="K215" s="18">
        <v>22.2</v>
      </c>
      <c r="L215" s="47"/>
      <c r="M215" s="47"/>
      <c r="N215" s="47"/>
      <c r="O215" s="47"/>
      <c r="P215" s="4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3.2">
      <c r="A216" s="47"/>
      <c r="B216" s="5">
        <v>11</v>
      </c>
      <c r="C216" s="5">
        <f t="shared" si="48"/>
        <v>81</v>
      </c>
      <c r="D216" s="102">
        <v>43080</v>
      </c>
      <c r="E216" s="11">
        <v>354.6</v>
      </c>
      <c r="F216" s="12">
        <f t="shared" si="61"/>
        <v>5.166666666666667</v>
      </c>
      <c r="G216" s="47"/>
      <c r="H216" s="47"/>
      <c r="I216" s="18">
        <v>65.5</v>
      </c>
      <c r="J216" s="51">
        <f t="shared" ref="J216:J217" si="62">(I215-I216)/(D216-D215)</f>
        <v>3.5999999999999992</v>
      </c>
      <c r="K216" s="18">
        <v>22.9</v>
      </c>
      <c r="L216" s="47"/>
      <c r="M216" s="47"/>
      <c r="N216" s="47"/>
      <c r="O216" s="47"/>
      <c r="P216" s="4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3.2">
      <c r="A217" s="50" t="s">
        <v>46</v>
      </c>
      <c r="B217" s="95">
        <v>11</v>
      </c>
      <c r="C217" s="5">
        <f t="shared" si="48"/>
        <v>83</v>
      </c>
      <c r="D217" s="103">
        <v>43082</v>
      </c>
      <c r="E217" s="11">
        <v>339.7</v>
      </c>
      <c r="F217" s="12">
        <f t="shared" si="61"/>
        <v>7.4500000000000171</v>
      </c>
      <c r="G217" s="47"/>
      <c r="H217" s="47"/>
      <c r="I217" s="18">
        <v>58.7</v>
      </c>
      <c r="J217" s="51">
        <f t="shared" si="62"/>
        <v>3.3999999999999986</v>
      </c>
      <c r="K217" s="18">
        <v>22.4</v>
      </c>
      <c r="L217" s="47"/>
      <c r="M217" s="47"/>
      <c r="N217" s="47"/>
      <c r="O217" s="47"/>
      <c r="P217" s="4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3.2">
      <c r="A218" s="57" t="s">
        <v>28</v>
      </c>
      <c r="B218" s="59">
        <v>11</v>
      </c>
      <c r="C218" s="59">
        <f t="shared" si="48"/>
        <v>85</v>
      </c>
      <c r="D218" s="104">
        <v>43084</v>
      </c>
      <c r="E218" s="61"/>
      <c r="F218" s="61"/>
      <c r="G218" s="62"/>
      <c r="H218" s="62"/>
      <c r="I218" s="63"/>
      <c r="J218" s="62"/>
      <c r="K218" s="64">
        <v>23.6</v>
      </c>
      <c r="L218" s="62"/>
      <c r="M218" s="62"/>
      <c r="N218" s="62"/>
      <c r="O218" s="62"/>
      <c r="P218" s="65"/>
      <c r="Q218" s="66"/>
      <c r="R218" s="66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3.2">
      <c r="A219" s="47"/>
      <c r="B219" s="50">
        <v>12</v>
      </c>
      <c r="C219" s="5">
        <f t="shared" si="48"/>
        <v>98</v>
      </c>
      <c r="D219" s="52">
        <v>43097</v>
      </c>
      <c r="E219" s="12"/>
      <c r="F219" s="12"/>
      <c r="G219" s="47"/>
      <c r="H219" s="47"/>
      <c r="I219" s="33">
        <v>106.9</v>
      </c>
      <c r="J219" s="47"/>
      <c r="K219" s="33">
        <v>24.1</v>
      </c>
      <c r="L219" s="47"/>
      <c r="M219" s="47"/>
      <c r="N219" s="47"/>
      <c r="O219" s="47"/>
      <c r="P219" s="4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3.2">
      <c r="A220" s="47"/>
      <c r="B220" s="50">
        <v>12</v>
      </c>
      <c r="C220" s="5">
        <f t="shared" si="48"/>
        <v>105</v>
      </c>
      <c r="D220" s="52">
        <v>43104</v>
      </c>
      <c r="E220" s="12"/>
      <c r="F220" s="12"/>
      <c r="G220" s="47"/>
      <c r="H220" s="47"/>
      <c r="I220" s="33">
        <v>80.3</v>
      </c>
      <c r="J220" s="47"/>
      <c r="K220" s="33">
        <v>24</v>
      </c>
      <c r="L220" s="47"/>
      <c r="M220" s="47"/>
      <c r="N220" s="47"/>
      <c r="O220" s="47"/>
      <c r="P220" s="4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3.2">
      <c r="A221" s="47"/>
      <c r="C221" s="5">
        <f t="shared" si="48"/>
        <v>112</v>
      </c>
      <c r="D221" s="52">
        <v>43111</v>
      </c>
      <c r="E221" s="19"/>
      <c r="F221" s="19"/>
      <c r="G221" s="12"/>
      <c r="H221" s="12"/>
      <c r="I221" s="37">
        <v>56.6</v>
      </c>
      <c r="J221" s="47"/>
      <c r="K221" s="33">
        <v>24</v>
      </c>
      <c r="L221" s="47"/>
      <c r="M221" s="47"/>
      <c r="N221" s="47"/>
      <c r="O221" s="48"/>
      <c r="P221" s="47"/>
      <c r="Q221" s="47"/>
      <c r="R221" s="49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3.2">
      <c r="A222" s="47"/>
      <c r="B222" s="50"/>
      <c r="C222" s="5">
        <v>116</v>
      </c>
      <c r="D222" s="32">
        <v>42750</v>
      </c>
      <c r="E222" s="19"/>
      <c r="F222" s="19"/>
      <c r="G222" s="12"/>
      <c r="H222" s="12"/>
      <c r="I222" s="37"/>
      <c r="J222" s="47"/>
      <c r="K222" s="33"/>
      <c r="L222" s="47"/>
      <c r="M222" s="47"/>
      <c r="N222" s="47"/>
      <c r="O222" s="48"/>
      <c r="P222" s="47"/>
      <c r="Q222" s="47"/>
      <c r="R222" s="49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3.2">
      <c r="A223" s="47"/>
      <c r="B223" s="50"/>
      <c r="C223" s="5">
        <v>117</v>
      </c>
      <c r="D223" s="32">
        <v>43116</v>
      </c>
      <c r="E223" s="19"/>
      <c r="F223" s="19"/>
      <c r="G223" s="12"/>
      <c r="H223" s="12"/>
      <c r="I223" s="37">
        <v>40.299999999999997</v>
      </c>
      <c r="J223" s="47"/>
      <c r="K223" s="33">
        <v>23.6</v>
      </c>
      <c r="L223" s="47"/>
      <c r="M223" s="47"/>
      <c r="N223" s="47"/>
      <c r="O223" s="48"/>
      <c r="P223" s="47"/>
      <c r="Q223" s="47"/>
      <c r="R223" s="49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3.2">
      <c r="A224" s="47"/>
      <c r="B224" s="55"/>
      <c r="C224" s="50">
        <v>118</v>
      </c>
      <c r="D224" s="32">
        <v>43117</v>
      </c>
      <c r="E224" s="12"/>
      <c r="F224" s="12"/>
      <c r="G224" s="47"/>
      <c r="H224" s="47"/>
      <c r="I224" s="33">
        <v>60.6</v>
      </c>
      <c r="J224" s="47"/>
      <c r="K224" s="33">
        <v>23.5</v>
      </c>
      <c r="L224" s="47"/>
      <c r="M224" s="47"/>
      <c r="N224" s="47"/>
      <c r="O224" s="47"/>
      <c r="P224" s="4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3.2">
      <c r="A225" s="47"/>
      <c r="B225" s="55"/>
      <c r="C225" s="50">
        <v>119</v>
      </c>
      <c r="D225" s="32">
        <v>43118</v>
      </c>
      <c r="E225" s="12"/>
      <c r="F225" s="12"/>
      <c r="G225" s="47"/>
      <c r="H225" s="47"/>
      <c r="I225" s="33">
        <v>57.3</v>
      </c>
      <c r="J225" s="47"/>
      <c r="K225" s="33">
        <v>23.2</v>
      </c>
      <c r="L225" s="47"/>
      <c r="M225" s="47"/>
      <c r="N225" s="47"/>
      <c r="O225" s="47"/>
      <c r="P225" s="4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3.2">
      <c r="A226" s="47"/>
      <c r="B226" s="55"/>
      <c r="C226" s="50">
        <v>120</v>
      </c>
      <c r="D226" s="32">
        <v>43119</v>
      </c>
      <c r="E226" s="12"/>
      <c r="F226" s="12"/>
      <c r="G226" s="47"/>
      <c r="H226" s="47"/>
      <c r="I226" s="33">
        <v>53.5</v>
      </c>
      <c r="J226" s="47"/>
      <c r="K226" s="33">
        <v>24.5</v>
      </c>
      <c r="L226" s="47"/>
      <c r="M226" s="47"/>
      <c r="N226" s="47"/>
      <c r="O226" s="47"/>
      <c r="P226" s="4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3.2">
      <c r="A227" s="47"/>
      <c r="B227" s="55"/>
      <c r="C227" s="50">
        <v>121</v>
      </c>
      <c r="D227" s="32">
        <v>43120</v>
      </c>
      <c r="E227" s="12"/>
      <c r="F227" s="12"/>
      <c r="G227" s="47"/>
      <c r="H227" s="47"/>
      <c r="I227" s="33">
        <v>50.2</v>
      </c>
      <c r="J227" s="47"/>
      <c r="K227" s="33">
        <v>24.4</v>
      </c>
      <c r="L227" s="47"/>
      <c r="M227" s="47"/>
      <c r="N227" s="47"/>
      <c r="O227" s="47"/>
      <c r="P227" s="4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3.2">
      <c r="A228" s="47"/>
      <c r="B228" s="55"/>
      <c r="C228" s="50">
        <v>122</v>
      </c>
      <c r="D228" s="32">
        <v>43121</v>
      </c>
      <c r="E228" s="12"/>
      <c r="F228" s="12"/>
      <c r="G228" s="47"/>
      <c r="H228" s="47"/>
      <c r="I228" s="33">
        <v>47.3</v>
      </c>
      <c r="J228" s="47"/>
      <c r="K228" s="33">
        <v>23.6</v>
      </c>
      <c r="L228" s="47"/>
      <c r="M228" s="47"/>
      <c r="N228" s="47"/>
      <c r="O228" s="47"/>
      <c r="P228" s="4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3.2">
      <c r="A229" s="47"/>
      <c r="B229" s="55"/>
      <c r="C229" s="50">
        <v>123</v>
      </c>
      <c r="D229" s="32">
        <v>43122</v>
      </c>
      <c r="E229" s="12"/>
      <c r="F229" s="12"/>
      <c r="G229" s="47"/>
      <c r="H229" s="47"/>
      <c r="I229" s="33">
        <v>43.5</v>
      </c>
      <c r="J229" s="47"/>
      <c r="K229" s="33">
        <v>24.4</v>
      </c>
      <c r="L229" s="47"/>
      <c r="M229" s="47"/>
      <c r="N229" s="47"/>
      <c r="O229" s="47"/>
      <c r="P229" s="4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3.2">
      <c r="A230" s="47"/>
      <c r="B230" s="55"/>
      <c r="C230" s="50">
        <v>124</v>
      </c>
      <c r="D230" s="32">
        <v>43123</v>
      </c>
      <c r="E230" s="12"/>
      <c r="F230" s="12"/>
      <c r="G230" s="47"/>
      <c r="H230" s="47"/>
      <c r="I230" s="33">
        <v>40.200000000000003</v>
      </c>
      <c r="J230" s="47"/>
      <c r="K230" s="33">
        <v>24.5</v>
      </c>
      <c r="L230" s="47"/>
      <c r="M230" s="47"/>
      <c r="N230" s="47"/>
      <c r="O230" s="47"/>
      <c r="P230" s="4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3.2">
      <c r="A231" s="47"/>
      <c r="B231" s="55"/>
      <c r="C231" s="50">
        <v>125</v>
      </c>
      <c r="D231" s="52">
        <v>43124</v>
      </c>
      <c r="E231" s="12"/>
      <c r="F231" s="12"/>
      <c r="G231" s="47"/>
      <c r="H231" s="47"/>
      <c r="I231" s="33">
        <v>37.200000000000003</v>
      </c>
      <c r="J231" s="47"/>
      <c r="K231" s="33">
        <v>24.1</v>
      </c>
      <c r="L231" s="47"/>
      <c r="M231" s="47"/>
      <c r="N231" s="47"/>
      <c r="O231" s="47"/>
      <c r="P231" s="4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3.2">
      <c r="A232" s="47"/>
      <c r="B232" s="55"/>
      <c r="C232" s="50">
        <v>126</v>
      </c>
      <c r="D232" s="52">
        <v>43125</v>
      </c>
      <c r="E232" s="12"/>
      <c r="F232" s="12"/>
      <c r="G232" s="47"/>
      <c r="H232" s="47"/>
      <c r="I232" s="33">
        <v>33.700000000000003</v>
      </c>
      <c r="J232" s="47"/>
      <c r="K232" s="33">
        <v>24</v>
      </c>
      <c r="L232" s="47"/>
      <c r="M232" s="47"/>
      <c r="N232" s="47"/>
      <c r="O232" s="47"/>
      <c r="P232" s="4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3.2">
      <c r="A233" s="47"/>
      <c r="B233" s="55"/>
      <c r="C233" s="50">
        <v>127</v>
      </c>
      <c r="D233" s="52">
        <v>43126</v>
      </c>
      <c r="E233" s="12"/>
      <c r="F233" s="12"/>
      <c r="G233" s="47"/>
      <c r="H233" s="47"/>
      <c r="I233" s="33">
        <v>78</v>
      </c>
      <c r="J233" s="47"/>
      <c r="K233" s="33">
        <v>24.8</v>
      </c>
      <c r="L233" s="47"/>
      <c r="M233" s="47"/>
      <c r="N233" s="47"/>
      <c r="O233" s="47"/>
      <c r="P233" s="4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3.2">
      <c r="A234" s="47"/>
      <c r="B234" s="55"/>
      <c r="C234" s="50">
        <v>128</v>
      </c>
      <c r="D234" s="52">
        <v>43127</v>
      </c>
      <c r="E234" s="12"/>
      <c r="F234" s="12"/>
      <c r="G234" s="47"/>
      <c r="H234" s="47"/>
      <c r="I234" s="33">
        <v>75.7</v>
      </c>
      <c r="J234" s="47"/>
      <c r="K234" s="33">
        <v>23.6</v>
      </c>
      <c r="L234" s="47"/>
      <c r="M234" s="47"/>
      <c r="N234" s="47"/>
      <c r="O234" s="47"/>
      <c r="P234" s="4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3.2">
      <c r="A235" s="47"/>
      <c r="B235" s="55"/>
      <c r="C235" s="50">
        <v>129</v>
      </c>
      <c r="D235" s="52">
        <v>43128</v>
      </c>
      <c r="E235" s="12"/>
      <c r="F235" s="12"/>
      <c r="G235" s="47"/>
      <c r="H235" s="47"/>
      <c r="I235" s="33">
        <v>73.3</v>
      </c>
      <c r="J235" s="47"/>
      <c r="K235" s="33">
        <v>23.2</v>
      </c>
      <c r="L235" s="47"/>
      <c r="M235" s="47"/>
      <c r="N235" s="47"/>
      <c r="O235" s="47"/>
      <c r="P235" s="4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3.2">
      <c r="A236" s="47"/>
      <c r="B236" s="55"/>
      <c r="C236" s="50">
        <v>130</v>
      </c>
      <c r="D236" s="52">
        <v>43129</v>
      </c>
      <c r="E236" s="12"/>
      <c r="F236" s="12"/>
      <c r="G236" s="47"/>
      <c r="H236" s="47"/>
      <c r="I236" s="33">
        <v>70.099999999999994</v>
      </c>
      <c r="J236" s="47"/>
      <c r="K236" s="33">
        <v>23.2</v>
      </c>
      <c r="L236" s="47"/>
      <c r="M236" s="47"/>
      <c r="N236" s="47"/>
      <c r="O236" s="47"/>
      <c r="P236" s="4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3.2">
      <c r="A237" s="47"/>
      <c r="B237" s="55"/>
      <c r="C237" s="50">
        <v>131</v>
      </c>
      <c r="D237" s="52">
        <v>43130</v>
      </c>
      <c r="E237" s="12"/>
      <c r="F237" s="12"/>
      <c r="G237" s="47"/>
      <c r="H237" s="47"/>
      <c r="I237" s="33">
        <v>66.599999999999994</v>
      </c>
      <c r="J237" s="47"/>
      <c r="K237" s="33">
        <v>23.8</v>
      </c>
      <c r="L237" s="47"/>
      <c r="M237" s="47"/>
      <c r="N237" s="47"/>
      <c r="O237" s="47"/>
      <c r="P237" s="4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3.2">
      <c r="A238" s="47"/>
      <c r="B238" s="55"/>
      <c r="C238" s="50">
        <v>132</v>
      </c>
      <c r="D238" s="53">
        <v>43131</v>
      </c>
      <c r="E238" s="12"/>
      <c r="F238" s="12"/>
      <c r="G238" s="47"/>
      <c r="H238" s="47"/>
      <c r="I238" s="33">
        <v>63.5</v>
      </c>
      <c r="J238" s="47"/>
      <c r="K238" s="33">
        <v>23.7</v>
      </c>
      <c r="L238" s="47"/>
      <c r="M238" s="47"/>
      <c r="N238" s="47"/>
      <c r="O238" s="47"/>
      <c r="P238" s="4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3.2">
      <c r="A239" s="47"/>
      <c r="B239" s="55"/>
      <c r="C239" s="50">
        <v>133</v>
      </c>
      <c r="D239" s="32">
        <v>43132</v>
      </c>
      <c r="E239" s="12"/>
      <c r="F239" s="12"/>
      <c r="G239" s="47"/>
      <c r="H239" s="47"/>
      <c r="I239" s="33">
        <v>61</v>
      </c>
      <c r="J239" s="37"/>
      <c r="K239" s="33">
        <v>22.9</v>
      </c>
      <c r="L239" s="47"/>
      <c r="M239" s="47"/>
      <c r="N239" s="47"/>
      <c r="O239" s="47"/>
      <c r="P239" s="4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3.2">
      <c r="A240" s="47"/>
      <c r="B240" s="55"/>
      <c r="C240" s="50">
        <v>134</v>
      </c>
      <c r="D240" s="32">
        <v>43133</v>
      </c>
      <c r="E240" s="12"/>
      <c r="F240" s="12"/>
      <c r="G240" s="47"/>
      <c r="H240" s="47"/>
      <c r="I240" s="33">
        <v>57.9</v>
      </c>
      <c r="J240" s="37"/>
      <c r="K240" s="33">
        <v>23.4</v>
      </c>
      <c r="L240" s="47"/>
      <c r="M240" s="47"/>
      <c r="N240" s="47"/>
      <c r="O240" s="47"/>
      <c r="P240" s="4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3.2">
      <c r="A241" s="47"/>
      <c r="B241" s="55"/>
      <c r="C241" s="50">
        <v>135</v>
      </c>
      <c r="D241" s="32">
        <v>43134</v>
      </c>
      <c r="E241" s="12"/>
      <c r="F241" s="12"/>
      <c r="G241" s="47"/>
      <c r="H241" s="47"/>
      <c r="I241" s="33">
        <v>53.8</v>
      </c>
      <c r="J241" s="37"/>
      <c r="K241" s="33">
        <v>23.7</v>
      </c>
      <c r="L241" s="47"/>
      <c r="M241" s="47"/>
      <c r="N241" s="47"/>
      <c r="O241" s="47"/>
      <c r="P241" s="4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3.2">
      <c r="A242" s="47"/>
      <c r="B242" s="55"/>
      <c r="C242" s="50">
        <v>136</v>
      </c>
      <c r="D242" s="32">
        <v>43135</v>
      </c>
      <c r="E242" s="12"/>
      <c r="F242" s="12"/>
      <c r="G242" s="47"/>
      <c r="H242" s="47"/>
      <c r="I242" s="33">
        <v>50.6</v>
      </c>
      <c r="J242" s="37"/>
      <c r="K242" s="33">
        <v>23.3</v>
      </c>
      <c r="L242" s="47"/>
      <c r="M242" s="47"/>
      <c r="N242" s="47"/>
      <c r="O242" s="47"/>
      <c r="P242" s="4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3.2">
      <c r="A243" s="47"/>
      <c r="B243" s="55"/>
      <c r="C243" s="50">
        <v>137</v>
      </c>
      <c r="D243" s="32">
        <v>43136</v>
      </c>
      <c r="E243" s="12"/>
      <c r="F243" s="12"/>
      <c r="G243" s="47"/>
      <c r="H243" s="47"/>
      <c r="I243" s="33">
        <v>48</v>
      </c>
      <c r="J243" s="37"/>
      <c r="K243" s="33">
        <v>23.2</v>
      </c>
      <c r="L243" s="47"/>
      <c r="M243" s="47"/>
      <c r="N243" s="47"/>
      <c r="O243" s="47"/>
      <c r="P243" s="4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3.2">
      <c r="A244" s="47"/>
      <c r="B244" s="55"/>
      <c r="C244" s="50">
        <v>138</v>
      </c>
      <c r="D244" s="32">
        <v>43137</v>
      </c>
      <c r="E244" s="12"/>
      <c r="F244" s="12"/>
      <c r="G244" s="47"/>
      <c r="H244" s="47"/>
      <c r="I244" s="33">
        <v>44.5</v>
      </c>
      <c r="J244" s="37"/>
      <c r="K244" s="33">
        <v>23.5</v>
      </c>
      <c r="L244" s="47"/>
      <c r="M244" s="47"/>
      <c r="N244" s="47"/>
      <c r="O244" s="47"/>
      <c r="P244" s="4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3.2">
      <c r="A245" s="47"/>
      <c r="B245" s="55"/>
      <c r="C245" s="5">
        <v>139</v>
      </c>
      <c r="D245" s="20">
        <v>43138</v>
      </c>
      <c r="E245" s="12"/>
      <c r="F245" s="12"/>
      <c r="G245" s="47"/>
      <c r="H245" s="47"/>
      <c r="I245" s="18">
        <v>40.299999999999997</v>
      </c>
      <c r="J245" s="47"/>
      <c r="K245" s="18">
        <v>24.5</v>
      </c>
      <c r="L245" s="47"/>
      <c r="M245" s="47"/>
      <c r="N245" s="47"/>
      <c r="O245" s="47"/>
      <c r="P245" s="4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3.2">
      <c r="A246" s="47"/>
      <c r="B246" s="55"/>
      <c r="C246" s="5">
        <v>140</v>
      </c>
      <c r="D246" s="20">
        <v>43139</v>
      </c>
      <c r="E246" s="12"/>
      <c r="F246" s="12"/>
      <c r="G246" s="47"/>
      <c r="H246" s="47"/>
      <c r="I246" s="18">
        <v>37.5</v>
      </c>
      <c r="J246" s="47"/>
      <c r="K246" s="18">
        <v>23.7</v>
      </c>
      <c r="L246" s="47"/>
      <c r="M246" s="47"/>
      <c r="N246" s="47"/>
      <c r="O246" s="47"/>
      <c r="P246" s="4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3.2">
      <c r="A247" s="47"/>
      <c r="B247" s="55"/>
      <c r="C247" s="5">
        <v>141</v>
      </c>
      <c r="D247" s="20">
        <v>43140</v>
      </c>
      <c r="E247" s="12"/>
      <c r="F247" s="12"/>
      <c r="G247" s="47"/>
      <c r="H247" s="47"/>
      <c r="I247" s="18">
        <v>70.2</v>
      </c>
      <c r="J247" s="47"/>
      <c r="K247" s="18">
        <v>24.7</v>
      </c>
      <c r="L247" s="47"/>
      <c r="M247" s="47"/>
      <c r="N247" s="47"/>
      <c r="O247" s="47"/>
      <c r="P247" s="4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3.2">
      <c r="A248" s="47"/>
      <c r="B248" s="55"/>
      <c r="C248" s="5">
        <v>142</v>
      </c>
      <c r="D248" s="20">
        <v>43141</v>
      </c>
      <c r="E248" s="12"/>
      <c r="F248" s="12"/>
      <c r="G248" s="47"/>
      <c r="H248" s="47"/>
      <c r="I248" s="18">
        <v>67.099999999999994</v>
      </c>
      <c r="J248" s="47"/>
      <c r="K248" s="18">
        <v>24.4</v>
      </c>
      <c r="L248" s="47"/>
      <c r="M248" s="47"/>
      <c r="N248" s="47"/>
      <c r="O248" s="47"/>
      <c r="P248" s="4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3.2">
      <c r="A249" s="47"/>
      <c r="B249" s="55"/>
      <c r="C249" s="5">
        <v>143</v>
      </c>
      <c r="D249" s="20">
        <v>43142</v>
      </c>
      <c r="E249" s="12"/>
      <c r="F249" s="12"/>
      <c r="G249" s="47"/>
      <c r="H249" s="47"/>
      <c r="I249" s="18">
        <v>63.8</v>
      </c>
      <c r="J249" s="47"/>
      <c r="K249" s="18">
        <v>24.3</v>
      </c>
      <c r="L249" s="47"/>
      <c r="M249" s="47"/>
      <c r="N249" s="47"/>
      <c r="O249" s="47"/>
      <c r="P249" s="4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3.2">
      <c r="A250" s="47"/>
      <c r="B250" s="55"/>
      <c r="C250" s="5">
        <v>144</v>
      </c>
      <c r="D250" s="20">
        <v>43143</v>
      </c>
      <c r="E250" s="12"/>
      <c r="F250" s="12"/>
      <c r="G250" s="47"/>
      <c r="H250" s="47"/>
      <c r="I250" s="18">
        <v>61</v>
      </c>
      <c r="J250" s="47"/>
      <c r="K250" s="18">
        <v>24</v>
      </c>
      <c r="L250" s="47"/>
      <c r="M250" s="47"/>
      <c r="N250" s="47"/>
      <c r="O250" s="47"/>
      <c r="P250" s="4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3.2">
      <c r="A251" s="47"/>
      <c r="B251" s="55"/>
      <c r="C251" s="5">
        <v>145</v>
      </c>
      <c r="D251" s="20">
        <v>43144</v>
      </c>
      <c r="E251" s="12"/>
      <c r="F251" s="12"/>
      <c r="G251" s="47"/>
      <c r="H251" s="47"/>
      <c r="I251" s="18">
        <v>58.4</v>
      </c>
      <c r="J251" s="47"/>
      <c r="K251" s="18">
        <v>23.8</v>
      </c>
      <c r="L251" s="47"/>
      <c r="M251" s="47"/>
      <c r="N251" s="47"/>
      <c r="O251" s="47"/>
      <c r="P251" s="4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3.2">
      <c r="A252" s="47"/>
      <c r="B252" s="55"/>
      <c r="C252" s="5">
        <v>146</v>
      </c>
      <c r="D252" s="20">
        <v>43145</v>
      </c>
      <c r="E252" s="12"/>
      <c r="F252" s="12"/>
      <c r="G252" s="47"/>
      <c r="H252" s="47"/>
      <c r="I252" s="18">
        <v>54.9</v>
      </c>
      <c r="J252" s="47"/>
      <c r="K252" s="18">
        <v>24</v>
      </c>
      <c r="L252" s="47"/>
      <c r="M252" s="47"/>
      <c r="N252" s="47"/>
      <c r="O252" s="47"/>
      <c r="P252" s="4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3.2">
      <c r="A253" s="47"/>
      <c r="B253" s="55"/>
      <c r="C253" s="5">
        <v>147</v>
      </c>
      <c r="D253" s="20">
        <v>43146</v>
      </c>
      <c r="E253" s="12"/>
      <c r="F253" s="12"/>
      <c r="G253" s="47"/>
      <c r="H253" s="47"/>
      <c r="I253" s="18">
        <v>51.9</v>
      </c>
      <c r="J253" s="47"/>
      <c r="K253" s="18">
        <v>23.9</v>
      </c>
      <c r="L253" s="47"/>
      <c r="M253" s="47"/>
      <c r="N253" s="47"/>
      <c r="O253" s="47"/>
      <c r="P253" s="4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3.2">
      <c r="A254" s="47"/>
      <c r="B254" s="55"/>
      <c r="C254" s="5">
        <v>148</v>
      </c>
      <c r="D254" s="20">
        <v>43147</v>
      </c>
      <c r="E254" s="12"/>
      <c r="F254" s="12"/>
      <c r="G254" s="47"/>
      <c r="H254" s="47"/>
      <c r="I254" s="18">
        <v>48.6</v>
      </c>
      <c r="J254" s="47"/>
      <c r="K254" s="18">
        <v>24.3</v>
      </c>
      <c r="L254" s="47"/>
      <c r="M254" s="47"/>
      <c r="N254" s="47"/>
      <c r="O254" s="47"/>
      <c r="P254" s="4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3.2">
      <c r="A255" s="47"/>
      <c r="B255" s="55"/>
      <c r="C255" s="5">
        <v>149</v>
      </c>
      <c r="D255" s="20">
        <v>43148</v>
      </c>
      <c r="E255" s="12"/>
      <c r="F255" s="12"/>
      <c r="G255" s="47"/>
      <c r="H255" s="47"/>
      <c r="I255" s="18">
        <v>45.8</v>
      </c>
      <c r="J255" s="47"/>
      <c r="K255" s="18">
        <v>24</v>
      </c>
      <c r="L255" s="47"/>
      <c r="M255" s="47"/>
      <c r="N255" s="47"/>
      <c r="O255" s="47"/>
      <c r="P255" s="4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3.2">
      <c r="A256" s="47"/>
      <c r="B256" s="55"/>
      <c r="C256" s="50">
        <v>150</v>
      </c>
      <c r="D256" s="20">
        <v>43149</v>
      </c>
      <c r="E256" s="12"/>
      <c r="F256" s="12"/>
      <c r="G256" s="47"/>
      <c r="H256" s="47"/>
      <c r="I256" s="18">
        <v>42.5</v>
      </c>
      <c r="J256" s="47"/>
      <c r="K256" s="18">
        <v>24</v>
      </c>
      <c r="L256" s="47"/>
      <c r="M256" s="47"/>
      <c r="N256" s="47"/>
      <c r="O256" s="47"/>
      <c r="P256" s="4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3.2">
      <c r="A257" s="47"/>
      <c r="B257" s="55"/>
      <c r="C257" s="55">
        <f t="shared" ref="C257:C265" si="63">C256+1</f>
        <v>151</v>
      </c>
      <c r="D257" s="20">
        <v>43150</v>
      </c>
      <c r="E257" s="12"/>
      <c r="F257" s="12"/>
      <c r="G257" s="47"/>
      <c r="H257" s="47"/>
      <c r="I257" s="18">
        <v>39.200000000000003</v>
      </c>
      <c r="J257" s="47"/>
      <c r="K257" s="18">
        <v>24.1</v>
      </c>
      <c r="L257" s="47"/>
      <c r="M257" s="47"/>
      <c r="N257" s="47"/>
      <c r="O257" s="47"/>
      <c r="P257" s="4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3.2">
      <c r="A258" s="47"/>
      <c r="B258" s="55"/>
      <c r="C258" s="55">
        <f t="shared" si="63"/>
        <v>152</v>
      </c>
      <c r="D258" s="20">
        <v>43151</v>
      </c>
      <c r="E258" s="12"/>
      <c r="F258" s="12"/>
      <c r="G258" s="47"/>
      <c r="H258" s="47"/>
      <c r="I258" s="18">
        <v>35.799999999999997</v>
      </c>
      <c r="J258" s="47"/>
      <c r="K258" s="18">
        <v>24.5</v>
      </c>
      <c r="L258" s="47"/>
      <c r="M258" s="47"/>
      <c r="N258" s="47"/>
      <c r="O258" s="47"/>
      <c r="P258" s="4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3.2">
      <c r="A259" s="47"/>
      <c r="B259" s="55"/>
      <c r="C259" s="55">
        <f t="shared" si="63"/>
        <v>153</v>
      </c>
      <c r="D259" s="20">
        <v>43152</v>
      </c>
      <c r="E259" s="12"/>
      <c r="F259" s="12"/>
      <c r="G259" s="47"/>
      <c r="H259" s="47"/>
      <c r="I259" s="18">
        <v>100.1</v>
      </c>
      <c r="J259" s="47"/>
      <c r="K259" s="18">
        <v>24.4</v>
      </c>
      <c r="L259" s="47"/>
      <c r="M259" s="47"/>
      <c r="N259" s="47"/>
      <c r="O259" s="47"/>
      <c r="P259" s="4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3.2">
      <c r="A260" s="47"/>
      <c r="B260" s="55"/>
      <c r="C260" s="55">
        <f t="shared" si="63"/>
        <v>154</v>
      </c>
      <c r="D260" s="20">
        <v>43153</v>
      </c>
      <c r="E260" s="12"/>
      <c r="F260" s="12"/>
      <c r="G260" s="47"/>
      <c r="H260" s="47"/>
      <c r="I260" s="18">
        <v>96.8</v>
      </c>
      <c r="J260" s="47"/>
      <c r="K260" s="18">
        <v>24.5</v>
      </c>
      <c r="L260" s="47"/>
      <c r="M260" s="47"/>
      <c r="N260" s="47"/>
      <c r="O260" s="47"/>
      <c r="P260" s="4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3.2">
      <c r="A261" s="47"/>
      <c r="B261" s="55"/>
      <c r="C261" s="55">
        <f t="shared" si="63"/>
        <v>155</v>
      </c>
      <c r="D261" s="20">
        <v>43154</v>
      </c>
      <c r="E261" s="12"/>
      <c r="F261" s="12"/>
      <c r="G261" s="47"/>
      <c r="H261" s="47"/>
      <c r="I261" s="18">
        <v>93.7</v>
      </c>
      <c r="J261" s="47"/>
      <c r="K261" s="18">
        <v>24.3</v>
      </c>
      <c r="L261" s="47"/>
      <c r="M261" s="47"/>
      <c r="N261" s="47"/>
      <c r="O261" s="47"/>
      <c r="P261" s="4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3.2">
      <c r="A262" s="47"/>
      <c r="B262" s="55"/>
      <c r="C262" s="55">
        <f t="shared" si="63"/>
        <v>156</v>
      </c>
      <c r="D262" s="20">
        <v>43155</v>
      </c>
      <c r="E262" s="12"/>
      <c r="F262" s="12"/>
      <c r="G262" s="47"/>
      <c r="H262" s="47"/>
      <c r="I262" s="18">
        <v>90</v>
      </c>
      <c r="J262" s="47"/>
      <c r="K262" s="18">
        <v>24.6</v>
      </c>
      <c r="L262" s="47"/>
      <c r="M262" s="47"/>
      <c r="N262" s="47"/>
      <c r="O262" s="47"/>
      <c r="P262" s="4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3.2">
      <c r="A263" s="47"/>
      <c r="B263" s="55"/>
      <c r="C263" s="55">
        <f t="shared" si="63"/>
        <v>157</v>
      </c>
      <c r="D263" s="20">
        <v>43156</v>
      </c>
      <c r="E263" s="12"/>
      <c r="F263" s="12"/>
      <c r="G263" s="47"/>
      <c r="H263" s="47"/>
      <c r="I263" s="18">
        <v>86.9</v>
      </c>
      <c r="J263" s="47"/>
      <c r="K263" s="18">
        <v>24.6</v>
      </c>
      <c r="L263" s="47"/>
      <c r="M263" s="47"/>
      <c r="N263" s="47"/>
      <c r="O263" s="47"/>
      <c r="P263" s="4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3.2">
      <c r="A264" s="47"/>
      <c r="B264" s="55"/>
      <c r="C264" s="55">
        <f t="shared" si="63"/>
        <v>158</v>
      </c>
      <c r="D264" s="20">
        <v>43157</v>
      </c>
      <c r="E264" s="12"/>
      <c r="F264" s="12"/>
      <c r="G264" s="47"/>
      <c r="H264" s="47"/>
      <c r="I264" s="18">
        <v>84</v>
      </c>
      <c r="J264" s="47"/>
      <c r="K264" s="18">
        <v>24.8</v>
      </c>
      <c r="L264" s="47"/>
      <c r="M264" s="47"/>
      <c r="N264" s="47"/>
      <c r="O264" s="47"/>
      <c r="P264" s="4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3.2">
      <c r="A265" s="47"/>
      <c r="B265" s="55"/>
      <c r="C265" s="55">
        <f t="shared" si="63"/>
        <v>159</v>
      </c>
      <c r="D265" s="20">
        <v>43158</v>
      </c>
      <c r="E265" s="12"/>
      <c r="F265" s="12"/>
      <c r="G265" s="47"/>
      <c r="H265" s="47"/>
      <c r="I265" s="18">
        <v>81.8</v>
      </c>
      <c r="J265" s="47"/>
      <c r="K265" s="18">
        <v>23.9</v>
      </c>
      <c r="L265" s="47"/>
      <c r="M265" s="47"/>
      <c r="N265" s="47"/>
      <c r="O265" s="47"/>
      <c r="P265" s="4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3.2">
      <c r="A266" s="47"/>
      <c r="B266" s="55"/>
      <c r="C266" s="50">
        <v>166</v>
      </c>
      <c r="D266" s="20">
        <v>43165</v>
      </c>
      <c r="E266" s="12"/>
      <c r="F266" s="12"/>
      <c r="G266" s="47"/>
      <c r="H266" s="47"/>
      <c r="I266" s="18">
        <v>59.6</v>
      </c>
      <c r="J266" s="47"/>
      <c r="K266" s="18">
        <v>24.2</v>
      </c>
      <c r="L266" s="47"/>
      <c r="M266" s="47"/>
      <c r="N266" s="47"/>
      <c r="O266" s="47"/>
      <c r="P266" s="4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3.2">
      <c r="A267" s="47"/>
      <c r="B267" s="55"/>
      <c r="C267" s="50">
        <v>173</v>
      </c>
      <c r="D267" s="20">
        <v>43172</v>
      </c>
      <c r="E267" s="12"/>
      <c r="F267" s="12"/>
      <c r="G267" s="47"/>
      <c r="H267" s="47"/>
      <c r="I267" s="18">
        <v>36.4</v>
      </c>
      <c r="J267" s="47"/>
      <c r="K267" s="18">
        <v>25.6</v>
      </c>
      <c r="L267" s="47"/>
      <c r="M267" s="47"/>
      <c r="N267" s="47"/>
      <c r="O267" s="47"/>
      <c r="P267" s="4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3.2">
      <c r="A268" s="47"/>
      <c r="B268" s="55"/>
      <c r="C268" s="55"/>
      <c r="D268" s="19"/>
      <c r="E268" s="12"/>
      <c r="F268" s="12"/>
      <c r="G268" s="47"/>
      <c r="H268" s="47"/>
      <c r="I268" s="48"/>
      <c r="J268" s="47"/>
      <c r="K268" s="48"/>
      <c r="L268" s="47"/>
      <c r="M268" s="47"/>
      <c r="N268" s="47"/>
      <c r="O268" s="47"/>
      <c r="P268" s="4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3.2">
      <c r="A269" s="47"/>
      <c r="B269" s="55"/>
      <c r="C269" s="55"/>
      <c r="D269" s="19"/>
      <c r="E269" s="12"/>
      <c r="F269" s="12"/>
      <c r="G269" s="47"/>
      <c r="H269" s="47"/>
      <c r="I269" s="48"/>
      <c r="J269" s="47"/>
      <c r="K269" s="48"/>
      <c r="L269" s="47"/>
      <c r="M269" s="47"/>
      <c r="N269" s="47"/>
      <c r="O269" s="47"/>
      <c r="P269" s="4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3.2">
      <c r="A270" s="47"/>
      <c r="B270" s="55"/>
      <c r="C270" s="55"/>
      <c r="D270" s="19"/>
      <c r="E270" s="12"/>
      <c r="F270" s="12"/>
      <c r="G270" s="47"/>
      <c r="H270" s="47"/>
      <c r="I270" s="48"/>
      <c r="J270" s="47"/>
      <c r="K270" s="48"/>
      <c r="L270" s="47"/>
      <c r="M270" s="47"/>
      <c r="N270" s="47"/>
      <c r="O270" s="47"/>
      <c r="P270" s="4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3.2">
      <c r="A271" s="47"/>
      <c r="B271" s="55"/>
      <c r="C271" s="55"/>
      <c r="D271" s="19"/>
      <c r="E271" s="12"/>
      <c r="F271" s="12"/>
      <c r="G271" s="47"/>
      <c r="H271" s="47"/>
      <c r="I271" s="48"/>
      <c r="J271" s="47"/>
      <c r="K271" s="48"/>
      <c r="L271" s="47"/>
      <c r="M271" s="47"/>
      <c r="N271" s="47"/>
      <c r="O271" s="47"/>
      <c r="P271" s="4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3.2">
      <c r="A272" s="47"/>
      <c r="B272" s="55"/>
      <c r="C272" s="55"/>
      <c r="D272" s="19"/>
      <c r="E272" s="12"/>
      <c r="F272" s="12"/>
      <c r="G272" s="47"/>
      <c r="H272" s="47"/>
      <c r="I272" s="48"/>
      <c r="J272" s="47"/>
      <c r="K272" s="48"/>
      <c r="L272" s="47"/>
      <c r="M272" s="47"/>
      <c r="N272" s="47"/>
      <c r="O272" s="47"/>
      <c r="P272" s="4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3.2">
      <c r="A273" s="47"/>
      <c r="B273" s="55"/>
      <c r="C273" s="55"/>
      <c r="D273" s="19"/>
      <c r="E273" s="12"/>
      <c r="F273" s="12"/>
      <c r="G273" s="47"/>
      <c r="H273" s="47"/>
      <c r="I273" s="48"/>
      <c r="J273" s="47"/>
      <c r="K273" s="48"/>
      <c r="L273" s="47"/>
      <c r="M273" s="47"/>
      <c r="N273" s="47"/>
      <c r="O273" s="47"/>
      <c r="P273" s="4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3.2">
      <c r="A274" s="47"/>
      <c r="B274" s="55"/>
      <c r="C274" s="55"/>
      <c r="D274" s="19"/>
      <c r="E274" s="12"/>
      <c r="F274" s="12"/>
      <c r="G274" s="47"/>
      <c r="H274" s="47"/>
      <c r="I274" s="48"/>
      <c r="J274" s="47"/>
      <c r="K274" s="48"/>
      <c r="L274" s="47"/>
      <c r="M274" s="47"/>
      <c r="N274" s="47"/>
      <c r="O274" s="47"/>
      <c r="P274" s="4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3.2">
      <c r="A275" s="47"/>
      <c r="B275" s="55"/>
      <c r="C275" s="55"/>
      <c r="D275" s="19"/>
      <c r="E275" s="12"/>
      <c r="F275" s="12"/>
      <c r="G275" s="47"/>
      <c r="H275" s="47"/>
      <c r="I275" s="48"/>
      <c r="J275" s="47"/>
      <c r="K275" s="48"/>
      <c r="L275" s="47"/>
      <c r="M275" s="47"/>
      <c r="N275" s="47"/>
      <c r="O275" s="47"/>
      <c r="P275" s="4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3.2">
      <c r="A276" s="47"/>
      <c r="B276" s="55"/>
      <c r="C276" s="55"/>
      <c r="D276" s="19"/>
      <c r="E276" s="12"/>
      <c r="F276" s="12"/>
      <c r="G276" s="47"/>
      <c r="H276" s="47"/>
      <c r="I276" s="48"/>
      <c r="J276" s="47"/>
      <c r="K276" s="48"/>
      <c r="L276" s="47"/>
      <c r="M276" s="47"/>
      <c r="N276" s="47"/>
      <c r="O276" s="47"/>
      <c r="P276" s="4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3.2">
      <c r="A277" s="47"/>
      <c r="B277" s="55"/>
      <c r="C277" s="55"/>
      <c r="D277" s="19"/>
      <c r="E277" s="12"/>
      <c r="F277" s="12"/>
      <c r="G277" s="47"/>
      <c r="H277" s="47"/>
      <c r="I277" s="48"/>
      <c r="J277" s="47"/>
      <c r="K277" s="48"/>
      <c r="L277" s="47"/>
      <c r="M277" s="47"/>
      <c r="N277" s="47"/>
      <c r="O277" s="47"/>
      <c r="P277" s="4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3.2">
      <c r="A278" s="47"/>
      <c r="B278" s="55"/>
      <c r="C278" s="55"/>
      <c r="D278" s="19"/>
      <c r="E278" s="12"/>
      <c r="F278" s="12"/>
      <c r="G278" s="47"/>
      <c r="H278" s="47"/>
      <c r="I278" s="48"/>
      <c r="J278" s="47"/>
      <c r="K278" s="48"/>
      <c r="L278" s="47"/>
      <c r="M278" s="47"/>
      <c r="N278" s="47"/>
      <c r="O278" s="47"/>
      <c r="P278" s="4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3.2">
      <c r="A279" s="47"/>
      <c r="B279" s="55"/>
      <c r="C279" s="55"/>
      <c r="D279" s="19"/>
      <c r="E279" s="12"/>
      <c r="F279" s="12"/>
      <c r="G279" s="47"/>
      <c r="H279" s="47"/>
      <c r="I279" s="48"/>
      <c r="J279" s="47"/>
      <c r="K279" s="48"/>
      <c r="L279" s="47"/>
      <c r="M279" s="47"/>
      <c r="N279" s="47"/>
      <c r="O279" s="47"/>
      <c r="P279" s="4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3.2">
      <c r="A280" s="47"/>
      <c r="B280" s="55"/>
      <c r="C280" s="55"/>
      <c r="D280" s="19"/>
      <c r="E280" s="12"/>
      <c r="F280" s="12"/>
      <c r="G280" s="47"/>
      <c r="H280" s="47"/>
      <c r="I280" s="48"/>
      <c r="J280" s="47"/>
      <c r="K280" s="48"/>
      <c r="L280" s="47"/>
      <c r="M280" s="47"/>
      <c r="N280" s="47"/>
      <c r="O280" s="47"/>
      <c r="P280" s="4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3.2">
      <c r="A281" s="47"/>
      <c r="B281" s="55"/>
      <c r="C281" s="55"/>
      <c r="D281" s="19"/>
      <c r="E281" s="12"/>
      <c r="F281" s="12"/>
      <c r="G281" s="47"/>
      <c r="H281" s="47"/>
      <c r="I281" s="48"/>
      <c r="J281" s="47"/>
      <c r="K281" s="48"/>
      <c r="L281" s="47"/>
      <c r="M281" s="47"/>
      <c r="N281" s="47"/>
      <c r="O281" s="47"/>
      <c r="P281" s="4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3.2">
      <c r="A282" s="47"/>
      <c r="B282" s="55"/>
      <c r="C282" s="55"/>
      <c r="D282" s="19"/>
      <c r="E282" s="12"/>
      <c r="F282" s="12"/>
      <c r="G282" s="47"/>
      <c r="H282" s="47"/>
      <c r="I282" s="48"/>
      <c r="J282" s="47"/>
      <c r="K282" s="48"/>
      <c r="L282" s="47"/>
      <c r="M282" s="47"/>
      <c r="N282" s="47"/>
      <c r="O282" s="47"/>
      <c r="P282" s="4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3.2">
      <c r="A283" s="47"/>
      <c r="B283" s="55"/>
      <c r="C283" s="55"/>
      <c r="D283" s="19"/>
      <c r="E283" s="12"/>
      <c r="F283" s="12"/>
      <c r="G283" s="47"/>
      <c r="H283" s="47"/>
      <c r="I283" s="48"/>
      <c r="J283" s="47"/>
      <c r="K283" s="48"/>
      <c r="L283" s="47"/>
      <c r="M283" s="47"/>
      <c r="N283" s="47"/>
      <c r="O283" s="47"/>
      <c r="P283" s="4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3.2">
      <c r="A284" s="47"/>
      <c r="B284" s="55"/>
      <c r="C284" s="55"/>
      <c r="D284" s="19"/>
      <c r="E284" s="12"/>
      <c r="F284" s="12"/>
      <c r="G284" s="47"/>
      <c r="H284" s="47"/>
      <c r="I284" s="48"/>
      <c r="J284" s="47"/>
      <c r="K284" s="48"/>
      <c r="L284" s="47"/>
      <c r="M284" s="47"/>
      <c r="N284" s="47"/>
      <c r="O284" s="47"/>
      <c r="P284" s="4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3.2">
      <c r="A285" s="47"/>
      <c r="B285" s="55"/>
      <c r="C285" s="55"/>
      <c r="D285" s="19"/>
      <c r="E285" s="12"/>
      <c r="F285" s="12"/>
      <c r="G285" s="47"/>
      <c r="H285" s="47"/>
      <c r="I285" s="48"/>
      <c r="J285" s="47"/>
      <c r="K285" s="48"/>
      <c r="L285" s="47"/>
      <c r="M285" s="47"/>
      <c r="N285" s="47"/>
      <c r="O285" s="47"/>
      <c r="P285" s="4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3.2">
      <c r="A286" s="47"/>
      <c r="B286" s="55"/>
      <c r="C286" s="55"/>
      <c r="D286" s="19"/>
      <c r="E286" s="12"/>
      <c r="F286" s="12"/>
      <c r="G286" s="47"/>
      <c r="H286" s="47"/>
      <c r="I286" s="48"/>
      <c r="J286" s="47"/>
      <c r="K286" s="48"/>
      <c r="L286" s="47"/>
      <c r="M286" s="47"/>
      <c r="N286" s="47"/>
      <c r="O286" s="47"/>
      <c r="P286" s="4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3.2">
      <c r="A287" s="47"/>
      <c r="B287" s="55"/>
      <c r="C287" s="55"/>
      <c r="D287" s="19"/>
      <c r="E287" s="12"/>
      <c r="F287" s="12"/>
      <c r="G287" s="47"/>
      <c r="H287" s="47"/>
      <c r="I287" s="48"/>
      <c r="J287" s="47"/>
      <c r="K287" s="48"/>
      <c r="L287" s="47"/>
      <c r="M287" s="47"/>
      <c r="N287" s="47"/>
      <c r="O287" s="47"/>
      <c r="P287" s="4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3.2">
      <c r="A288" s="47"/>
      <c r="B288" s="55"/>
      <c r="C288" s="55"/>
      <c r="D288" s="19"/>
      <c r="E288" s="12"/>
      <c r="F288" s="12"/>
      <c r="G288" s="47"/>
      <c r="H288" s="47"/>
      <c r="I288" s="48"/>
      <c r="J288" s="47"/>
      <c r="K288" s="48"/>
      <c r="L288" s="47"/>
      <c r="M288" s="47"/>
      <c r="N288" s="47"/>
      <c r="O288" s="47"/>
      <c r="P288" s="4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3.2">
      <c r="A289" s="47"/>
      <c r="B289" s="55"/>
      <c r="C289" s="55"/>
      <c r="D289" s="19"/>
      <c r="E289" s="12"/>
      <c r="F289" s="12"/>
      <c r="G289" s="47"/>
      <c r="H289" s="47"/>
      <c r="I289" s="48"/>
      <c r="J289" s="47"/>
      <c r="K289" s="48"/>
      <c r="L289" s="47"/>
      <c r="M289" s="47"/>
      <c r="N289" s="47"/>
      <c r="O289" s="47"/>
      <c r="P289" s="4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3.2">
      <c r="A290" s="47"/>
      <c r="B290" s="55"/>
      <c r="C290" s="55"/>
      <c r="D290" s="19"/>
      <c r="E290" s="12"/>
      <c r="F290" s="12"/>
      <c r="G290" s="47"/>
      <c r="H290" s="47"/>
      <c r="I290" s="48"/>
      <c r="J290" s="47"/>
      <c r="K290" s="48"/>
      <c r="L290" s="47"/>
      <c r="M290" s="47"/>
      <c r="N290" s="47"/>
      <c r="O290" s="47"/>
      <c r="P290" s="4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3.2">
      <c r="A291" s="47"/>
      <c r="B291" s="55"/>
      <c r="C291" s="55"/>
      <c r="D291" s="19"/>
      <c r="E291" s="12"/>
      <c r="F291" s="12"/>
      <c r="G291" s="47"/>
      <c r="H291" s="47"/>
      <c r="I291" s="48"/>
      <c r="J291" s="47"/>
      <c r="K291" s="48"/>
      <c r="L291" s="47"/>
      <c r="M291" s="47"/>
      <c r="N291" s="47"/>
      <c r="O291" s="47"/>
      <c r="P291" s="4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3.2">
      <c r="A292" s="47"/>
      <c r="B292" s="55"/>
      <c r="C292" s="55"/>
      <c r="D292" s="19"/>
      <c r="E292" s="12"/>
      <c r="F292" s="12"/>
      <c r="G292" s="47"/>
      <c r="H292" s="47"/>
      <c r="I292" s="48"/>
      <c r="J292" s="47"/>
      <c r="K292" s="48"/>
      <c r="L292" s="47"/>
      <c r="M292" s="47"/>
      <c r="N292" s="47"/>
      <c r="O292" s="47"/>
      <c r="P292" s="4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26.4">
      <c r="A293" s="45" t="s">
        <v>69</v>
      </c>
      <c r="B293" s="5">
        <v>0</v>
      </c>
      <c r="C293" s="5">
        <v>0</v>
      </c>
      <c r="D293" s="9">
        <v>42992</v>
      </c>
      <c r="E293" s="10">
        <v>394.1</v>
      </c>
      <c r="F293" s="12" t="s">
        <v>21</v>
      </c>
      <c r="G293" s="46">
        <f>AVERAGE(F294:F309)</f>
        <v>7.0964285714285769</v>
      </c>
      <c r="H293" s="47"/>
      <c r="I293" s="13">
        <v>118.6</v>
      </c>
      <c r="J293" s="47"/>
      <c r="K293" s="13">
        <v>18</v>
      </c>
      <c r="L293" s="47"/>
      <c r="M293" s="47"/>
      <c r="N293" s="47"/>
      <c r="O293" s="47"/>
      <c r="P293" s="49">
        <f>SUM(O293:O305)-104.4</f>
        <v>421.69999999999993</v>
      </c>
      <c r="Q293" s="7"/>
      <c r="R293" s="7"/>
      <c r="S293" s="73">
        <f>I297-I307</f>
        <v>71.5</v>
      </c>
      <c r="T293" s="7">
        <f>SUM(S293:S297)*3.1</f>
        <v>819.02</v>
      </c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3.2">
      <c r="A294" s="50" t="s">
        <v>30</v>
      </c>
      <c r="B294" s="5">
        <v>0</v>
      </c>
      <c r="C294" s="5">
        <v>0</v>
      </c>
      <c r="D294" s="9">
        <v>42993</v>
      </c>
      <c r="E294" s="10">
        <v>387.2</v>
      </c>
      <c r="F294" s="12">
        <f>E293-E294</f>
        <v>6.9000000000000341</v>
      </c>
      <c r="G294" s="47"/>
      <c r="H294" s="47"/>
      <c r="I294" s="13">
        <v>114.1</v>
      </c>
      <c r="J294" s="47">
        <f t="shared" ref="J294:J303" si="64">(I293-I294)/(D294-D293)</f>
        <v>4.5</v>
      </c>
      <c r="K294" s="13">
        <v>18.2</v>
      </c>
      <c r="L294" s="47"/>
      <c r="M294" s="47"/>
      <c r="N294" s="47"/>
      <c r="O294" s="46">
        <f>373.7-E303</f>
        <v>99.800000000000011</v>
      </c>
      <c r="P294" s="49"/>
      <c r="Q294" s="7"/>
      <c r="R294" s="7"/>
      <c r="S294" s="73">
        <f>51.3-I314</f>
        <v>35</v>
      </c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3.2">
      <c r="A295" s="47"/>
      <c r="B295" s="5">
        <v>0</v>
      </c>
      <c r="C295" s="5">
        <v>0</v>
      </c>
      <c r="D295" s="9">
        <v>42996</v>
      </c>
      <c r="E295" s="10">
        <v>372.4</v>
      </c>
      <c r="F295" s="12">
        <f t="shared" ref="F295:F297" si="65">(E294-E295)/(D295-D294)</f>
        <v>4.9333333333333371</v>
      </c>
      <c r="G295" s="47"/>
      <c r="H295" s="47"/>
      <c r="I295" s="13">
        <v>102.2</v>
      </c>
      <c r="J295" s="51">
        <f t="shared" si="64"/>
        <v>3.9666666666666637</v>
      </c>
      <c r="K295" s="13">
        <v>18.100000000000001</v>
      </c>
      <c r="L295" s="47"/>
      <c r="M295" s="47"/>
      <c r="N295" s="47"/>
      <c r="O295" s="46">
        <f>E304-E307</f>
        <v>39</v>
      </c>
      <c r="P295" s="49"/>
      <c r="Q295" s="7"/>
      <c r="R295" s="7"/>
      <c r="S295" s="73">
        <f>74.4-I321</f>
        <v>38.400000000000006</v>
      </c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3.2">
      <c r="A296" s="47"/>
      <c r="B296" s="5">
        <v>0</v>
      </c>
      <c r="C296" s="5">
        <v>0</v>
      </c>
      <c r="D296" s="9">
        <v>42998</v>
      </c>
      <c r="E296" s="10">
        <v>363.5</v>
      </c>
      <c r="F296" s="12">
        <f t="shared" si="65"/>
        <v>4.4499999999999886</v>
      </c>
      <c r="G296" s="47"/>
      <c r="H296" s="47"/>
      <c r="I296" s="13">
        <v>94.5</v>
      </c>
      <c r="J296" s="47">
        <f t="shared" si="64"/>
        <v>3.8500000000000014</v>
      </c>
      <c r="K296" s="13">
        <v>18.100000000000001</v>
      </c>
      <c r="L296" s="47"/>
      <c r="M296" s="47"/>
      <c r="N296" s="47"/>
      <c r="O296" s="46">
        <f>E308-E311</f>
        <v>41</v>
      </c>
      <c r="P296" s="49"/>
      <c r="Q296" s="7"/>
      <c r="R296" s="7"/>
      <c r="S296" s="73">
        <f>65.4-I326</f>
        <v>34.400000000000006</v>
      </c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3.2">
      <c r="A297" s="47"/>
      <c r="B297" s="5">
        <v>0.5</v>
      </c>
      <c r="C297" s="5">
        <v>0</v>
      </c>
      <c r="D297" s="9">
        <v>42999</v>
      </c>
      <c r="E297" s="10">
        <v>355.9</v>
      </c>
      <c r="F297" s="12">
        <f t="shared" si="65"/>
        <v>7.6000000000000227</v>
      </c>
      <c r="G297" s="47"/>
      <c r="H297" s="47"/>
      <c r="I297" s="13">
        <v>91</v>
      </c>
      <c r="J297" s="47">
        <f t="shared" si="64"/>
        <v>3.5</v>
      </c>
      <c r="K297" s="13">
        <v>18.600000000000001</v>
      </c>
      <c r="L297" s="47"/>
      <c r="M297" s="47"/>
      <c r="N297" s="47"/>
      <c r="O297" s="46">
        <f>E312-E315</f>
        <v>40.899999999999977</v>
      </c>
      <c r="P297" s="49"/>
      <c r="Q297" s="7"/>
      <c r="R297" s="7"/>
      <c r="S297" s="73">
        <f>I327-I342</f>
        <v>84.899999999999991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3.2">
      <c r="A298" s="47"/>
      <c r="B298" s="5">
        <v>0.5</v>
      </c>
      <c r="C298" s="5">
        <f t="shared" ref="C298:C299" si="66">D298-$D297</f>
        <v>1</v>
      </c>
      <c r="D298" s="9">
        <v>43000</v>
      </c>
      <c r="E298" s="10">
        <v>360</v>
      </c>
      <c r="F298" s="12">
        <f>(373.7-E298)/(D298-D297)</f>
        <v>13.699999999999989</v>
      </c>
      <c r="G298" s="47"/>
      <c r="H298" s="47"/>
      <c r="I298" s="13">
        <v>87</v>
      </c>
      <c r="J298" s="48">
        <f t="shared" si="64"/>
        <v>4</v>
      </c>
      <c r="K298" s="13">
        <v>18.2</v>
      </c>
      <c r="L298" s="47"/>
      <c r="M298" s="47"/>
      <c r="N298" s="47"/>
      <c r="O298" s="46">
        <f>E308-E311</f>
        <v>41</v>
      </c>
      <c r="P298" s="49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3.2">
      <c r="A299" s="47"/>
      <c r="B299" s="5">
        <v>0.5</v>
      </c>
      <c r="C299" s="5">
        <f t="shared" si="66"/>
        <v>3</v>
      </c>
      <c r="D299" s="9">
        <v>43003</v>
      </c>
      <c r="E299" s="10">
        <v>340.6</v>
      </c>
      <c r="F299" s="12">
        <f t="shared" ref="F299:F303" si="67">(E298-E299)/(D299-D298)</f>
        <v>6.4666666666666588</v>
      </c>
      <c r="G299" s="47"/>
      <c r="H299" s="47"/>
      <c r="I299" s="13">
        <v>76</v>
      </c>
      <c r="J299" s="51">
        <f t="shared" si="64"/>
        <v>3.6666666666666665</v>
      </c>
      <c r="K299" s="13">
        <v>18.5</v>
      </c>
      <c r="L299" s="47"/>
      <c r="M299" s="47"/>
      <c r="N299" s="47"/>
      <c r="O299" s="46">
        <f>E312-E315</f>
        <v>40.899999999999977</v>
      </c>
      <c r="P299" s="49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3.2">
      <c r="A300" s="47"/>
      <c r="B300" s="5">
        <v>1</v>
      </c>
      <c r="C300" s="5">
        <f>D300-$D297</f>
        <v>6</v>
      </c>
      <c r="D300" s="9">
        <v>43005</v>
      </c>
      <c r="E300" s="10">
        <v>329.9</v>
      </c>
      <c r="F300" s="12">
        <f t="shared" si="67"/>
        <v>5.3500000000000227</v>
      </c>
      <c r="G300" s="47"/>
      <c r="H300" s="47"/>
      <c r="I300" s="13">
        <v>69.5</v>
      </c>
      <c r="J300" s="47">
        <f t="shared" si="64"/>
        <v>3.25</v>
      </c>
      <c r="K300" s="18">
        <v>18.5</v>
      </c>
      <c r="L300" s="47"/>
      <c r="M300" s="47"/>
      <c r="N300" s="47"/>
      <c r="O300" s="46">
        <f>E316-E319</f>
        <v>40.200000000000045</v>
      </c>
      <c r="P300" s="49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3.2">
      <c r="A301" s="47"/>
      <c r="B301" s="5">
        <v>1</v>
      </c>
      <c r="C301" s="5">
        <f>D301-D297</f>
        <v>8</v>
      </c>
      <c r="D301" s="9">
        <v>43007</v>
      </c>
      <c r="E301" s="10">
        <v>316.7</v>
      </c>
      <c r="F301" s="12">
        <f t="shared" si="67"/>
        <v>6.5999999999999943</v>
      </c>
      <c r="G301" s="47"/>
      <c r="H301" s="47"/>
      <c r="I301" s="13">
        <v>61</v>
      </c>
      <c r="J301" s="47">
        <f t="shared" si="64"/>
        <v>4.25</v>
      </c>
      <c r="K301" s="13">
        <v>18.899999999999999</v>
      </c>
      <c r="L301" s="47"/>
      <c r="M301" s="47"/>
      <c r="N301" s="47"/>
      <c r="O301" s="46">
        <f>E320-E323</f>
        <v>37.399999999999977</v>
      </c>
      <c r="P301" s="49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3.2">
      <c r="A302" s="47"/>
      <c r="B302" s="5">
        <v>1</v>
      </c>
      <c r="C302" s="5">
        <f>D302-D297</f>
        <v>11</v>
      </c>
      <c r="D302" s="19">
        <v>43010</v>
      </c>
      <c r="E302" s="11">
        <v>294.89999999999998</v>
      </c>
      <c r="F302" s="12">
        <f t="shared" si="67"/>
        <v>7.2666666666666702</v>
      </c>
      <c r="G302" s="47"/>
      <c r="H302" s="47"/>
      <c r="I302" s="13">
        <v>50.7</v>
      </c>
      <c r="J302" s="16">
        <f t="shared" si="64"/>
        <v>3.4333333333333322</v>
      </c>
      <c r="K302" s="13">
        <v>18.600000000000001</v>
      </c>
      <c r="L302" s="47"/>
      <c r="M302" s="47"/>
      <c r="N302" s="47"/>
      <c r="O302" s="46">
        <f>E324-E327</f>
        <v>39.5</v>
      </c>
      <c r="P302" s="49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3.2">
      <c r="A303" s="47"/>
      <c r="B303" s="5">
        <v>1</v>
      </c>
      <c r="C303" s="5">
        <f>D303-D297</f>
        <v>13</v>
      </c>
      <c r="D303" s="19">
        <v>43012</v>
      </c>
      <c r="E303" s="11">
        <v>273.89999999999998</v>
      </c>
      <c r="F303" s="12">
        <f t="shared" si="67"/>
        <v>10.5</v>
      </c>
      <c r="G303" s="47"/>
      <c r="H303" s="47"/>
      <c r="I303" s="13">
        <v>44.5</v>
      </c>
      <c r="J303" s="47">
        <f t="shared" si="64"/>
        <v>3.1000000000000014</v>
      </c>
      <c r="K303" s="13">
        <v>18.899999999999999</v>
      </c>
      <c r="L303" s="47"/>
      <c r="M303" s="47"/>
      <c r="N303" s="47"/>
      <c r="O303" s="46">
        <f>E328-E330</f>
        <v>27.100000000000023</v>
      </c>
      <c r="P303" s="49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3.2">
      <c r="A304" s="47"/>
      <c r="B304" s="5">
        <v>2</v>
      </c>
      <c r="C304" s="5">
        <f>D304-D297</f>
        <v>14</v>
      </c>
      <c r="D304" s="19">
        <v>43013</v>
      </c>
      <c r="E304" s="11">
        <v>396.7</v>
      </c>
      <c r="F304" s="12"/>
      <c r="G304" s="47"/>
      <c r="H304" s="47"/>
      <c r="I304" s="47"/>
      <c r="J304" s="47"/>
      <c r="K304" s="15"/>
      <c r="L304" s="47"/>
      <c r="M304" s="47"/>
      <c r="N304" s="47"/>
      <c r="O304" s="46">
        <f>E331-E339</f>
        <v>48.099999999999966</v>
      </c>
      <c r="P304" s="49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3.2">
      <c r="A305" s="47"/>
      <c r="B305" s="5">
        <v>2</v>
      </c>
      <c r="C305" s="5">
        <f>D305-$D297</f>
        <v>15</v>
      </c>
      <c r="D305" s="19">
        <v>43014</v>
      </c>
      <c r="E305" s="11">
        <v>389.4</v>
      </c>
      <c r="F305" s="12">
        <f t="shared" ref="F305:F307" si="68">(E304-E305)/(D305-D304)</f>
        <v>7.3000000000000114</v>
      </c>
      <c r="G305" s="47"/>
      <c r="H305" s="47"/>
      <c r="I305" s="13">
        <v>37.6</v>
      </c>
      <c r="J305" s="47">
        <f>(I303-I305)/(D305-D303)</f>
        <v>3.4499999999999993</v>
      </c>
      <c r="K305" s="13">
        <v>18.7</v>
      </c>
      <c r="L305" s="47"/>
      <c r="M305" s="47"/>
      <c r="N305" s="47"/>
      <c r="O305" s="46">
        <f>E340-E343</f>
        <v>31.199999999999989</v>
      </c>
      <c r="P305" s="49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3.2">
      <c r="A306" s="47"/>
      <c r="B306" s="5">
        <v>2</v>
      </c>
      <c r="C306" s="5">
        <f t="shared" ref="C306:C347" si="69">D306-$D$6</f>
        <v>18</v>
      </c>
      <c r="D306" s="19">
        <v>43017</v>
      </c>
      <c r="E306" s="11">
        <v>372.2</v>
      </c>
      <c r="F306" s="12">
        <f t="shared" si="68"/>
        <v>5.7333333333333298</v>
      </c>
      <c r="G306" s="47"/>
      <c r="H306" s="47"/>
      <c r="I306" s="13">
        <v>26.7</v>
      </c>
      <c r="J306" s="47">
        <f>(49.8-I307)/(D306-D305)</f>
        <v>10.1</v>
      </c>
      <c r="K306" s="13">
        <v>19.600000000000001</v>
      </c>
      <c r="L306" s="47"/>
      <c r="M306" s="47"/>
      <c r="N306" s="47"/>
      <c r="O306" s="47"/>
      <c r="P306" s="49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3.2">
      <c r="A307" s="47"/>
      <c r="B307" s="5">
        <v>2</v>
      </c>
      <c r="C307" s="5">
        <f t="shared" si="69"/>
        <v>20</v>
      </c>
      <c r="D307" s="19">
        <v>43019</v>
      </c>
      <c r="E307" s="11">
        <v>357.7</v>
      </c>
      <c r="F307" s="12">
        <f t="shared" si="68"/>
        <v>7.25</v>
      </c>
      <c r="G307" s="47"/>
      <c r="H307" s="47"/>
      <c r="I307" s="13">
        <v>19.5</v>
      </c>
      <c r="J307" s="47">
        <f>(I306-I307)/(D307-D306)</f>
        <v>3.5999999999999996</v>
      </c>
      <c r="K307" s="13">
        <v>19.600000000000001</v>
      </c>
      <c r="L307" s="47"/>
      <c r="M307" s="47"/>
      <c r="N307" s="47"/>
      <c r="O307" s="47"/>
      <c r="P307" s="49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3.2">
      <c r="A308" s="47"/>
      <c r="B308" s="5">
        <v>3</v>
      </c>
      <c r="C308" s="5">
        <f t="shared" si="69"/>
        <v>21</v>
      </c>
      <c r="D308" s="19">
        <v>43020</v>
      </c>
      <c r="E308" s="11">
        <v>385</v>
      </c>
      <c r="F308" s="12"/>
      <c r="G308" s="47"/>
      <c r="H308" s="47"/>
      <c r="I308" s="15"/>
      <c r="J308" s="47"/>
      <c r="K308" s="15"/>
      <c r="L308" s="47"/>
      <c r="M308" s="47"/>
      <c r="N308" s="47"/>
      <c r="O308" s="47"/>
      <c r="P308" s="49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3.2">
      <c r="A309" s="47"/>
      <c r="B309" s="5">
        <v>3</v>
      </c>
      <c r="C309" s="5">
        <f t="shared" si="69"/>
        <v>22</v>
      </c>
      <c r="D309" s="19">
        <f>D307+2</f>
        <v>43021</v>
      </c>
      <c r="E309" s="11">
        <v>379.7</v>
      </c>
      <c r="F309" s="12">
        <f t="shared" ref="F309:F311" si="70">(E308-E309)/(D309-D308)</f>
        <v>5.3000000000000114</v>
      </c>
      <c r="G309" s="47"/>
      <c r="H309" s="47"/>
      <c r="I309" s="13">
        <v>44.7</v>
      </c>
      <c r="J309" s="47">
        <f t="shared" ref="J309:J311" si="71">(51.3-I309)/(D309-D307)</f>
        <v>3.2999999999999972</v>
      </c>
      <c r="K309" s="13">
        <v>17.7</v>
      </c>
      <c r="L309" s="47"/>
      <c r="M309" s="47"/>
      <c r="N309" s="47"/>
      <c r="O309" s="47"/>
      <c r="P309" s="49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3.2">
      <c r="A310" s="47"/>
      <c r="B310" s="5">
        <v>3</v>
      </c>
      <c r="C310" s="5">
        <f t="shared" si="69"/>
        <v>25</v>
      </c>
      <c r="D310" s="19">
        <f>D309+3</f>
        <v>43024</v>
      </c>
      <c r="E310" s="11">
        <v>358.2</v>
      </c>
      <c r="F310" s="12">
        <f t="shared" si="70"/>
        <v>7.166666666666667</v>
      </c>
      <c r="G310" s="47"/>
      <c r="H310" s="47"/>
      <c r="I310" s="18">
        <v>35.1</v>
      </c>
      <c r="J310" s="47">
        <f t="shared" si="71"/>
        <v>4.0499999999999989</v>
      </c>
      <c r="K310" s="18">
        <v>20.2</v>
      </c>
      <c r="L310" s="47"/>
      <c r="M310" s="47"/>
      <c r="N310" s="47"/>
      <c r="O310" s="47"/>
      <c r="P310" s="49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3.2">
      <c r="A311" s="47"/>
      <c r="B311" s="5">
        <v>3</v>
      </c>
      <c r="C311" s="5">
        <f t="shared" si="69"/>
        <v>27</v>
      </c>
      <c r="D311" s="19">
        <f>D310+2</f>
        <v>43026</v>
      </c>
      <c r="E311" s="11">
        <v>344</v>
      </c>
      <c r="F311" s="12">
        <f t="shared" si="70"/>
        <v>7.0999999999999943</v>
      </c>
      <c r="G311" s="47"/>
      <c r="H311" s="47"/>
      <c r="I311" s="18">
        <v>34.299999999999997</v>
      </c>
      <c r="J311" s="47">
        <f t="shared" si="71"/>
        <v>3.4</v>
      </c>
      <c r="K311" s="18">
        <v>20.9</v>
      </c>
      <c r="L311" s="47"/>
      <c r="M311" s="47"/>
      <c r="N311" s="47"/>
      <c r="O311" s="47"/>
      <c r="P311" s="49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3.2">
      <c r="A312" s="47"/>
      <c r="B312" s="5">
        <v>4</v>
      </c>
      <c r="C312" s="5">
        <f t="shared" si="69"/>
        <v>28</v>
      </c>
      <c r="D312" s="20">
        <v>43027</v>
      </c>
      <c r="E312" s="11">
        <v>389.5</v>
      </c>
      <c r="F312" s="12"/>
      <c r="G312" s="47"/>
      <c r="H312" s="47"/>
      <c r="I312" s="48"/>
      <c r="J312" s="47"/>
      <c r="K312" s="48"/>
      <c r="L312" s="47"/>
      <c r="M312" s="47"/>
      <c r="N312" s="47"/>
      <c r="O312" s="47"/>
      <c r="P312" s="49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3.2">
      <c r="A313" s="47"/>
      <c r="B313" s="5">
        <v>4</v>
      </c>
      <c r="C313" s="5">
        <f t="shared" si="69"/>
        <v>29</v>
      </c>
      <c r="D313" s="19">
        <f>D311+2</f>
        <v>43028</v>
      </c>
      <c r="E313" s="11">
        <v>379.4</v>
      </c>
      <c r="F313" s="12">
        <f t="shared" ref="F313:F315" si="72">(E312-E313)/(D313-D312)</f>
        <v>10.100000000000023</v>
      </c>
      <c r="G313" s="47"/>
      <c r="H313" s="47"/>
      <c r="I313" s="18">
        <v>27.4</v>
      </c>
      <c r="J313" s="47">
        <f>(I311-I313)/(D313-D311)</f>
        <v>3.4499999999999993</v>
      </c>
      <c r="K313" s="18">
        <v>20.9</v>
      </c>
      <c r="L313" s="47"/>
      <c r="M313" s="47"/>
      <c r="N313" s="47"/>
      <c r="O313" s="47"/>
      <c r="P313" s="49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3.2">
      <c r="A314" s="47"/>
      <c r="B314" s="5">
        <v>4</v>
      </c>
      <c r="C314" s="5">
        <f t="shared" si="69"/>
        <v>32</v>
      </c>
      <c r="D314" s="19">
        <v>43031</v>
      </c>
      <c r="E314" s="11">
        <v>363.1</v>
      </c>
      <c r="F314" s="12">
        <f t="shared" si="72"/>
        <v>5.4333333333333185</v>
      </c>
      <c r="G314" s="47"/>
      <c r="H314" s="47"/>
      <c r="I314" s="18">
        <v>16.3</v>
      </c>
      <c r="J314" s="47">
        <f>(I313-I314)/(D314-D313)</f>
        <v>3.6999999999999993</v>
      </c>
      <c r="K314" s="18">
        <v>21.1</v>
      </c>
      <c r="L314" s="47"/>
      <c r="M314" s="47"/>
      <c r="N314" s="47"/>
      <c r="O314" s="47"/>
      <c r="P314" s="49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3.2">
      <c r="A315" s="47"/>
      <c r="B315" s="5">
        <v>4</v>
      </c>
      <c r="C315" s="5">
        <f t="shared" si="69"/>
        <v>34</v>
      </c>
      <c r="D315" s="19">
        <v>43033</v>
      </c>
      <c r="E315" s="11">
        <v>348.6</v>
      </c>
      <c r="F315" s="12">
        <f t="shared" si="72"/>
        <v>7.25</v>
      </c>
      <c r="G315" s="47"/>
      <c r="H315" s="47"/>
      <c r="I315" s="18">
        <v>67.7</v>
      </c>
      <c r="J315" s="47">
        <f>(74.4-I315)/(D315-D314)</f>
        <v>3.3500000000000014</v>
      </c>
      <c r="K315" s="18">
        <v>20.6</v>
      </c>
      <c r="L315" s="47"/>
      <c r="M315" s="47"/>
      <c r="N315" s="47"/>
      <c r="O315" s="47"/>
      <c r="P315" s="49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3.2">
      <c r="A316" s="47"/>
      <c r="B316" s="5">
        <v>5</v>
      </c>
      <c r="C316" s="5">
        <f t="shared" si="69"/>
        <v>35</v>
      </c>
      <c r="D316" s="20">
        <v>43034</v>
      </c>
      <c r="E316" s="11">
        <v>379.1</v>
      </c>
      <c r="F316" s="12"/>
      <c r="G316" s="47"/>
      <c r="H316" s="47"/>
      <c r="I316" s="48"/>
      <c r="J316" s="47"/>
      <c r="K316" s="48"/>
      <c r="L316" s="47"/>
      <c r="M316" s="47"/>
      <c r="N316" s="47"/>
      <c r="O316" s="47"/>
      <c r="P316" s="49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3.2">
      <c r="A317" s="47"/>
      <c r="B317" s="5">
        <v>5</v>
      </c>
      <c r="C317" s="5">
        <f t="shared" si="69"/>
        <v>36</v>
      </c>
      <c r="D317" s="19">
        <v>43035</v>
      </c>
      <c r="E317" s="11">
        <v>371</v>
      </c>
      <c r="F317" s="12">
        <f>(E316-E317)/(D317-D316)</f>
        <v>8.1000000000000227</v>
      </c>
      <c r="G317" s="47"/>
      <c r="H317" s="47"/>
      <c r="I317" s="18">
        <v>60</v>
      </c>
      <c r="J317" s="47">
        <f>(I315-I317)/(D317-D315)</f>
        <v>3.8500000000000014</v>
      </c>
      <c r="K317" s="18">
        <v>21</v>
      </c>
      <c r="L317" s="47"/>
      <c r="M317" s="47"/>
      <c r="N317" s="47"/>
      <c r="O317" s="47"/>
      <c r="P317" s="49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3.2">
      <c r="A318" s="47"/>
      <c r="B318" s="5">
        <v>5</v>
      </c>
      <c r="C318" s="5">
        <f t="shared" si="69"/>
        <v>39</v>
      </c>
      <c r="D318" s="19">
        <v>43038</v>
      </c>
      <c r="E318" s="11">
        <v>351.9</v>
      </c>
      <c r="F318" s="12">
        <f t="shared" ref="F318:F319" si="73">(E317-E317:E318)/(D318-D317)</f>
        <v>6.3666666666666742</v>
      </c>
      <c r="G318" s="47"/>
      <c r="H318" s="47"/>
      <c r="I318" s="18">
        <v>49.8</v>
      </c>
      <c r="J318" s="47">
        <f t="shared" ref="J318:J319" si="74">(I317-I318)/(D318-D317)</f>
        <v>3.4000000000000008</v>
      </c>
      <c r="K318" s="18">
        <v>22.1</v>
      </c>
      <c r="L318" s="47"/>
      <c r="M318" s="47"/>
      <c r="N318" s="47"/>
      <c r="O318" s="47"/>
      <c r="P318" s="49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3.2">
      <c r="A319" s="47"/>
      <c r="B319" s="5">
        <v>5</v>
      </c>
      <c r="C319" s="5">
        <f t="shared" si="69"/>
        <v>41</v>
      </c>
      <c r="D319" s="19">
        <v>43040</v>
      </c>
      <c r="E319" s="11">
        <v>338.9</v>
      </c>
      <c r="F319" s="12">
        <f t="shared" si="73"/>
        <v>6.5</v>
      </c>
      <c r="G319" s="47"/>
      <c r="H319" s="47"/>
      <c r="I319" s="18">
        <v>41.9</v>
      </c>
      <c r="J319" s="47">
        <f t="shared" si="74"/>
        <v>3.9499999999999993</v>
      </c>
      <c r="K319" s="18">
        <v>21.9</v>
      </c>
      <c r="L319" s="47"/>
      <c r="M319" s="47"/>
      <c r="N319" s="47"/>
      <c r="O319" s="47"/>
      <c r="P319" s="49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3.2">
      <c r="A320" s="47"/>
      <c r="B320" s="5">
        <v>6</v>
      </c>
      <c r="C320" s="5">
        <f t="shared" si="69"/>
        <v>42</v>
      </c>
      <c r="D320" s="20">
        <v>43041</v>
      </c>
      <c r="E320" s="95">
        <v>361.4</v>
      </c>
      <c r="F320" s="12"/>
      <c r="G320" s="47"/>
      <c r="H320" s="47"/>
      <c r="I320" s="48"/>
      <c r="J320" s="47"/>
      <c r="K320" s="48"/>
      <c r="L320" s="47"/>
      <c r="M320" s="47"/>
      <c r="N320" s="47"/>
      <c r="O320" s="47"/>
      <c r="P320" s="49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3.2">
      <c r="A321" s="47"/>
      <c r="B321" s="5">
        <v>6</v>
      </c>
      <c r="C321" s="5">
        <f t="shared" si="69"/>
        <v>43</v>
      </c>
      <c r="D321" s="19">
        <v>43042</v>
      </c>
      <c r="E321" s="95">
        <v>354.5</v>
      </c>
      <c r="F321" s="12">
        <f>(E320-E321)/(D321-D320)</f>
        <v>6.8999999999999773</v>
      </c>
      <c r="G321" s="47"/>
      <c r="H321" s="47"/>
      <c r="I321" s="18">
        <v>36</v>
      </c>
      <c r="J321" s="47">
        <f>(I319-I321)/(D321-D319)</f>
        <v>2.9499999999999993</v>
      </c>
      <c r="K321" s="18">
        <v>22.3</v>
      </c>
      <c r="L321" s="47"/>
      <c r="M321" s="47"/>
      <c r="N321" s="47"/>
      <c r="O321" s="47"/>
      <c r="P321" s="49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3.2">
      <c r="A322" s="47"/>
      <c r="B322" s="5">
        <v>6</v>
      </c>
      <c r="C322" s="5">
        <f t="shared" si="69"/>
        <v>46</v>
      </c>
      <c r="D322" s="19">
        <v>43045</v>
      </c>
      <c r="E322" s="11">
        <v>336.7</v>
      </c>
      <c r="F322" s="12">
        <f t="shared" ref="F322:F323" si="75">(E321-E321:E322)/(D322-D321)</f>
        <v>5.9333333333333371</v>
      </c>
      <c r="G322" s="47"/>
      <c r="H322" s="47"/>
      <c r="I322" s="18">
        <v>55.5</v>
      </c>
      <c r="J322" s="47">
        <f>(65.4-I322)/(D322-D321)</f>
        <v>3.300000000000002</v>
      </c>
      <c r="K322" s="18">
        <v>22</v>
      </c>
      <c r="L322" s="47"/>
      <c r="M322" s="47"/>
      <c r="N322" s="47"/>
      <c r="O322" s="47"/>
      <c r="P322" s="49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3.2">
      <c r="A323" s="47"/>
      <c r="B323" s="5">
        <v>6</v>
      </c>
      <c r="C323" s="5">
        <f t="shared" si="69"/>
        <v>48</v>
      </c>
      <c r="D323" s="19">
        <v>43047</v>
      </c>
      <c r="E323" s="11">
        <v>324</v>
      </c>
      <c r="F323" s="12">
        <f t="shared" si="75"/>
        <v>6.3499999999999943</v>
      </c>
      <c r="G323" s="47"/>
      <c r="H323" s="47"/>
      <c r="I323" s="18">
        <v>47.6</v>
      </c>
      <c r="J323" s="47">
        <f>(I322-I323)/(D323-D322)</f>
        <v>3.9499999999999993</v>
      </c>
      <c r="K323" s="18">
        <v>22.6</v>
      </c>
      <c r="L323" s="47"/>
      <c r="M323" s="47"/>
      <c r="N323" s="47"/>
      <c r="O323" s="47"/>
      <c r="P323" s="49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3.2">
      <c r="A324" s="47"/>
      <c r="B324" s="5">
        <v>7</v>
      </c>
      <c r="C324" s="5">
        <f t="shared" si="69"/>
        <v>49</v>
      </c>
      <c r="D324" s="20">
        <v>43048</v>
      </c>
      <c r="E324" s="11">
        <v>379.1</v>
      </c>
      <c r="F324" s="12"/>
      <c r="G324" s="47"/>
      <c r="H324" s="47"/>
      <c r="I324" s="48"/>
      <c r="J324" s="47"/>
      <c r="K324" s="48"/>
      <c r="L324" s="47"/>
      <c r="M324" s="47"/>
      <c r="N324" s="47"/>
      <c r="O324" s="47"/>
      <c r="P324" s="49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3.2">
      <c r="A325" s="47"/>
      <c r="B325" s="5">
        <v>7</v>
      </c>
      <c r="C325" s="5">
        <f t="shared" si="69"/>
        <v>50</v>
      </c>
      <c r="D325" s="19">
        <v>43049</v>
      </c>
      <c r="E325" s="11">
        <v>370.1</v>
      </c>
      <c r="F325" s="12">
        <f>(E324-E325)/(D325-D324)</f>
        <v>9</v>
      </c>
      <c r="G325" s="47"/>
      <c r="H325" s="47"/>
      <c r="I325" s="18">
        <v>41.2</v>
      </c>
      <c r="J325" s="47">
        <f>(I323-I325)/(D325-D323)</f>
        <v>3.1999999999999993</v>
      </c>
      <c r="K325" s="18">
        <v>21.7</v>
      </c>
      <c r="L325" s="47"/>
      <c r="M325" s="47"/>
      <c r="N325" s="47"/>
      <c r="O325" s="47"/>
      <c r="P325" s="49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3.2">
      <c r="A326" s="47"/>
      <c r="B326" s="5">
        <v>7</v>
      </c>
      <c r="C326" s="5">
        <f t="shared" si="69"/>
        <v>53</v>
      </c>
      <c r="D326" s="19">
        <v>43052</v>
      </c>
      <c r="E326" s="11">
        <v>354.5</v>
      </c>
      <c r="F326" s="12">
        <f>(E325-E325:E326)/(D326-D325)</f>
        <v>5.2000000000000073</v>
      </c>
      <c r="G326" s="47"/>
      <c r="H326" s="47"/>
      <c r="I326" s="18">
        <v>31</v>
      </c>
      <c r="J326" s="47">
        <f>(I325-I326)/(D326-D325)</f>
        <v>3.4000000000000008</v>
      </c>
      <c r="K326" s="18">
        <v>21.9</v>
      </c>
      <c r="L326" s="47"/>
      <c r="M326" s="47"/>
      <c r="N326" s="47"/>
      <c r="O326" s="47"/>
      <c r="P326" s="49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3.2">
      <c r="A327" s="47"/>
      <c r="B327" s="5">
        <v>7</v>
      </c>
      <c r="C327" s="5">
        <f t="shared" si="69"/>
        <v>55</v>
      </c>
      <c r="D327" s="19">
        <v>43054</v>
      </c>
      <c r="E327" s="11">
        <v>339.6</v>
      </c>
      <c r="F327" s="12">
        <f>(E326-E327)/(D327-D326)</f>
        <v>7.4499999999999886</v>
      </c>
      <c r="G327" s="47"/>
      <c r="H327" s="47"/>
      <c r="I327" s="18">
        <v>116.1</v>
      </c>
      <c r="J327" s="47"/>
      <c r="K327" s="18">
        <v>22.3</v>
      </c>
      <c r="L327" s="47"/>
      <c r="M327" s="47"/>
      <c r="N327" s="47"/>
      <c r="O327" s="47"/>
      <c r="P327" s="49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3.2">
      <c r="A328" s="47"/>
      <c r="B328" s="5">
        <v>8</v>
      </c>
      <c r="C328" s="5">
        <f t="shared" si="69"/>
        <v>56</v>
      </c>
      <c r="D328" s="20">
        <v>43055</v>
      </c>
      <c r="E328" s="11">
        <v>398.3</v>
      </c>
      <c r="F328" s="12"/>
      <c r="G328" s="47"/>
      <c r="H328" s="47"/>
      <c r="I328" s="48"/>
      <c r="J328" s="47"/>
      <c r="K328" s="48"/>
      <c r="L328" s="47"/>
      <c r="M328" s="47"/>
      <c r="N328" s="47"/>
      <c r="O328" s="47"/>
      <c r="P328" s="49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3.2">
      <c r="A329" s="47"/>
      <c r="B329" s="5">
        <v>8</v>
      </c>
      <c r="C329" s="5">
        <f t="shared" si="69"/>
        <v>57</v>
      </c>
      <c r="D329" s="20">
        <v>43056</v>
      </c>
      <c r="E329" s="11">
        <v>386.8</v>
      </c>
      <c r="F329" s="12">
        <f t="shared" ref="F329:F330" si="76">(E328-E329)/(D329-D328)</f>
        <v>11.5</v>
      </c>
      <c r="G329" s="47"/>
      <c r="H329" s="47"/>
      <c r="I329" s="18">
        <v>109.3</v>
      </c>
      <c r="J329" s="47">
        <f>(I327-I329)/(D329-D327)</f>
        <v>3.3999999999999986</v>
      </c>
      <c r="K329" s="18">
        <v>22.5</v>
      </c>
      <c r="L329" s="47"/>
      <c r="M329" s="47"/>
      <c r="N329" s="47"/>
      <c r="O329" s="47"/>
      <c r="P329" s="49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3.2">
      <c r="A330" s="47"/>
      <c r="B330" s="5">
        <v>8</v>
      </c>
      <c r="C330" s="5">
        <f t="shared" si="69"/>
        <v>60</v>
      </c>
      <c r="D330" s="20">
        <v>43059</v>
      </c>
      <c r="E330" s="11">
        <v>371.2</v>
      </c>
      <c r="F330" s="12">
        <f t="shared" si="76"/>
        <v>5.2000000000000073</v>
      </c>
      <c r="G330" s="47"/>
      <c r="H330" s="47"/>
      <c r="I330" s="18">
        <v>98.8</v>
      </c>
      <c r="J330" s="47">
        <f>(I329-I330)/(D330-D329)</f>
        <v>3.5</v>
      </c>
      <c r="K330" s="18">
        <v>22.9</v>
      </c>
      <c r="L330" s="47"/>
      <c r="M330" s="47"/>
      <c r="N330" s="47"/>
      <c r="O330" s="47"/>
      <c r="P330" s="49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3.2">
      <c r="A331" s="47"/>
      <c r="B331" s="5">
        <v>8</v>
      </c>
      <c r="C331" s="5">
        <f t="shared" si="69"/>
        <v>61</v>
      </c>
      <c r="D331" s="20">
        <v>43060</v>
      </c>
      <c r="E331" s="11">
        <v>381.2</v>
      </c>
      <c r="F331" s="12"/>
      <c r="G331" s="47"/>
      <c r="H331" s="47"/>
      <c r="I331" s="48"/>
      <c r="J331" s="47"/>
      <c r="K331" s="48"/>
      <c r="L331" s="47"/>
      <c r="M331" s="47"/>
      <c r="N331" s="47"/>
      <c r="O331" s="47"/>
      <c r="P331" s="49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3.2">
      <c r="A332" s="47"/>
      <c r="B332" s="5">
        <v>8</v>
      </c>
      <c r="C332" s="5">
        <f t="shared" si="69"/>
        <v>62</v>
      </c>
      <c r="D332" s="20">
        <v>43061</v>
      </c>
      <c r="E332" s="11">
        <v>376.2</v>
      </c>
      <c r="F332" s="12">
        <f t="shared" ref="F332:F335" si="77">(E331-E332)/(D332-D331)</f>
        <v>5</v>
      </c>
      <c r="G332" s="47"/>
      <c r="H332" s="47"/>
      <c r="I332" s="18">
        <v>92.5</v>
      </c>
      <c r="J332" s="47">
        <f>(I330-I332)/(D332-D330)</f>
        <v>3.1499999999999986</v>
      </c>
      <c r="K332" s="18">
        <v>22.4</v>
      </c>
      <c r="L332" s="47"/>
      <c r="M332" s="47"/>
      <c r="N332" s="47"/>
      <c r="O332" s="47"/>
      <c r="P332" s="49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3.2">
      <c r="A333" s="47"/>
      <c r="B333" s="5">
        <v>9</v>
      </c>
      <c r="C333" s="5">
        <f t="shared" si="69"/>
        <v>64</v>
      </c>
      <c r="D333" s="20">
        <v>43063</v>
      </c>
      <c r="E333" s="11">
        <v>363.4</v>
      </c>
      <c r="F333" s="12">
        <f t="shared" si="77"/>
        <v>6.4000000000000057</v>
      </c>
      <c r="G333" s="47"/>
      <c r="H333" s="47"/>
      <c r="I333" s="18">
        <v>84.9</v>
      </c>
      <c r="J333" s="47">
        <f t="shared" ref="J333:J335" si="78">(I332-I333)/(D333-D332)</f>
        <v>3.7999999999999972</v>
      </c>
      <c r="K333" s="18">
        <v>23.1</v>
      </c>
      <c r="L333" s="47"/>
      <c r="M333" s="47"/>
      <c r="N333" s="47"/>
      <c r="O333" s="47"/>
      <c r="P333" s="49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3.2">
      <c r="A334" s="47"/>
      <c r="B334" s="5">
        <v>9</v>
      </c>
      <c r="C334" s="5">
        <f t="shared" si="69"/>
        <v>67</v>
      </c>
      <c r="D334" s="23">
        <v>43066</v>
      </c>
      <c r="E334" s="11">
        <v>348.7</v>
      </c>
      <c r="F334" s="12">
        <f t="shared" si="77"/>
        <v>4.8999999999999959</v>
      </c>
      <c r="G334" s="47"/>
      <c r="H334" s="47"/>
      <c r="I334" s="18">
        <v>75.7</v>
      </c>
      <c r="J334" s="51">
        <f t="shared" si="78"/>
        <v>3.0666666666666678</v>
      </c>
      <c r="K334" s="18">
        <v>22.1</v>
      </c>
      <c r="L334" s="47"/>
      <c r="M334" s="47"/>
      <c r="N334" s="47"/>
      <c r="O334" s="47"/>
      <c r="P334" s="49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3.2">
      <c r="A335" s="47"/>
      <c r="B335" s="5">
        <v>9</v>
      </c>
      <c r="C335" s="5">
        <f t="shared" si="69"/>
        <v>69</v>
      </c>
      <c r="D335" s="23">
        <v>43068</v>
      </c>
      <c r="E335" s="11">
        <v>337</v>
      </c>
      <c r="F335" s="12">
        <f t="shared" si="77"/>
        <v>5.8499999999999943</v>
      </c>
      <c r="G335" s="47"/>
      <c r="H335" s="47"/>
      <c r="I335" s="18">
        <v>68.7</v>
      </c>
      <c r="J335" s="51">
        <f t="shared" si="78"/>
        <v>3.5</v>
      </c>
      <c r="K335" s="18">
        <v>22.9</v>
      </c>
      <c r="L335" s="47"/>
      <c r="M335" s="47"/>
      <c r="N335" s="47"/>
      <c r="O335" s="47"/>
      <c r="P335" s="49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3.2">
      <c r="A336" s="47"/>
      <c r="B336" s="5">
        <v>9</v>
      </c>
      <c r="C336" s="5">
        <f t="shared" si="69"/>
        <v>70</v>
      </c>
      <c r="D336" s="23">
        <v>43069</v>
      </c>
      <c r="E336" s="11">
        <v>370.4</v>
      </c>
      <c r="F336" s="12"/>
      <c r="G336" s="47"/>
      <c r="H336" s="47"/>
      <c r="I336" s="48"/>
      <c r="J336" s="47"/>
      <c r="K336" s="48"/>
      <c r="L336" s="47"/>
      <c r="M336" s="47"/>
      <c r="N336" s="47"/>
      <c r="O336" s="47"/>
      <c r="P336" s="49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3.2">
      <c r="A337" s="47"/>
      <c r="B337" s="5">
        <v>10</v>
      </c>
      <c r="C337" s="5">
        <f t="shared" si="69"/>
        <v>71</v>
      </c>
      <c r="D337" s="23">
        <v>43070</v>
      </c>
      <c r="E337" s="11">
        <v>361.1</v>
      </c>
      <c r="F337" s="12">
        <f t="shared" ref="F337:F339" si="79">(E336-E337)/(D337-D336)</f>
        <v>9.2999999999999545</v>
      </c>
      <c r="G337" s="47"/>
      <c r="H337" s="47"/>
      <c r="I337" s="18">
        <v>61.8</v>
      </c>
      <c r="J337" s="47">
        <f>(I335-I337)/(D337-D335)</f>
        <v>3.4500000000000028</v>
      </c>
      <c r="K337" s="18">
        <v>23</v>
      </c>
      <c r="L337" s="47"/>
      <c r="M337" s="47"/>
      <c r="N337" s="47"/>
      <c r="O337" s="47"/>
      <c r="P337" s="49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3.2">
      <c r="A338" s="47"/>
      <c r="B338" s="5">
        <v>10</v>
      </c>
      <c r="C338" s="5">
        <f t="shared" si="69"/>
        <v>74</v>
      </c>
      <c r="D338" s="23">
        <v>43073</v>
      </c>
      <c r="E338" s="11">
        <v>346.9</v>
      </c>
      <c r="F338" s="12">
        <f t="shared" si="79"/>
        <v>4.7333333333333485</v>
      </c>
      <c r="G338" s="47"/>
      <c r="H338" s="47"/>
      <c r="I338" s="18">
        <v>52.1</v>
      </c>
      <c r="J338" s="51">
        <f t="shared" ref="J338:J339" si="80">(I337-I338)/(D338-D337)</f>
        <v>3.2333333333333321</v>
      </c>
      <c r="K338" s="18">
        <v>22.8</v>
      </c>
      <c r="L338" s="47"/>
      <c r="M338" s="47"/>
      <c r="N338" s="47"/>
      <c r="O338" s="47"/>
      <c r="P338" s="49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3.2">
      <c r="A339" s="47"/>
      <c r="B339" s="5">
        <v>10</v>
      </c>
      <c r="C339" s="5">
        <f t="shared" si="69"/>
        <v>76</v>
      </c>
      <c r="D339" s="23">
        <v>43075</v>
      </c>
      <c r="E339" s="11">
        <v>333.1</v>
      </c>
      <c r="F339" s="12">
        <f t="shared" si="79"/>
        <v>6.8999999999999773</v>
      </c>
      <c r="G339" s="47"/>
      <c r="H339" s="47"/>
      <c r="I339" s="18">
        <v>46.5</v>
      </c>
      <c r="J339" s="51">
        <f t="shared" si="80"/>
        <v>2.8000000000000007</v>
      </c>
      <c r="K339" s="18">
        <v>22.6</v>
      </c>
      <c r="L339" s="47"/>
      <c r="M339" s="47"/>
      <c r="N339" s="47"/>
      <c r="O339" s="47"/>
      <c r="P339" s="49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3.2">
      <c r="A340" s="47"/>
      <c r="B340" s="5">
        <v>10</v>
      </c>
      <c r="C340" s="5">
        <f t="shared" si="69"/>
        <v>77</v>
      </c>
      <c r="D340" s="24">
        <v>43076</v>
      </c>
      <c r="E340" s="11">
        <v>372</v>
      </c>
      <c r="F340" s="12"/>
      <c r="G340" s="47"/>
      <c r="H340" s="47"/>
      <c r="I340" s="48"/>
      <c r="K340" s="48"/>
      <c r="L340" s="47"/>
      <c r="M340" s="47"/>
      <c r="N340" s="47"/>
      <c r="O340" s="47"/>
      <c r="P340" s="49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3.2">
      <c r="A341" s="47"/>
      <c r="B341" s="5">
        <v>11</v>
      </c>
      <c r="C341" s="5">
        <f t="shared" si="69"/>
        <v>78</v>
      </c>
      <c r="D341" s="24">
        <v>43077</v>
      </c>
      <c r="E341" s="11">
        <v>367</v>
      </c>
      <c r="F341" s="12">
        <f t="shared" ref="F341:F343" si="81">(E340-E341)/(D341-D340)</f>
        <v>5</v>
      </c>
      <c r="G341" s="47"/>
      <c r="H341" s="47"/>
      <c r="I341" s="18">
        <v>40</v>
      </c>
      <c r="J341" s="47">
        <f>(I339-I341)/(D341-D339)</f>
        <v>3.25</v>
      </c>
      <c r="K341" s="18">
        <v>22.6</v>
      </c>
      <c r="L341" s="47"/>
      <c r="M341" s="47"/>
      <c r="N341" s="47"/>
      <c r="O341" s="47"/>
      <c r="P341" s="49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3.2">
      <c r="A342" s="47"/>
      <c r="B342" s="5">
        <v>11</v>
      </c>
      <c r="C342" s="5">
        <f t="shared" si="69"/>
        <v>81</v>
      </c>
      <c r="D342" s="24">
        <v>43080</v>
      </c>
      <c r="E342" s="11">
        <v>354.4</v>
      </c>
      <c r="F342" s="12">
        <f t="shared" si="81"/>
        <v>4.2000000000000073</v>
      </c>
      <c r="G342" s="47"/>
      <c r="H342" s="47"/>
      <c r="I342" s="18">
        <v>31.2</v>
      </c>
      <c r="J342" s="51">
        <f>(I341-I342)/(D342-D341)</f>
        <v>2.9333333333333336</v>
      </c>
      <c r="K342" s="18">
        <v>22.3</v>
      </c>
      <c r="L342" s="47"/>
      <c r="M342" s="47"/>
      <c r="N342" s="47"/>
      <c r="O342" s="47"/>
      <c r="P342" s="49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3.2">
      <c r="A343" s="50" t="s">
        <v>46</v>
      </c>
      <c r="B343" s="5">
        <v>11</v>
      </c>
      <c r="C343" s="5">
        <f t="shared" si="69"/>
        <v>83</v>
      </c>
      <c r="D343" s="25">
        <v>43082</v>
      </c>
      <c r="E343" s="11">
        <v>340.8</v>
      </c>
      <c r="F343" s="12">
        <f t="shared" si="81"/>
        <v>6.7999999999999829</v>
      </c>
      <c r="G343" s="47"/>
      <c r="H343" s="47"/>
      <c r="I343" s="18">
        <v>77.099999999999994</v>
      </c>
      <c r="J343" s="47">
        <f>(85.3-I343)/(D343-D342)</f>
        <v>4.1000000000000014</v>
      </c>
      <c r="K343" s="18">
        <v>23</v>
      </c>
      <c r="L343" s="47"/>
      <c r="M343" s="47"/>
      <c r="N343" s="47"/>
      <c r="O343" s="47"/>
      <c r="P343" s="49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3.2">
      <c r="A344" s="57" t="s">
        <v>28</v>
      </c>
      <c r="B344" s="59">
        <v>11</v>
      </c>
      <c r="C344" s="59">
        <f t="shared" si="69"/>
        <v>85</v>
      </c>
      <c r="D344" s="60">
        <v>43084</v>
      </c>
      <c r="E344" s="61"/>
      <c r="F344" s="61"/>
      <c r="G344" s="62"/>
      <c r="H344" s="62"/>
      <c r="I344" s="63"/>
      <c r="J344" s="62"/>
      <c r="K344" s="64">
        <v>23</v>
      </c>
      <c r="L344" s="62"/>
      <c r="M344" s="62"/>
      <c r="N344" s="62"/>
      <c r="O344" s="62"/>
      <c r="P344" s="65"/>
      <c r="Q344" s="66"/>
      <c r="R344" s="66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3.2">
      <c r="A345" s="47"/>
      <c r="B345" s="50">
        <v>12</v>
      </c>
      <c r="C345" s="5">
        <f t="shared" si="69"/>
        <v>98</v>
      </c>
      <c r="D345" s="32">
        <v>43097</v>
      </c>
      <c r="E345" s="12"/>
      <c r="F345" s="12"/>
      <c r="G345" s="47"/>
      <c r="H345" s="47"/>
      <c r="I345" s="48"/>
      <c r="J345" s="47"/>
      <c r="K345" s="48"/>
      <c r="L345" s="47"/>
      <c r="M345" s="47"/>
      <c r="N345" s="47"/>
      <c r="O345" s="47"/>
      <c r="P345" s="49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3.2">
      <c r="A346" s="47"/>
      <c r="B346" s="50">
        <v>12</v>
      </c>
      <c r="C346" s="5">
        <f t="shared" si="69"/>
        <v>105</v>
      </c>
      <c r="D346" s="32">
        <v>43104</v>
      </c>
      <c r="E346" s="12"/>
      <c r="F346" s="12"/>
      <c r="G346" s="47"/>
      <c r="H346" s="47"/>
      <c r="I346" s="48"/>
      <c r="J346" s="47"/>
      <c r="K346" s="48"/>
      <c r="L346" s="47"/>
      <c r="M346" s="47"/>
      <c r="N346" s="47"/>
      <c r="O346" s="47"/>
      <c r="P346" s="49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3.2">
      <c r="A347" s="47"/>
      <c r="B347" s="50">
        <v>12</v>
      </c>
      <c r="C347" s="5">
        <f t="shared" si="69"/>
        <v>112</v>
      </c>
      <c r="D347" s="32">
        <v>43111</v>
      </c>
      <c r="E347" s="12"/>
      <c r="F347" s="12"/>
      <c r="G347" s="47"/>
      <c r="H347" s="47"/>
      <c r="I347" s="48"/>
      <c r="J347" s="47"/>
      <c r="K347" s="48"/>
      <c r="L347" s="47"/>
      <c r="M347" s="47"/>
      <c r="N347" s="47"/>
      <c r="O347" s="47"/>
      <c r="P347" s="49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3.2">
      <c r="A348" s="47"/>
      <c r="B348" s="50"/>
      <c r="C348" s="5"/>
      <c r="D348" s="67"/>
      <c r="E348" s="12"/>
      <c r="F348" s="12"/>
      <c r="G348" s="47"/>
      <c r="H348" s="47"/>
      <c r="I348" s="48"/>
      <c r="J348" s="47"/>
      <c r="K348" s="48"/>
      <c r="L348" s="47"/>
      <c r="M348" s="47"/>
      <c r="N348" s="47"/>
      <c r="O348" s="47"/>
      <c r="P348" s="49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3.2">
      <c r="A349" s="47"/>
      <c r="B349" s="50"/>
      <c r="C349" s="5"/>
      <c r="D349" s="67"/>
      <c r="E349" s="12"/>
      <c r="F349" s="12"/>
      <c r="G349" s="47"/>
      <c r="H349" s="47"/>
      <c r="I349" s="48"/>
      <c r="J349" s="47"/>
      <c r="K349" s="48"/>
      <c r="L349" s="47"/>
      <c r="M349" s="47"/>
      <c r="N349" s="47"/>
      <c r="O349" s="47"/>
      <c r="P349" s="49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3.2">
      <c r="A350" s="111" t="s">
        <v>59</v>
      </c>
      <c r="B350" s="112"/>
      <c r="C350" s="112"/>
      <c r="D350" s="113"/>
      <c r="E350" s="114"/>
      <c r="F350" s="114"/>
      <c r="G350" s="115"/>
      <c r="H350" s="115"/>
      <c r="I350" s="116"/>
      <c r="J350" s="115"/>
      <c r="K350" s="116"/>
      <c r="L350" s="115"/>
      <c r="M350" s="115"/>
      <c r="N350" s="115"/>
      <c r="O350" s="115"/>
      <c r="P350" s="11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3.2">
      <c r="A351" s="115"/>
      <c r="B351" s="112"/>
      <c r="C351" s="112"/>
      <c r="D351" s="113"/>
      <c r="E351" s="114"/>
      <c r="F351" s="114"/>
      <c r="G351" s="115"/>
      <c r="H351" s="115"/>
      <c r="I351" s="116"/>
      <c r="J351" s="115"/>
      <c r="K351" s="116"/>
      <c r="L351" s="115"/>
      <c r="M351" s="115"/>
      <c r="N351" s="115"/>
      <c r="O351" s="115"/>
      <c r="P351" s="11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3.2">
      <c r="A352" s="115"/>
      <c r="B352" s="112"/>
      <c r="C352" s="112"/>
      <c r="D352" s="113"/>
      <c r="E352" s="114"/>
      <c r="F352" s="114"/>
      <c r="G352" s="115"/>
      <c r="H352" s="115"/>
      <c r="I352" s="116"/>
      <c r="J352" s="115"/>
      <c r="K352" s="116"/>
      <c r="L352" s="115"/>
      <c r="M352" s="115"/>
      <c r="N352" s="115"/>
      <c r="O352" s="115"/>
      <c r="P352" s="11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3.2">
      <c r="A353" s="115"/>
      <c r="B353" s="112"/>
      <c r="C353" s="112"/>
      <c r="D353" s="113"/>
      <c r="E353" s="114"/>
      <c r="F353" s="114"/>
      <c r="G353" s="115"/>
      <c r="H353" s="115"/>
      <c r="I353" s="116"/>
      <c r="J353" s="115"/>
      <c r="K353" s="116"/>
      <c r="L353" s="115"/>
      <c r="M353" s="115"/>
      <c r="N353" s="115"/>
      <c r="O353" s="115"/>
      <c r="P353" s="11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3.2">
      <c r="A354" s="47"/>
      <c r="B354" s="55"/>
      <c r="C354" s="55"/>
      <c r="D354" s="67"/>
      <c r="E354" s="12"/>
      <c r="F354" s="12"/>
      <c r="G354" s="47"/>
      <c r="H354" s="47"/>
      <c r="I354" s="48"/>
      <c r="J354" s="47"/>
      <c r="K354" s="48"/>
      <c r="L354" s="47"/>
      <c r="M354" s="47"/>
      <c r="N354" s="47"/>
      <c r="O354" s="47"/>
      <c r="P354" s="49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26.4">
      <c r="A355" s="45" t="s">
        <v>74</v>
      </c>
      <c r="B355" s="5">
        <v>0</v>
      </c>
      <c r="C355" s="5">
        <v>0</v>
      </c>
      <c r="D355" s="9">
        <v>42992</v>
      </c>
      <c r="E355" s="10">
        <v>372.2</v>
      </c>
      <c r="F355" s="12" t="s">
        <v>21</v>
      </c>
      <c r="G355" s="46">
        <f>AVERAGE(F356:F371)</f>
        <v>6.3309523809523869</v>
      </c>
      <c r="H355" s="47"/>
      <c r="I355" s="13">
        <v>121.9</v>
      </c>
      <c r="J355" s="47"/>
      <c r="K355" s="13">
        <v>25.8</v>
      </c>
      <c r="L355" s="47"/>
      <c r="M355" s="47"/>
      <c r="N355" s="47"/>
      <c r="O355" s="47"/>
      <c r="P355" s="49">
        <f>SUM(O355:O365)-104.4</f>
        <v>325.90000000000009</v>
      </c>
      <c r="Q355" s="7"/>
      <c r="R355" s="7"/>
      <c r="S355" s="73">
        <f>I359-I369</f>
        <v>71.099999999999994</v>
      </c>
      <c r="T355" s="7">
        <f>SUM(S355:S360)*3.1</f>
        <v>819.64</v>
      </c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3.2">
      <c r="A356" s="50" t="s">
        <v>23</v>
      </c>
      <c r="B356" s="5">
        <v>0</v>
      </c>
      <c r="C356" s="5">
        <v>0</v>
      </c>
      <c r="D356" s="9">
        <v>42993</v>
      </c>
      <c r="E356" s="10">
        <v>366.4</v>
      </c>
      <c r="F356" s="12">
        <f>E355-E356</f>
        <v>5.8000000000000114</v>
      </c>
      <c r="G356" s="47"/>
      <c r="H356" s="47"/>
      <c r="I356" s="13">
        <v>118.1</v>
      </c>
      <c r="J356" s="51">
        <f t="shared" ref="J356:J365" si="82">(I355-I356)/(D356-D355)</f>
        <v>3.8000000000000114</v>
      </c>
      <c r="K356" s="13">
        <v>24.8</v>
      </c>
      <c r="L356" s="47"/>
      <c r="M356" s="47"/>
      <c r="N356" s="47"/>
      <c r="O356" s="46">
        <f>388-E365</f>
        <v>78.300000000000011</v>
      </c>
      <c r="P356" s="49"/>
      <c r="Q356" s="7"/>
      <c r="R356" s="7"/>
      <c r="S356" s="73">
        <f>44.2-I376</f>
        <v>30.1</v>
      </c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3.2">
      <c r="A357" s="47"/>
      <c r="B357" s="5">
        <v>0</v>
      </c>
      <c r="C357" s="5">
        <v>0</v>
      </c>
      <c r="D357" s="9">
        <v>42996</v>
      </c>
      <c r="E357" s="10">
        <v>350.3</v>
      </c>
      <c r="F357" s="12">
        <f t="shared" ref="F357:F359" si="83">(E356-E357)/(D357-D356)</f>
        <v>5.3666666666666556</v>
      </c>
      <c r="G357" s="47"/>
      <c r="H357" s="47"/>
      <c r="I357" s="13">
        <v>106.8</v>
      </c>
      <c r="J357" s="51">
        <f t="shared" si="82"/>
        <v>3.7666666666666657</v>
      </c>
      <c r="K357" s="13">
        <v>25.6</v>
      </c>
      <c r="L357" s="47"/>
      <c r="M357" s="47"/>
      <c r="N357" s="47"/>
      <c r="O357" s="46">
        <f>E366-E369</f>
        <v>35.399999999999977</v>
      </c>
      <c r="P357" s="49"/>
      <c r="Q357" s="7"/>
      <c r="R357" s="7"/>
      <c r="S357" s="73">
        <f>66.6-I380</f>
        <v>26.799999999999997</v>
      </c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3.2">
      <c r="A358" s="47"/>
      <c r="B358" s="5">
        <v>0</v>
      </c>
      <c r="C358" s="5">
        <v>0</v>
      </c>
      <c r="D358" s="9">
        <v>42998</v>
      </c>
      <c r="E358" s="10">
        <v>341.6</v>
      </c>
      <c r="F358" s="12">
        <f t="shared" si="83"/>
        <v>4.3499999999999943</v>
      </c>
      <c r="G358" s="47"/>
      <c r="H358" s="47"/>
      <c r="I358" s="13">
        <v>100.4</v>
      </c>
      <c r="J358" s="51">
        <f t="shared" si="82"/>
        <v>3.1999999999999957</v>
      </c>
      <c r="K358" s="13">
        <v>25.2</v>
      </c>
      <c r="L358" s="47"/>
      <c r="M358" s="47"/>
      <c r="N358" s="47"/>
      <c r="O358" s="46">
        <f>E370-E373</f>
        <v>37.900000000000034</v>
      </c>
      <c r="P358" s="49"/>
      <c r="Q358" s="7"/>
      <c r="R358" s="7"/>
      <c r="S358" s="73">
        <f>89.5-I388</f>
        <v>50.8</v>
      </c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3.2">
      <c r="A359" s="47"/>
      <c r="B359" s="5">
        <v>0.5</v>
      </c>
      <c r="C359" s="5">
        <v>0</v>
      </c>
      <c r="D359" s="9">
        <v>42999</v>
      </c>
      <c r="E359" s="10">
        <v>334.4</v>
      </c>
      <c r="F359" s="12">
        <f t="shared" si="83"/>
        <v>7.2000000000000455</v>
      </c>
      <c r="G359" s="47"/>
      <c r="H359" s="47"/>
      <c r="I359" s="13">
        <v>97</v>
      </c>
      <c r="J359" s="51">
        <f t="shared" si="82"/>
        <v>3.4000000000000057</v>
      </c>
      <c r="K359" s="13">
        <v>25.6</v>
      </c>
      <c r="L359" s="47"/>
      <c r="M359" s="47"/>
      <c r="N359" s="47"/>
      <c r="O359" s="46">
        <f>E374-E377</f>
        <v>38.700000000000045</v>
      </c>
      <c r="P359" s="49"/>
      <c r="Q359" s="7"/>
      <c r="R359" s="7"/>
      <c r="S359" s="73">
        <f>I389-I397</f>
        <v>46.300000000000004</v>
      </c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3.2">
      <c r="A360" s="47"/>
      <c r="B360" s="5">
        <v>0.5</v>
      </c>
      <c r="C360" s="5">
        <f t="shared" ref="C360:C361" si="84">D360-$D359</f>
        <v>1</v>
      </c>
      <c r="D360" s="9">
        <v>43000</v>
      </c>
      <c r="E360" s="10">
        <v>381</v>
      </c>
      <c r="F360" s="12">
        <f>(388-E360)/(D360-D359)</f>
        <v>7</v>
      </c>
      <c r="G360" s="47"/>
      <c r="H360" s="47"/>
      <c r="I360" s="13">
        <v>92.5</v>
      </c>
      <c r="J360" s="51">
        <f t="shared" si="82"/>
        <v>4.5</v>
      </c>
      <c r="K360" s="13">
        <v>25.3</v>
      </c>
      <c r="L360" s="47"/>
      <c r="M360" s="47"/>
      <c r="N360" s="47"/>
      <c r="O360" s="46">
        <f>E378-E381</f>
        <v>34.700000000000045</v>
      </c>
      <c r="P360" s="49"/>
      <c r="Q360" s="7"/>
      <c r="R360" s="7"/>
      <c r="S360" s="73">
        <f>I399-I405</f>
        <v>39.300000000000004</v>
      </c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3.2">
      <c r="A361" s="47"/>
      <c r="B361" s="5">
        <v>0.5</v>
      </c>
      <c r="C361" s="5">
        <f t="shared" si="84"/>
        <v>3</v>
      </c>
      <c r="D361" s="9">
        <v>43003</v>
      </c>
      <c r="E361" s="10">
        <v>363.3</v>
      </c>
      <c r="F361" s="12">
        <f t="shared" ref="F361:F365" si="85">(E360-E361)/(D361-D360)</f>
        <v>5.8999999999999959</v>
      </c>
      <c r="G361" s="47"/>
      <c r="H361" s="47"/>
      <c r="I361" s="13">
        <v>80.7</v>
      </c>
      <c r="J361" s="51">
        <f t="shared" si="82"/>
        <v>3.9333333333333322</v>
      </c>
      <c r="K361" s="13">
        <v>25.7</v>
      </c>
      <c r="L361" s="47"/>
      <c r="M361" s="47"/>
      <c r="N361" s="47"/>
      <c r="O361" s="46">
        <f>E382-E385</f>
        <v>36.100000000000023</v>
      </c>
      <c r="P361" s="49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3.2">
      <c r="A362" s="47"/>
      <c r="B362" s="5">
        <v>1</v>
      </c>
      <c r="C362" s="5">
        <f>D362-$D359</f>
        <v>6</v>
      </c>
      <c r="D362" s="9">
        <v>43005</v>
      </c>
      <c r="E362" s="10">
        <v>352.9</v>
      </c>
      <c r="F362" s="12">
        <f t="shared" si="85"/>
        <v>5.2000000000000171</v>
      </c>
      <c r="G362" s="47"/>
      <c r="H362" s="47"/>
      <c r="I362" s="13">
        <v>73.400000000000006</v>
      </c>
      <c r="J362" s="47">
        <f t="shared" si="82"/>
        <v>3.6499999999999986</v>
      </c>
      <c r="K362" s="18">
        <v>25.8</v>
      </c>
      <c r="L362" s="47"/>
      <c r="M362" s="47"/>
      <c r="N362" s="47"/>
      <c r="O362" s="46">
        <f>E386-E389</f>
        <v>32.100000000000023</v>
      </c>
      <c r="P362" s="49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3.2">
      <c r="A363" s="47"/>
      <c r="B363" s="5">
        <v>1</v>
      </c>
      <c r="C363" s="5">
        <f>D363-D359</f>
        <v>8</v>
      </c>
      <c r="D363" s="9">
        <v>43007</v>
      </c>
      <c r="E363" s="10">
        <v>341</v>
      </c>
      <c r="F363" s="12">
        <f t="shared" si="85"/>
        <v>5.9499999999999886</v>
      </c>
      <c r="G363" s="47"/>
      <c r="H363" s="47"/>
      <c r="I363" s="13">
        <v>66.900000000000006</v>
      </c>
      <c r="J363" s="47">
        <f t="shared" si="82"/>
        <v>3.25</v>
      </c>
      <c r="K363" s="13">
        <v>25.3</v>
      </c>
      <c r="L363" s="47"/>
      <c r="M363" s="47"/>
      <c r="N363" s="47"/>
      <c r="O363" s="46">
        <f>E390-E397</f>
        <v>70.399999999999977</v>
      </c>
      <c r="P363" s="49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3.2">
      <c r="A364" s="47"/>
      <c r="B364" s="5">
        <v>1</v>
      </c>
      <c r="C364" s="5">
        <f>D364-D359</f>
        <v>11</v>
      </c>
      <c r="D364" s="19">
        <v>43010</v>
      </c>
      <c r="E364" s="11">
        <v>324.3</v>
      </c>
      <c r="F364" s="12">
        <f t="shared" si="85"/>
        <v>5.5666666666666629</v>
      </c>
      <c r="G364" s="47"/>
      <c r="H364" s="47"/>
      <c r="I364" s="13">
        <v>56.5</v>
      </c>
      <c r="J364" s="16">
        <f t="shared" si="82"/>
        <v>3.4666666666666686</v>
      </c>
      <c r="K364" s="13">
        <v>26</v>
      </c>
      <c r="L364" s="47"/>
      <c r="M364" s="47"/>
      <c r="N364" s="47"/>
      <c r="O364" s="46">
        <f>E398-E401</f>
        <v>35.199999999999989</v>
      </c>
      <c r="P364" s="49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3.2">
      <c r="A365" s="47"/>
      <c r="B365" s="5">
        <v>1</v>
      </c>
      <c r="C365" s="5">
        <f>D365-D359</f>
        <v>13</v>
      </c>
      <c r="D365" s="19">
        <v>43012</v>
      </c>
      <c r="E365" s="11">
        <v>309.7</v>
      </c>
      <c r="F365" s="12">
        <f t="shared" si="85"/>
        <v>7.3000000000000114</v>
      </c>
      <c r="G365" s="47"/>
      <c r="H365" s="47"/>
      <c r="I365" s="13">
        <v>50.5</v>
      </c>
      <c r="J365" s="51">
        <f t="shared" si="82"/>
        <v>3</v>
      </c>
      <c r="K365" s="13">
        <v>25.9</v>
      </c>
      <c r="L365" s="47"/>
      <c r="M365" s="47"/>
      <c r="N365" s="47"/>
      <c r="O365" s="46">
        <f>E402-E405</f>
        <v>31.5</v>
      </c>
      <c r="P365" s="49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3.2">
      <c r="A366" s="47"/>
      <c r="B366" s="5">
        <v>2</v>
      </c>
      <c r="C366" s="5">
        <f>D366-D359</f>
        <v>14</v>
      </c>
      <c r="D366" s="19">
        <v>43013</v>
      </c>
      <c r="E366" s="11">
        <v>389.5</v>
      </c>
      <c r="F366" s="12"/>
      <c r="G366" s="47"/>
      <c r="H366" s="47"/>
      <c r="I366" s="13" t="s">
        <v>24</v>
      </c>
      <c r="J366" s="47"/>
      <c r="K366" s="13"/>
      <c r="L366" s="47"/>
      <c r="M366" s="47"/>
      <c r="N366" s="47"/>
      <c r="O366" s="47"/>
      <c r="P366" s="49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3.2">
      <c r="A367" s="47"/>
      <c r="B367" s="5">
        <v>2</v>
      </c>
      <c r="C367" s="5">
        <f>D367-$D359</f>
        <v>15</v>
      </c>
      <c r="D367" s="19">
        <v>43014</v>
      </c>
      <c r="E367" s="11">
        <v>380.8</v>
      </c>
      <c r="F367" s="12">
        <f t="shared" ref="F367:F369" si="86">(E366-E367)/(D367-D366)</f>
        <v>8.6999999999999886</v>
      </c>
      <c r="G367" s="47"/>
      <c r="H367" s="47"/>
      <c r="I367" s="13">
        <v>42.5</v>
      </c>
      <c r="J367" s="47">
        <f>(I365-I367)/(D367-D365)</f>
        <v>4</v>
      </c>
      <c r="K367" s="13">
        <v>26.7</v>
      </c>
      <c r="L367" s="47"/>
      <c r="M367" s="47"/>
      <c r="N367" s="47"/>
      <c r="O367" s="47"/>
      <c r="P367" s="49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3.2">
      <c r="A368" s="47"/>
      <c r="B368" s="5">
        <v>2</v>
      </c>
      <c r="C368" s="5">
        <f t="shared" ref="C368:C412" si="87">D368-$D$6</f>
        <v>18</v>
      </c>
      <c r="D368" s="19">
        <v>43017</v>
      </c>
      <c r="E368" s="11">
        <v>367.3</v>
      </c>
      <c r="F368" s="12">
        <f t="shared" si="86"/>
        <v>4.5</v>
      </c>
      <c r="G368" s="47"/>
      <c r="H368" s="47"/>
      <c r="I368" s="13">
        <v>32.700000000000003</v>
      </c>
      <c r="J368" s="47">
        <f>(49.8-I368)/(D368-D367)</f>
        <v>5.6999999999999984</v>
      </c>
      <c r="K368" s="13">
        <v>25.7</v>
      </c>
      <c r="L368" s="47"/>
      <c r="M368" s="47"/>
      <c r="N368" s="47"/>
      <c r="O368" s="47"/>
      <c r="P368" s="49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3.2">
      <c r="A369" s="47"/>
      <c r="B369" s="5">
        <v>2</v>
      </c>
      <c r="C369" s="5">
        <f t="shared" si="87"/>
        <v>20</v>
      </c>
      <c r="D369" s="19">
        <v>43019</v>
      </c>
      <c r="E369" s="11">
        <v>354.1</v>
      </c>
      <c r="F369" s="12">
        <f t="shared" si="86"/>
        <v>6.5999999999999943</v>
      </c>
      <c r="G369" s="47"/>
      <c r="H369" s="47"/>
      <c r="I369" s="13">
        <v>25.9</v>
      </c>
      <c r="J369" s="47">
        <f>(I368-I369)/(D369-D368)</f>
        <v>3.4000000000000021</v>
      </c>
      <c r="K369" s="13">
        <v>26.1</v>
      </c>
      <c r="L369" s="47"/>
      <c r="M369" s="47"/>
      <c r="N369" s="47"/>
      <c r="O369" s="47"/>
      <c r="P369" s="49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3.2">
      <c r="A370" s="47"/>
      <c r="B370" s="5">
        <v>3</v>
      </c>
      <c r="C370" s="5">
        <f t="shared" si="87"/>
        <v>21</v>
      </c>
      <c r="D370" s="19">
        <v>43020</v>
      </c>
      <c r="E370" s="11">
        <v>395.6</v>
      </c>
      <c r="F370" s="12"/>
      <c r="G370" s="47"/>
      <c r="H370" s="47"/>
      <c r="I370" s="13"/>
      <c r="J370" s="47"/>
      <c r="K370" s="15"/>
      <c r="L370" s="47"/>
      <c r="M370" s="47"/>
      <c r="N370" s="47"/>
      <c r="O370" s="47"/>
      <c r="P370" s="49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3.2">
      <c r="A371" s="47"/>
      <c r="B371" s="5">
        <v>3</v>
      </c>
      <c r="C371" s="5">
        <f t="shared" si="87"/>
        <v>22</v>
      </c>
      <c r="D371" s="19">
        <f>D369+2</f>
        <v>43021</v>
      </c>
      <c r="E371" s="11">
        <v>386.4</v>
      </c>
      <c r="F371" s="12">
        <f t="shared" ref="F371:F373" si="88">(E370-E371)/(D371-D370)</f>
        <v>9.2000000000000455</v>
      </c>
      <c r="G371" s="47"/>
      <c r="H371" s="47"/>
      <c r="I371" s="13">
        <v>36.1</v>
      </c>
      <c r="J371" s="47">
        <f>(44.2-I371)/(D371-D369)</f>
        <v>4.0500000000000007</v>
      </c>
      <c r="K371" s="13">
        <v>27</v>
      </c>
      <c r="L371" s="47"/>
      <c r="M371" s="47"/>
      <c r="N371" s="47"/>
      <c r="O371" s="47"/>
      <c r="P371" s="49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3.2">
      <c r="A372" s="47"/>
      <c r="B372" s="5">
        <v>3</v>
      </c>
      <c r="C372" s="5">
        <f t="shared" si="87"/>
        <v>25</v>
      </c>
      <c r="D372" s="19">
        <f>D371+3</f>
        <v>43024</v>
      </c>
      <c r="E372" s="11">
        <v>370.4</v>
      </c>
      <c r="F372" s="12">
        <f t="shared" si="88"/>
        <v>5.333333333333333</v>
      </c>
      <c r="G372" s="47"/>
      <c r="H372" s="47"/>
      <c r="I372" s="18">
        <v>38.9</v>
      </c>
      <c r="J372" s="51">
        <f>(49.6-I372)/(D372-D371)</f>
        <v>3.5666666666666678</v>
      </c>
      <c r="K372" s="18">
        <v>27.1</v>
      </c>
      <c r="L372" s="47"/>
      <c r="M372" s="47"/>
      <c r="N372" s="47"/>
      <c r="O372" s="47"/>
      <c r="P372" s="49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3.2">
      <c r="A373" s="47"/>
      <c r="B373" s="5">
        <v>3</v>
      </c>
      <c r="C373" s="5">
        <f t="shared" si="87"/>
        <v>27</v>
      </c>
      <c r="D373" s="19">
        <f>D372+2</f>
        <v>43026</v>
      </c>
      <c r="E373" s="11">
        <v>357.7</v>
      </c>
      <c r="F373" s="12">
        <f t="shared" si="88"/>
        <v>6.3499999999999943</v>
      </c>
      <c r="G373" s="47"/>
      <c r="H373" s="47"/>
      <c r="I373" s="18">
        <v>31.8</v>
      </c>
      <c r="J373" s="47">
        <f>(I372-I373)/(D373-D372)</f>
        <v>3.5499999999999989</v>
      </c>
      <c r="K373" s="18">
        <v>26.8</v>
      </c>
      <c r="L373" s="47"/>
      <c r="M373" s="47"/>
      <c r="N373" s="47"/>
      <c r="O373" s="47"/>
      <c r="P373" s="49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3.2">
      <c r="A374" s="47"/>
      <c r="B374" s="5">
        <v>4</v>
      </c>
      <c r="C374" s="5">
        <f t="shared" si="87"/>
        <v>28</v>
      </c>
      <c r="D374" s="20">
        <v>43027</v>
      </c>
      <c r="E374" s="11">
        <v>398.6</v>
      </c>
      <c r="F374" s="12"/>
      <c r="G374" s="47"/>
      <c r="H374" s="47"/>
      <c r="I374" s="48"/>
      <c r="J374" s="47"/>
      <c r="K374" s="48"/>
      <c r="L374" s="47"/>
      <c r="M374" s="47"/>
      <c r="N374" s="47"/>
      <c r="O374" s="47"/>
      <c r="P374" s="49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3.2">
      <c r="A375" s="47"/>
      <c r="B375" s="5">
        <v>4</v>
      </c>
      <c r="C375" s="5">
        <f t="shared" si="87"/>
        <v>29</v>
      </c>
      <c r="D375" s="19">
        <f>D373+2</f>
        <v>43028</v>
      </c>
      <c r="E375" s="11">
        <v>389.4</v>
      </c>
      <c r="F375" s="12">
        <f t="shared" ref="F375:F377" si="89">(E374-E375)/(D375-D374)</f>
        <v>9.2000000000000455</v>
      </c>
      <c r="G375" s="47"/>
      <c r="H375" s="47"/>
      <c r="I375" s="18">
        <v>24.8</v>
      </c>
      <c r="J375" s="48">
        <f>(I373-I375)/(D375-D373)</f>
        <v>3.5</v>
      </c>
      <c r="K375" s="18">
        <v>26.4</v>
      </c>
      <c r="L375" s="47"/>
      <c r="M375" s="47"/>
      <c r="N375" s="47"/>
      <c r="O375" s="47"/>
      <c r="P375" s="49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3.2">
      <c r="A376" s="47"/>
      <c r="B376" s="5">
        <v>4</v>
      </c>
      <c r="C376" s="5">
        <f t="shared" si="87"/>
        <v>32</v>
      </c>
      <c r="D376" s="19">
        <v>43031</v>
      </c>
      <c r="E376" s="11">
        <v>374.4</v>
      </c>
      <c r="F376" s="12">
        <f t="shared" si="89"/>
        <v>5</v>
      </c>
      <c r="G376" s="47"/>
      <c r="H376" s="47"/>
      <c r="I376" s="18">
        <v>14.1</v>
      </c>
      <c r="J376" s="48">
        <f>(I375-I376)/(D376-D375)</f>
        <v>3.5666666666666669</v>
      </c>
      <c r="K376" s="18">
        <v>26.9</v>
      </c>
      <c r="L376" s="47"/>
      <c r="M376" s="47"/>
      <c r="N376" s="47"/>
      <c r="O376" s="47"/>
      <c r="P376" s="49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3.2">
      <c r="A377" s="47"/>
      <c r="B377" s="5">
        <v>4</v>
      </c>
      <c r="C377" s="5">
        <f t="shared" si="87"/>
        <v>34</v>
      </c>
      <c r="D377" s="19">
        <v>43033</v>
      </c>
      <c r="E377" s="11">
        <v>359.9</v>
      </c>
      <c r="F377" s="12">
        <f t="shared" si="89"/>
        <v>7.25</v>
      </c>
      <c r="G377" s="47"/>
      <c r="H377" s="47"/>
      <c r="I377" s="18">
        <v>57.4</v>
      </c>
      <c r="J377" s="48">
        <f>(66.6-I377)/(D377-D376)</f>
        <v>4.5999999999999979</v>
      </c>
      <c r="K377" s="18">
        <v>27.4</v>
      </c>
      <c r="L377" s="47"/>
      <c r="M377" s="47"/>
      <c r="N377" s="47"/>
      <c r="O377" s="47"/>
      <c r="P377" s="49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3.2">
      <c r="A378" s="47"/>
      <c r="B378" s="5">
        <v>5</v>
      </c>
      <c r="C378" s="5">
        <f t="shared" si="87"/>
        <v>35</v>
      </c>
      <c r="D378" s="20">
        <v>43034</v>
      </c>
      <c r="E378" s="11">
        <v>378.1</v>
      </c>
      <c r="F378" s="12"/>
      <c r="G378" s="47"/>
      <c r="H378" s="47"/>
      <c r="I378" s="48"/>
      <c r="J378" s="48"/>
      <c r="K378" s="48"/>
      <c r="L378" s="47"/>
      <c r="M378" s="47"/>
      <c r="N378" s="47"/>
      <c r="O378" s="47"/>
      <c r="P378" s="49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3.2">
      <c r="A379" s="47"/>
      <c r="B379" s="5">
        <v>5</v>
      </c>
      <c r="C379" s="5">
        <f t="shared" si="87"/>
        <v>36</v>
      </c>
      <c r="D379" s="19">
        <v>43035</v>
      </c>
      <c r="E379" s="11">
        <v>371.2</v>
      </c>
      <c r="F379" s="12">
        <f t="shared" ref="F379:F381" si="90">(E378-E379)/(D379-D378)</f>
        <v>6.9000000000000341</v>
      </c>
      <c r="G379" s="47"/>
      <c r="H379" s="47"/>
      <c r="I379" s="18">
        <v>50.1</v>
      </c>
      <c r="J379" s="48">
        <f>(I377-I379)/(D379-D377)</f>
        <v>3.6499999999999986</v>
      </c>
      <c r="K379" s="18">
        <v>27.1</v>
      </c>
      <c r="L379" s="47"/>
      <c r="M379" s="47"/>
      <c r="N379" s="47"/>
      <c r="O379" s="47"/>
      <c r="P379" s="49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3.2">
      <c r="A380" s="47"/>
      <c r="B380" s="5">
        <v>5</v>
      </c>
      <c r="C380" s="5">
        <f t="shared" si="87"/>
        <v>39</v>
      </c>
      <c r="D380" s="19">
        <v>43038</v>
      </c>
      <c r="E380" s="11">
        <v>354</v>
      </c>
      <c r="F380" s="12">
        <f t="shared" si="90"/>
        <v>5.7333333333333298</v>
      </c>
      <c r="G380" s="47"/>
      <c r="H380" s="47"/>
      <c r="I380" s="18">
        <v>39.799999999999997</v>
      </c>
      <c r="J380" s="48">
        <f>(I379-I380)/(D380-D379)</f>
        <v>3.4333333333333349</v>
      </c>
      <c r="K380" s="18">
        <v>27.5</v>
      </c>
      <c r="L380" s="47"/>
      <c r="M380" s="47"/>
      <c r="N380" s="47"/>
      <c r="O380" s="47"/>
      <c r="P380" s="49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3.2">
      <c r="A381" s="47"/>
      <c r="B381" s="5">
        <v>5</v>
      </c>
      <c r="C381" s="5">
        <f t="shared" si="87"/>
        <v>41</v>
      </c>
      <c r="D381" s="19">
        <v>43040</v>
      </c>
      <c r="E381" s="11">
        <v>343.4</v>
      </c>
      <c r="F381" s="12">
        <f t="shared" si="90"/>
        <v>5.3000000000000114</v>
      </c>
      <c r="G381" s="47"/>
      <c r="H381" s="47"/>
      <c r="I381" s="18">
        <v>81.2</v>
      </c>
      <c r="J381" s="47">
        <f>(89.5-I381)/(D381-D380)</f>
        <v>4.1499999999999986</v>
      </c>
      <c r="K381" s="18">
        <v>27.3</v>
      </c>
      <c r="L381" s="47"/>
      <c r="M381" s="47"/>
      <c r="N381" s="47"/>
      <c r="O381" s="47"/>
      <c r="P381" s="49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3.2">
      <c r="A382" s="47"/>
      <c r="B382" s="5">
        <v>6</v>
      </c>
      <c r="C382" s="5">
        <f t="shared" si="87"/>
        <v>42</v>
      </c>
      <c r="D382" s="20">
        <v>43041</v>
      </c>
      <c r="E382" s="11">
        <v>402.1</v>
      </c>
      <c r="F382" s="12"/>
      <c r="G382" s="47"/>
      <c r="H382" s="47"/>
      <c r="I382" s="48"/>
      <c r="J382" s="47"/>
      <c r="K382" s="48"/>
      <c r="L382" s="47"/>
      <c r="M382" s="47"/>
      <c r="N382" s="47"/>
      <c r="O382" s="47"/>
      <c r="P382" s="49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3.2">
      <c r="A383" s="47"/>
      <c r="B383" s="5">
        <v>6</v>
      </c>
      <c r="C383" s="5">
        <f t="shared" si="87"/>
        <v>43</v>
      </c>
      <c r="D383" s="19">
        <v>43042</v>
      </c>
      <c r="E383" s="11">
        <v>395.3</v>
      </c>
      <c r="F383" s="12">
        <f t="shared" ref="F383:F385" si="91">(E382-E383)/(D383-D382)</f>
        <v>6.8000000000000114</v>
      </c>
      <c r="G383" s="47"/>
      <c r="H383" s="47"/>
      <c r="I383" s="18">
        <v>76.5</v>
      </c>
      <c r="J383" s="48">
        <f>(I381-I383)/(D383-D381)</f>
        <v>2.3500000000000014</v>
      </c>
      <c r="K383" s="18">
        <v>27.2</v>
      </c>
      <c r="L383" s="47"/>
      <c r="M383" s="47"/>
      <c r="N383" s="47"/>
      <c r="O383" s="47"/>
      <c r="P383" s="49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3.2">
      <c r="A384" s="47"/>
      <c r="B384" s="5">
        <v>6</v>
      </c>
      <c r="C384" s="5">
        <f t="shared" si="87"/>
        <v>46</v>
      </c>
      <c r="D384" s="19">
        <v>43045</v>
      </c>
      <c r="E384" s="11">
        <v>379.3</v>
      </c>
      <c r="F384" s="12">
        <f t="shared" si="91"/>
        <v>5.333333333333333</v>
      </c>
      <c r="G384" s="47"/>
      <c r="H384" s="47"/>
      <c r="I384" s="18">
        <v>65.3</v>
      </c>
      <c r="J384" s="48">
        <f t="shared" ref="J384:J385" si="92">(I383-I384)/(D384-D383)</f>
        <v>3.7333333333333343</v>
      </c>
      <c r="K384" s="18">
        <v>27.8</v>
      </c>
      <c r="L384" s="47"/>
      <c r="M384" s="47"/>
      <c r="N384" s="47"/>
      <c r="O384" s="47"/>
      <c r="P384" s="49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3.2">
      <c r="A385" s="47"/>
      <c r="B385" s="5">
        <v>6</v>
      </c>
      <c r="C385" s="5">
        <f t="shared" si="87"/>
        <v>48</v>
      </c>
      <c r="D385" s="19">
        <v>43047</v>
      </c>
      <c r="E385" s="11">
        <v>366</v>
      </c>
      <c r="F385" s="12">
        <f t="shared" si="91"/>
        <v>6.6500000000000057</v>
      </c>
      <c r="G385" s="47"/>
      <c r="H385" s="47"/>
      <c r="I385" s="18">
        <v>55.5</v>
      </c>
      <c r="J385" s="48">
        <f t="shared" si="92"/>
        <v>4.8999999999999986</v>
      </c>
      <c r="K385" s="18">
        <v>27.6</v>
      </c>
      <c r="L385" s="47"/>
      <c r="M385" s="47"/>
      <c r="N385" s="47"/>
      <c r="O385" s="47"/>
      <c r="P385" s="49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3.2">
      <c r="A386" s="47"/>
      <c r="B386" s="5">
        <v>7</v>
      </c>
      <c r="C386" s="5">
        <f t="shared" si="87"/>
        <v>49</v>
      </c>
      <c r="D386" s="20">
        <v>43048</v>
      </c>
      <c r="E386" s="11">
        <v>391.5</v>
      </c>
      <c r="F386" s="12"/>
      <c r="G386" s="47"/>
      <c r="H386" s="47"/>
      <c r="I386" s="48"/>
      <c r="J386" s="47"/>
      <c r="K386" s="48"/>
      <c r="L386" s="47"/>
      <c r="M386" s="47"/>
      <c r="N386" s="47"/>
      <c r="O386" s="47"/>
      <c r="P386" s="49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3.2">
      <c r="A387" s="47"/>
      <c r="B387" s="5">
        <v>7</v>
      </c>
      <c r="C387" s="5">
        <f t="shared" si="87"/>
        <v>50</v>
      </c>
      <c r="D387" s="19">
        <v>43049</v>
      </c>
      <c r="E387" s="11">
        <v>382.7</v>
      </c>
      <c r="F387" s="12">
        <f t="shared" ref="F387:F389" si="93">(E386-E387)/(D387-D386)</f>
        <v>8.8000000000000114</v>
      </c>
      <c r="G387" s="47"/>
      <c r="H387" s="47"/>
      <c r="I387" s="18">
        <v>48.8</v>
      </c>
      <c r="J387" s="48">
        <f>(I385-I387)/(D387-D385)</f>
        <v>3.3500000000000014</v>
      </c>
      <c r="K387" s="18">
        <v>27.4</v>
      </c>
      <c r="L387" s="47"/>
      <c r="M387" s="47"/>
      <c r="N387" s="47"/>
      <c r="O387" s="47"/>
      <c r="P387" s="49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3.2">
      <c r="A388" s="47"/>
      <c r="B388" s="5">
        <v>7</v>
      </c>
      <c r="C388" s="5">
        <f t="shared" si="87"/>
        <v>53</v>
      </c>
      <c r="D388" s="19">
        <v>43052</v>
      </c>
      <c r="E388" s="11">
        <v>369.8</v>
      </c>
      <c r="F388" s="12">
        <f t="shared" si="93"/>
        <v>4.2999999999999927</v>
      </c>
      <c r="G388" s="47"/>
      <c r="H388" s="47"/>
      <c r="I388" s="18">
        <v>38.700000000000003</v>
      </c>
      <c r="J388" s="48">
        <f>(I387-I388)/(D388-D387)</f>
        <v>3.3666666666666649</v>
      </c>
      <c r="K388" s="18">
        <v>27.7</v>
      </c>
      <c r="L388" s="47"/>
      <c r="M388" s="47"/>
      <c r="N388" s="47"/>
      <c r="O388" s="47"/>
      <c r="P388" s="49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3.2">
      <c r="A389" s="47"/>
      <c r="B389" s="5">
        <v>7</v>
      </c>
      <c r="C389" s="5">
        <f t="shared" si="87"/>
        <v>55</v>
      </c>
      <c r="D389" s="19">
        <v>43054</v>
      </c>
      <c r="E389" s="11">
        <v>359.4</v>
      </c>
      <c r="F389" s="12">
        <f t="shared" si="93"/>
        <v>5.2000000000000171</v>
      </c>
      <c r="G389" s="47"/>
      <c r="H389" s="47"/>
      <c r="I389" s="18">
        <v>81.2</v>
      </c>
      <c r="J389" s="47"/>
      <c r="K389" s="18">
        <v>27.7</v>
      </c>
      <c r="L389" s="47"/>
      <c r="M389" s="47"/>
      <c r="N389" s="47"/>
      <c r="O389" s="47"/>
      <c r="P389" s="49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3.2">
      <c r="A390" s="47"/>
      <c r="B390" s="5">
        <v>8</v>
      </c>
      <c r="C390" s="5">
        <f t="shared" si="87"/>
        <v>56</v>
      </c>
      <c r="D390" s="20">
        <v>43055</v>
      </c>
      <c r="E390" s="11">
        <v>402</v>
      </c>
      <c r="F390" s="12"/>
      <c r="G390" s="47"/>
      <c r="H390" s="47"/>
      <c r="I390" s="48"/>
      <c r="J390" s="47"/>
      <c r="K390" s="48"/>
      <c r="L390" s="47"/>
      <c r="M390" s="47"/>
      <c r="N390" s="47"/>
      <c r="O390" s="47"/>
      <c r="P390" s="49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3.2">
      <c r="A391" s="47"/>
      <c r="B391" s="5">
        <v>8</v>
      </c>
      <c r="C391" s="5">
        <f t="shared" si="87"/>
        <v>57</v>
      </c>
      <c r="D391" s="20">
        <v>43056</v>
      </c>
      <c r="E391" s="11">
        <v>392.2</v>
      </c>
      <c r="F391" s="12">
        <f t="shared" ref="F391:F392" si="94">(E390-E391)/(D391-D390)</f>
        <v>9.8000000000000114</v>
      </c>
      <c r="G391" s="47"/>
      <c r="H391" s="47"/>
      <c r="I391" s="18">
        <v>74.400000000000006</v>
      </c>
      <c r="J391" s="48">
        <f>(I389-I391)/(D391-D389)</f>
        <v>3.3999999999999986</v>
      </c>
      <c r="K391" s="18">
        <v>28</v>
      </c>
      <c r="L391" s="47"/>
      <c r="M391" s="47"/>
      <c r="N391" s="47"/>
      <c r="O391" s="47"/>
      <c r="P391" s="49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3.2">
      <c r="A392" s="47"/>
      <c r="B392" s="5">
        <v>8</v>
      </c>
      <c r="C392" s="5">
        <f t="shared" si="87"/>
        <v>60</v>
      </c>
      <c r="D392" s="20">
        <v>43059</v>
      </c>
      <c r="E392" s="11">
        <v>376.8</v>
      </c>
      <c r="F392" s="12">
        <f t="shared" si="94"/>
        <v>5.1333333333333258</v>
      </c>
      <c r="G392" s="47"/>
      <c r="H392" s="47"/>
      <c r="I392" s="18">
        <v>64.2</v>
      </c>
      <c r="J392" s="47">
        <f>(I391-I392)/(D392-D391)</f>
        <v>3.4000000000000008</v>
      </c>
      <c r="K392" s="18">
        <v>27.9</v>
      </c>
      <c r="L392" s="47"/>
      <c r="M392" s="47"/>
      <c r="N392" s="47"/>
      <c r="O392" s="47"/>
      <c r="P392" s="49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3.2">
      <c r="A393" s="47"/>
      <c r="B393" s="5">
        <v>8</v>
      </c>
      <c r="C393" s="5">
        <f t="shared" si="87"/>
        <v>61</v>
      </c>
      <c r="D393" s="20">
        <v>43060</v>
      </c>
      <c r="E393" s="11">
        <v>373.5</v>
      </c>
      <c r="F393" s="12"/>
      <c r="G393" s="47"/>
      <c r="H393" s="47"/>
      <c r="I393" s="48"/>
      <c r="J393" s="47"/>
      <c r="K393" s="48"/>
      <c r="L393" s="47"/>
      <c r="M393" s="47"/>
      <c r="N393" s="47"/>
      <c r="O393" s="47"/>
      <c r="P393" s="49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3.2">
      <c r="A394" s="47"/>
      <c r="B394" s="5">
        <v>8</v>
      </c>
      <c r="C394" s="5">
        <f t="shared" si="87"/>
        <v>62</v>
      </c>
      <c r="D394" s="20">
        <v>43061</v>
      </c>
      <c r="E394" s="11">
        <v>368.6</v>
      </c>
      <c r="F394" s="12">
        <f t="shared" ref="F394:F397" si="95">(E393-E394)/(D394-D393)</f>
        <v>4.8999999999999773</v>
      </c>
      <c r="G394" s="47"/>
      <c r="H394" s="47"/>
      <c r="I394" s="18">
        <v>57.6</v>
      </c>
      <c r="J394" s="48">
        <f>(I392-I394)/(D394-D392)</f>
        <v>3.3000000000000007</v>
      </c>
      <c r="K394" s="18">
        <v>28</v>
      </c>
      <c r="L394" s="47"/>
      <c r="M394" s="47"/>
      <c r="N394" s="47"/>
      <c r="O394" s="47"/>
      <c r="P394" s="49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3.2">
      <c r="A395" s="47"/>
      <c r="B395" s="5">
        <v>9</v>
      </c>
      <c r="C395" s="5">
        <f t="shared" si="87"/>
        <v>64</v>
      </c>
      <c r="D395" s="20">
        <v>43063</v>
      </c>
      <c r="E395" s="11">
        <v>357.4</v>
      </c>
      <c r="F395" s="12">
        <f t="shared" si="95"/>
        <v>5.6000000000000227</v>
      </c>
      <c r="G395" s="47"/>
      <c r="H395" s="47"/>
      <c r="I395" s="18">
        <v>50.8</v>
      </c>
      <c r="J395" s="47">
        <f t="shared" ref="J395:J397" si="96">(I394-I395)/(D395-D394)</f>
        <v>3.4000000000000021</v>
      </c>
      <c r="K395" s="18">
        <v>28.1</v>
      </c>
      <c r="L395" s="47"/>
      <c r="M395" s="47"/>
      <c r="N395" s="47"/>
      <c r="O395" s="47"/>
      <c r="P395" s="49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3.2">
      <c r="A396" s="47"/>
      <c r="B396" s="5">
        <v>9</v>
      </c>
      <c r="C396" s="5">
        <f t="shared" si="87"/>
        <v>67</v>
      </c>
      <c r="D396" s="23">
        <v>43066</v>
      </c>
      <c r="E396" s="11">
        <v>342.5</v>
      </c>
      <c r="F396" s="12">
        <f t="shared" si="95"/>
        <v>4.9666666666666588</v>
      </c>
      <c r="G396" s="47"/>
      <c r="H396" s="47"/>
      <c r="I396" s="18">
        <v>41.5</v>
      </c>
      <c r="J396" s="47">
        <f t="shared" si="96"/>
        <v>3.0999999999999992</v>
      </c>
      <c r="K396" s="18">
        <v>28.1</v>
      </c>
      <c r="L396" s="47"/>
      <c r="M396" s="47"/>
      <c r="N396" s="47"/>
      <c r="O396" s="47"/>
      <c r="P396" s="49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3.2">
      <c r="A397" s="47"/>
      <c r="B397" s="5">
        <v>9</v>
      </c>
      <c r="C397" s="5">
        <f t="shared" si="87"/>
        <v>69</v>
      </c>
      <c r="D397" s="23">
        <v>43068</v>
      </c>
      <c r="E397" s="11">
        <v>331.6</v>
      </c>
      <c r="F397" s="12">
        <f t="shared" si="95"/>
        <v>5.4499999999999886</v>
      </c>
      <c r="G397" s="47"/>
      <c r="H397" s="47"/>
      <c r="I397" s="18">
        <v>34.9</v>
      </c>
      <c r="J397" s="47">
        <f t="shared" si="96"/>
        <v>3.3000000000000007</v>
      </c>
      <c r="K397" s="18">
        <v>27.9</v>
      </c>
      <c r="L397" s="47"/>
      <c r="M397" s="47"/>
      <c r="N397" s="47"/>
      <c r="O397" s="47"/>
      <c r="P397" s="49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3.2">
      <c r="A398" s="47"/>
      <c r="B398" s="5">
        <v>9</v>
      </c>
      <c r="C398" s="5">
        <f t="shared" si="87"/>
        <v>70</v>
      </c>
      <c r="D398" s="23">
        <v>43069</v>
      </c>
      <c r="E398" s="11">
        <v>361.3</v>
      </c>
      <c r="F398" s="12"/>
      <c r="G398" s="47"/>
      <c r="H398" s="47"/>
      <c r="I398" s="48"/>
      <c r="J398" s="47"/>
      <c r="K398" s="48"/>
      <c r="L398" s="47"/>
      <c r="M398" s="47"/>
      <c r="N398" s="47"/>
      <c r="O398" s="47"/>
      <c r="P398" s="49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3.2">
      <c r="A399" s="47"/>
      <c r="B399" s="5">
        <v>10</v>
      </c>
      <c r="C399" s="5">
        <f t="shared" si="87"/>
        <v>71</v>
      </c>
      <c r="D399" s="23">
        <v>43070</v>
      </c>
      <c r="E399" s="11">
        <v>352.3</v>
      </c>
      <c r="F399" s="12">
        <f t="shared" ref="F399:F400" si="97">(E398-E399)/(D399-D398)</f>
        <v>9</v>
      </c>
      <c r="G399" s="47"/>
      <c r="H399" s="47"/>
      <c r="I399" s="18">
        <v>95.2</v>
      </c>
      <c r="J399" s="47">
        <f>(104.2-I399)/(D399-D397)</f>
        <v>4.5</v>
      </c>
      <c r="K399" s="18">
        <v>29</v>
      </c>
      <c r="L399" s="47"/>
      <c r="M399" s="47"/>
      <c r="N399" s="47"/>
      <c r="O399" s="47"/>
      <c r="P399" s="49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3.2">
      <c r="A400" s="47"/>
      <c r="B400" s="5">
        <v>10</v>
      </c>
      <c r="C400" s="5">
        <f t="shared" si="87"/>
        <v>74</v>
      </c>
      <c r="D400" s="23">
        <v>43073</v>
      </c>
      <c r="E400" s="11">
        <v>338.9</v>
      </c>
      <c r="F400" s="12">
        <f t="shared" si="97"/>
        <v>4.4666666666666783</v>
      </c>
      <c r="G400" s="47"/>
      <c r="H400" s="47"/>
      <c r="I400" s="18">
        <v>84.7</v>
      </c>
      <c r="J400" s="47">
        <f t="shared" ref="J400:J401" si="98">(I399-I400)/(D400-D399)</f>
        <v>3.5</v>
      </c>
      <c r="K400" s="18">
        <v>28.9</v>
      </c>
      <c r="L400" s="47"/>
      <c r="M400" s="47"/>
      <c r="N400" s="47"/>
      <c r="O400" s="47"/>
      <c r="P400" s="49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3.2">
      <c r="A401" s="47"/>
      <c r="B401" s="5">
        <v>10</v>
      </c>
      <c r="C401" s="5">
        <f t="shared" si="87"/>
        <v>76</v>
      </c>
      <c r="D401" s="23">
        <v>43075</v>
      </c>
      <c r="E401" s="11">
        <v>326.10000000000002</v>
      </c>
      <c r="F401" s="11">
        <v>4.7</v>
      </c>
      <c r="G401" s="47"/>
      <c r="H401" s="47"/>
      <c r="I401" s="18">
        <v>78.900000000000006</v>
      </c>
      <c r="J401" s="47">
        <f t="shared" si="98"/>
        <v>2.8999999999999986</v>
      </c>
      <c r="K401" s="18">
        <v>28.8</v>
      </c>
      <c r="L401" s="47"/>
      <c r="M401" s="47"/>
      <c r="N401" s="47"/>
      <c r="O401" s="47"/>
      <c r="P401" s="49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3.2">
      <c r="A402" s="47"/>
      <c r="B402" s="5">
        <v>10</v>
      </c>
      <c r="C402" s="5">
        <f t="shared" si="87"/>
        <v>77</v>
      </c>
      <c r="D402" s="24">
        <v>43076</v>
      </c>
      <c r="E402" s="11">
        <v>396.3</v>
      </c>
      <c r="F402" s="12"/>
      <c r="G402" s="47"/>
      <c r="H402" s="47"/>
      <c r="I402" s="48"/>
      <c r="J402" s="47"/>
      <c r="K402" s="48"/>
      <c r="L402" s="47"/>
      <c r="M402" s="47"/>
      <c r="N402" s="47"/>
      <c r="O402" s="47"/>
      <c r="P402" s="49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3.2">
      <c r="A403" s="47"/>
      <c r="B403" s="5">
        <v>11</v>
      </c>
      <c r="C403" s="5">
        <f t="shared" si="87"/>
        <v>78</v>
      </c>
      <c r="D403" s="24">
        <v>43077</v>
      </c>
      <c r="E403" s="11">
        <v>389.4</v>
      </c>
      <c r="F403" s="12">
        <f t="shared" ref="F403:F405" si="99">(E402-E403)/(D403-D402)</f>
        <v>6.9000000000000341</v>
      </c>
      <c r="G403" s="47"/>
      <c r="H403" s="47"/>
      <c r="I403" s="18">
        <v>72.2</v>
      </c>
      <c r="J403" s="47">
        <f>(104.2-I403)/(D403-D401)</f>
        <v>16</v>
      </c>
      <c r="K403" s="18">
        <v>28.8</v>
      </c>
      <c r="L403" s="47"/>
      <c r="M403" s="47"/>
      <c r="N403" s="47"/>
      <c r="O403" s="47"/>
      <c r="P403" s="49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3.2">
      <c r="A404" s="47"/>
      <c r="B404" s="5">
        <v>11</v>
      </c>
      <c r="C404" s="5">
        <f t="shared" si="87"/>
        <v>81</v>
      </c>
      <c r="D404" s="24">
        <v>43080</v>
      </c>
      <c r="E404" s="11">
        <v>376.9</v>
      </c>
      <c r="F404" s="12">
        <f t="shared" si="99"/>
        <v>4.166666666666667</v>
      </c>
      <c r="G404" s="47"/>
      <c r="H404" s="47"/>
      <c r="I404" s="18">
        <v>62.7</v>
      </c>
      <c r="J404" s="51">
        <f t="shared" ref="J404:J405" si="100">(I403-I404)/(D404-D403)</f>
        <v>3.1666666666666665</v>
      </c>
      <c r="K404" s="18">
        <v>28.2</v>
      </c>
      <c r="L404" s="47"/>
      <c r="M404" s="47"/>
      <c r="N404" s="47"/>
      <c r="O404" s="47"/>
      <c r="P404" s="49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3.2">
      <c r="A405" s="50" t="s">
        <v>46</v>
      </c>
      <c r="B405" s="5">
        <v>11</v>
      </c>
      <c r="C405" s="5">
        <f t="shared" si="87"/>
        <v>83</v>
      </c>
      <c r="D405" s="25">
        <v>43082</v>
      </c>
      <c r="E405" s="11">
        <v>364.8</v>
      </c>
      <c r="F405" s="12">
        <f t="shared" si="99"/>
        <v>6.0499999999999829</v>
      </c>
      <c r="G405" s="47"/>
      <c r="H405" s="47"/>
      <c r="I405" s="18">
        <v>55.9</v>
      </c>
      <c r="J405" s="47">
        <f t="shared" si="100"/>
        <v>3.4000000000000021</v>
      </c>
      <c r="K405" s="18">
        <v>28.1</v>
      </c>
      <c r="L405" s="47"/>
      <c r="M405" s="47"/>
      <c r="N405" s="47"/>
      <c r="O405" s="47"/>
      <c r="P405" s="49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3.2">
      <c r="A406" s="57" t="s">
        <v>28</v>
      </c>
      <c r="B406" s="59">
        <v>11</v>
      </c>
      <c r="C406" s="59">
        <f t="shared" si="87"/>
        <v>85</v>
      </c>
      <c r="D406" s="60">
        <v>43084</v>
      </c>
      <c r="E406" s="61"/>
      <c r="F406" s="61"/>
      <c r="G406" s="62"/>
      <c r="H406" s="62"/>
      <c r="I406" s="63"/>
      <c r="J406" s="62"/>
      <c r="K406" s="64">
        <v>27.9</v>
      </c>
      <c r="L406" s="62"/>
      <c r="M406" s="62"/>
      <c r="N406" s="62"/>
      <c r="O406" s="62"/>
      <c r="P406" s="65"/>
      <c r="Q406" s="66"/>
      <c r="R406" s="66"/>
      <c r="S406" s="66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3.2">
      <c r="A407" s="47"/>
      <c r="B407" s="50"/>
      <c r="C407" s="5">
        <f t="shared" si="87"/>
        <v>98</v>
      </c>
      <c r="D407" s="32">
        <v>43097</v>
      </c>
      <c r="E407" s="12"/>
      <c r="F407" s="12"/>
      <c r="G407" s="47"/>
      <c r="H407" s="47"/>
      <c r="I407" s="33">
        <v>138</v>
      </c>
      <c r="J407" s="47"/>
      <c r="K407" s="33">
        <v>29.3</v>
      </c>
      <c r="L407" s="47"/>
      <c r="M407" s="47"/>
      <c r="N407" s="47"/>
      <c r="O407" s="47"/>
      <c r="P407" s="49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3.2">
      <c r="A408" s="47"/>
      <c r="B408" s="50"/>
      <c r="C408" s="5">
        <f t="shared" si="87"/>
        <v>105</v>
      </c>
      <c r="D408" s="32">
        <v>43104</v>
      </c>
      <c r="E408" s="12"/>
      <c r="F408" s="12"/>
      <c r="G408" s="47"/>
      <c r="H408" s="47"/>
      <c r="I408" s="33">
        <v>112.4</v>
      </c>
      <c r="J408" s="47"/>
      <c r="K408" s="33">
        <v>29</v>
      </c>
      <c r="L408" s="47"/>
      <c r="M408" s="47"/>
      <c r="N408" s="47"/>
      <c r="O408" s="47"/>
      <c r="P408" s="49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3.2">
      <c r="A409" s="47"/>
      <c r="B409" s="50"/>
      <c r="C409" s="5">
        <f t="shared" si="87"/>
        <v>112</v>
      </c>
      <c r="D409" s="32">
        <v>43111</v>
      </c>
      <c r="E409" s="12"/>
      <c r="F409" s="12"/>
      <c r="G409" s="47"/>
      <c r="H409" s="47"/>
      <c r="I409" s="33">
        <v>88.8</v>
      </c>
      <c r="J409" s="47"/>
      <c r="K409" s="33">
        <v>28.9</v>
      </c>
      <c r="L409" s="47"/>
      <c r="M409" s="47"/>
      <c r="N409" s="47"/>
      <c r="O409" s="47"/>
      <c r="P409" s="49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3.2">
      <c r="A410" s="47"/>
      <c r="B410" s="50"/>
      <c r="C410" s="5">
        <f t="shared" si="87"/>
        <v>116</v>
      </c>
      <c r="D410" s="94">
        <v>43115</v>
      </c>
      <c r="E410" s="12"/>
      <c r="F410" s="12"/>
      <c r="G410" s="47"/>
      <c r="H410" s="47"/>
      <c r="I410" s="33"/>
      <c r="J410" s="47"/>
      <c r="K410" s="33"/>
      <c r="L410" s="47"/>
      <c r="M410" s="47"/>
      <c r="N410" s="47"/>
      <c r="O410" s="47"/>
      <c r="P410" s="49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3.2">
      <c r="A411" s="47"/>
      <c r="B411" s="50"/>
      <c r="C411" s="5">
        <f t="shared" si="87"/>
        <v>117</v>
      </c>
      <c r="D411" s="32">
        <v>43116</v>
      </c>
      <c r="E411" s="12"/>
      <c r="F411" s="12"/>
      <c r="G411" s="47"/>
      <c r="H411" s="47"/>
      <c r="I411" s="33">
        <v>73.099999999999994</v>
      </c>
      <c r="J411" s="47"/>
      <c r="K411" s="33">
        <v>28</v>
      </c>
      <c r="L411" s="47"/>
      <c r="M411" s="47"/>
      <c r="N411" s="47"/>
      <c r="O411" s="47"/>
      <c r="P411" s="49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3.2">
      <c r="A412" s="47"/>
      <c r="B412" s="55"/>
      <c r="C412" s="5">
        <f t="shared" si="87"/>
        <v>124</v>
      </c>
      <c r="D412" s="32">
        <v>43123</v>
      </c>
      <c r="E412" s="12"/>
      <c r="F412" s="12"/>
      <c r="G412" s="47"/>
      <c r="H412" s="47"/>
      <c r="I412" s="33">
        <v>48.5</v>
      </c>
      <c r="J412" s="47"/>
      <c r="K412" s="33">
        <v>28.7</v>
      </c>
      <c r="L412" s="47"/>
      <c r="M412" s="47"/>
      <c r="N412" s="47"/>
      <c r="O412" s="47"/>
      <c r="P412" s="49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3.2">
      <c r="A413" s="47"/>
      <c r="B413" s="55"/>
      <c r="C413" s="50">
        <v>131</v>
      </c>
      <c r="D413" s="35">
        <v>43130</v>
      </c>
      <c r="E413" s="12"/>
      <c r="F413" s="12"/>
      <c r="G413" s="47"/>
      <c r="H413" s="47"/>
      <c r="I413" s="36">
        <v>24.4</v>
      </c>
      <c r="J413" s="47"/>
      <c r="K413" s="36">
        <v>29.8</v>
      </c>
      <c r="L413" s="47"/>
      <c r="M413" s="47"/>
      <c r="N413" s="47"/>
      <c r="O413" s="47"/>
      <c r="P413" s="49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3.2">
      <c r="A414" s="47"/>
      <c r="B414" s="55"/>
      <c r="C414" s="50">
        <v>138</v>
      </c>
      <c r="D414" s="24">
        <v>43137</v>
      </c>
      <c r="E414" s="12"/>
      <c r="F414" s="12"/>
      <c r="G414" s="47"/>
      <c r="H414" s="47"/>
      <c r="I414" s="33">
        <v>59.2</v>
      </c>
      <c r="J414" s="37"/>
      <c r="K414" s="33">
        <v>30</v>
      </c>
      <c r="L414" s="47"/>
      <c r="M414" s="47"/>
      <c r="N414" s="47"/>
      <c r="O414" s="47"/>
      <c r="P414" s="49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3.2">
      <c r="A415" s="47"/>
      <c r="B415" s="55"/>
      <c r="C415" s="5">
        <v>145</v>
      </c>
      <c r="D415" s="20">
        <v>43144</v>
      </c>
      <c r="E415" s="12"/>
      <c r="F415" s="12"/>
      <c r="G415" s="47"/>
      <c r="H415" s="47"/>
      <c r="I415" s="18">
        <v>34.799999999999997</v>
      </c>
      <c r="J415" s="47"/>
      <c r="K415" s="18">
        <v>30.1</v>
      </c>
      <c r="L415" s="47"/>
      <c r="M415" s="47"/>
      <c r="N415" s="47"/>
      <c r="O415" s="47"/>
      <c r="P415" s="49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3.2">
      <c r="A416" s="47"/>
      <c r="B416" s="55"/>
      <c r="C416" s="50">
        <v>152</v>
      </c>
      <c r="D416" s="24">
        <v>43151</v>
      </c>
      <c r="E416" s="12"/>
      <c r="F416" s="12"/>
      <c r="G416" s="47"/>
      <c r="H416" s="47"/>
      <c r="I416" s="18">
        <v>89.6</v>
      </c>
      <c r="J416" s="47"/>
      <c r="K416" s="18">
        <v>29.2</v>
      </c>
      <c r="L416" s="47"/>
      <c r="M416" s="47"/>
      <c r="N416" s="47"/>
      <c r="O416" s="47"/>
      <c r="P416" s="49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3.2">
      <c r="A417" s="47"/>
      <c r="B417" s="55"/>
      <c r="C417" s="50">
        <v>159</v>
      </c>
      <c r="D417" s="24">
        <v>43158</v>
      </c>
      <c r="E417" s="12"/>
      <c r="F417" s="12"/>
      <c r="G417" s="47"/>
      <c r="H417" s="47"/>
      <c r="I417" s="18">
        <v>67.400000000000006</v>
      </c>
      <c r="J417" s="47"/>
      <c r="K417" s="18">
        <v>28.8</v>
      </c>
      <c r="L417" s="47"/>
      <c r="M417" s="47"/>
      <c r="N417" s="47"/>
      <c r="O417" s="47"/>
      <c r="P417" s="49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3.2">
      <c r="A418" s="47"/>
      <c r="B418" s="55"/>
      <c r="C418" s="50">
        <v>166</v>
      </c>
      <c r="D418" s="24">
        <v>43165</v>
      </c>
      <c r="E418" s="12"/>
      <c r="F418" s="12"/>
      <c r="G418" s="47"/>
      <c r="H418" s="47"/>
      <c r="I418" s="18">
        <v>43.1</v>
      </c>
      <c r="J418" s="47"/>
      <c r="K418" s="18">
        <v>29.2</v>
      </c>
      <c r="L418" s="47"/>
      <c r="M418" s="47"/>
      <c r="N418" s="47"/>
      <c r="O418" s="47"/>
      <c r="P418" s="49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3.2">
      <c r="A419" s="47"/>
      <c r="B419" s="55"/>
      <c r="C419" s="50">
        <v>173</v>
      </c>
      <c r="D419" s="24">
        <v>43172</v>
      </c>
      <c r="E419" s="12"/>
      <c r="F419" s="12"/>
      <c r="G419" s="47"/>
      <c r="H419" s="47"/>
      <c r="I419" s="18">
        <v>20.399999999999999</v>
      </c>
      <c r="J419" s="47"/>
      <c r="K419" s="18">
        <v>29.5</v>
      </c>
      <c r="L419" s="47"/>
      <c r="M419" s="47"/>
      <c r="N419" s="47"/>
      <c r="O419" s="47"/>
      <c r="P419" s="49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3.2">
      <c r="A420" s="47"/>
      <c r="B420" s="55"/>
      <c r="C420" s="55"/>
      <c r="D420" s="67"/>
      <c r="E420" s="12"/>
      <c r="F420" s="12"/>
      <c r="G420" s="47"/>
      <c r="H420" s="47"/>
      <c r="I420" s="48"/>
      <c r="J420" s="47"/>
      <c r="K420" s="48"/>
      <c r="L420" s="47"/>
      <c r="M420" s="47"/>
      <c r="N420" s="47"/>
      <c r="O420" s="47"/>
      <c r="P420" s="49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3.2">
      <c r="A421" s="47"/>
      <c r="B421" s="55"/>
      <c r="C421" s="55"/>
      <c r="D421" s="67"/>
      <c r="E421" s="12"/>
      <c r="F421" s="12"/>
      <c r="G421" s="47"/>
      <c r="H421" s="47"/>
      <c r="I421" s="48"/>
      <c r="J421" s="47"/>
      <c r="K421" s="48"/>
      <c r="L421" s="47"/>
      <c r="M421" s="47"/>
      <c r="N421" s="47"/>
      <c r="O421" s="47"/>
      <c r="P421" s="49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3.2">
      <c r="A422" s="47"/>
      <c r="B422" s="55"/>
      <c r="C422" s="55"/>
      <c r="D422" s="67"/>
      <c r="E422" s="12"/>
      <c r="F422" s="12"/>
      <c r="G422" s="47"/>
      <c r="H422" s="47"/>
      <c r="I422" s="48"/>
      <c r="J422" s="47"/>
      <c r="K422" s="48"/>
      <c r="L422" s="47"/>
      <c r="M422" s="47"/>
      <c r="N422" s="47"/>
      <c r="O422" s="47"/>
      <c r="P422" s="49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3.2">
      <c r="A423" s="47"/>
      <c r="B423" s="55"/>
      <c r="C423" s="55"/>
      <c r="D423" s="67"/>
      <c r="E423" s="12"/>
      <c r="F423" s="12"/>
      <c r="G423" s="47"/>
      <c r="H423" s="47"/>
      <c r="I423" s="48"/>
      <c r="J423" s="47"/>
      <c r="K423" s="48"/>
      <c r="L423" s="47"/>
      <c r="M423" s="47"/>
      <c r="N423" s="47"/>
      <c r="O423" s="47"/>
      <c r="P423" s="49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3.2">
      <c r="A424" s="47"/>
      <c r="B424" s="55"/>
      <c r="C424" s="55"/>
      <c r="D424" s="67"/>
      <c r="E424" s="12"/>
      <c r="F424" s="12"/>
      <c r="G424" s="47"/>
      <c r="H424" s="47"/>
      <c r="I424" s="48"/>
      <c r="J424" s="47"/>
      <c r="K424" s="48"/>
      <c r="L424" s="47"/>
      <c r="M424" s="47"/>
      <c r="N424" s="47"/>
      <c r="O424" s="47"/>
      <c r="P424" s="49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3.2">
      <c r="A425" s="47"/>
      <c r="B425" s="55"/>
      <c r="C425" s="55"/>
      <c r="D425" s="67"/>
      <c r="E425" s="12"/>
      <c r="F425" s="12"/>
      <c r="G425" s="47"/>
      <c r="H425" s="47"/>
      <c r="I425" s="48"/>
      <c r="J425" s="47"/>
      <c r="K425" s="48"/>
      <c r="L425" s="47"/>
      <c r="M425" s="47"/>
      <c r="N425" s="47"/>
      <c r="O425" s="47"/>
      <c r="P425" s="49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3.2">
      <c r="A426" s="47"/>
      <c r="B426" s="55"/>
      <c r="C426" s="55"/>
      <c r="D426" s="67"/>
      <c r="E426" s="12"/>
      <c r="F426" s="12"/>
      <c r="G426" s="47"/>
      <c r="H426" s="47"/>
      <c r="I426" s="48"/>
      <c r="J426" s="47"/>
      <c r="K426" s="48"/>
      <c r="L426" s="47"/>
      <c r="M426" s="47"/>
      <c r="N426" s="47"/>
      <c r="O426" s="47"/>
      <c r="P426" s="49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3.2">
      <c r="A427" s="47"/>
      <c r="B427" s="55"/>
      <c r="C427" s="55"/>
      <c r="D427" s="67"/>
      <c r="E427" s="12"/>
      <c r="F427" s="12"/>
      <c r="G427" s="47"/>
      <c r="H427" s="47"/>
      <c r="I427" s="48"/>
      <c r="J427" s="47"/>
      <c r="K427" s="48"/>
      <c r="L427" s="47"/>
      <c r="M427" s="47"/>
      <c r="N427" s="47"/>
      <c r="O427" s="47"/>
      <c r="P427" s="49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3.2">
      <c r="A428" s="47"/>
      <c r="B428" s="55"/>
      <c r="C428" s="55"/>
      <c r="D428" s="67"/>
      <c r="E428" s="12"/>
      <c r="F428" s="12"/>
      <c r="G428" s="47"/>
      <c r="H428" s="47"/>
      <c r="I428" s="48"/>
      <c r="J428" s="47"/>
      <c r="K428" s="48"/>
      <c r="L428" s="47"/>
      <c r="M428" s="47"/>
      <c r="N428" s="47"/>
      <c r="O428" s="47"/>
      <c r="P428" s="49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3.2">
      <c r="A429" s="47"/>
      <c r="B429" s="55"/>
      <c r="C429" s="55"/>
      <c r="D429" s="67"/>
      <c r="E429" s="12"/>
      <c r="F429" s="12"/>
      <c r="G429" s="47"/>
      <c r="H429" s="47"/>
      <c r="I429" s="48"/>
      <c r="J429" s="47"/>
      <c r="K429" s="48"/>
      <c r="L429" s="47"/>
      <c r="M429" s="47"/>
      <c r="N429" s="47"/>
      <c r="O429" s="47"/>
      <c r="P429" s="49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3.2">
      <c r="A430" s="47"/>
      <c r="B430" s="55"/>
      <c r="C430" s="55"/>
      <c r="D430" s="67"/>
      <c r="E430" s="12"/>
      <c r="F430" s="12"/>
      <c r="G430" s="47"/>
      <c r="H430" s="47"/>
      <c r="I430" s="48"/>
      <c r="J430" s="47"/>
      <c r="K430" s="48"/>
      <c r="L430" s="47"/>
      <c r="M430" s="47"/>
      <c r="N430" s="47"/>
      <c r="O430" s="47"/>
      <c r="P430" s="49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3.2">
      <c r="A431" s="47"/>
      <c r="B431" s="55"/>
      <c r="C431" s="55"/>
      <c r="D431" s="67"/>
      <c r="E431" s="12"/>
      <c r="F431" s="12"/>
      <c r="G431" s="47"/>
      <c r="H431" s="47"/>
      <c r="I431" s="48"/>
      <c r="J431" s="47"/>
      <c r="K431" s="48"/>
      <c r="L431" s="47"/>
      <c r="M431" s="47"/>
      <c r="N431" s="47"/>
      <c r="O431" s="47"/>
      <c r="P431" s="49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3.2">
      <c r="A432" s="47"/>
      <c r="B432" s="55"/>
      <c r="C432" s="55"/>
      <c r="D432" s="67"/>
      <c r="E432" s="12"/>
      <c r="F432" s="12"/>
      <c r="G432" s="47"/>
      <c r="H432" s="47"/>
      <c r="I432" s="48"/>
      <c r="J432" s="47"/>
      <c r="K432" s="48"/>
      <c r="L432" s="47"/>
      <c r="M432" s="47"/>
      <c r="N432" s="47"/>
      <c r="O432" s="47"/>
      <c r="P432" s="49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3.2">
      <c r="A433" s="47"/>
      <c r="B433" s="55"/>
      <c r="C433" s="55"/>
      <c r="D433" s="67"/>
      <c r="E433" s="12"/>
      <c r="F433" s="12"/>
      <c r="G433" s="47"/>
      <c r="H433" s="47"/>
      <c r="I433" s="48"/>
      <c r="J433" s="47"/>
      <c r="K433" s="48"/>
      <c r="L433" s="47"/>
      <c r="M433" s="47"/>
      <c r="N433" s="47"/>
      <c r="O433" s="47"/>
      <c r="P433" s="49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3.2">
      <c r="A434" s="47"/>
      <c r="B434" s="55"/>
      <c r="C434" s="55"/>
      <c r="D434" s="67"/>
      <c r="E434" s="12"/>
      <c r="F434" s="12"/>
      <c r="G434" s="47"/>
      <c r="H434" s="47"/>
      <c r="I434" s="48"/>
      <c r="J434" s="47"/>
      <c r="K434" s="48"/>
      <c r="L434" s="47"/>
      <c r="M434" s="47"/>
      <c r="N434" s="47"/>
      <c r="O434" s="47"/>
      <c r="P434" s="49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3.2">
      <c r="A435" s="47"/>
      <c r="B435" s="55"/>
      <c r="C435" s="55"/>
      <c r="D435" s="67"/>
      <c r="E435" s="12"/>
      <c r="F435" s="12"/>
      <c r="G435" s="47"/>
      <c r="H435" s="47"/>
      <c r="I435" s="48"/>
      <c r="J435" s="47"/>
      <c r="K435" s="48"/>
      <c r="L435" s="47"/>
      <c r="M435" s="47"/>
      <c r="N435" s="47"/>
      <c r="O435" s="47"/>
      <c r="P435" s="49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3.2">
      <c r="A436" s="47"/>
      <c r="B436" s="55"/>
      <c r="C436" s="55"/>
      <c r="D436" s="67"/>
      <c r="E436" s="12"/>
      <c r="F436" s="12"/>
      <c r="G436" s="47"/>
      <c r="H436" s="47"/>
      <c r="I436" s="48"/>
      <c r="J436" s="47"/>
      <c r="K436" s="48"/>
      <c r="L436" s="47"/>
      <c r="M436" s="47"/>
      <c r="N436" s="47"/>
      <c r="O436" s="47"/>
      <c r="P436" s="49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3.2">
      <c r="A437" s="47"/>
      <c r="B437" s="55"/>
      <c r="C437" s="55"/>
      <c r="D437" s="67"/>
      <c r="E437" s="12"/>
      <c r="F437" s="12"/>
      <c r="G437" s="47"/>
      <c r="H437" s="47"/>
      <c r="I437" s="48"/>
      <c r="J437" s="47"/>
      <c r="K437" s="48"/>
      <c r="L437" s="47"/>
      <c r="M437" s="47"/>
      <c r="N437" s="47"/>
      <c r="O437" s="47"/>
      <c r="P437" s="49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3.2">
      <c r="A438" s="47"/>
      <c r="B438" s="55"/>
      <c r="C438" s="55"/>
      <c r="D438" s="67"/>
      <c r="E438" s="12"/>
      <c r="F438" s="12"/>
      <c r="G438" s="47"/>
      <c r="H438" s="47"/>
      <c r="I438" s="48"/>
      <c r="J438" s="47"/>
      <c r="K438" s="48"/>
      <c r="L438" s="47"/>
      <c r="M438" s="47"/>
      <c r="N438" s="47"/>
      <c r="O438" s="47"/>
      <c r="P438" s="49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3.2">
      <c r="A439" s="47"/>
      <c r="B439" s="55"/>
      <c r="C439" s="55"/>
      <c r="D439" s="67"/>
      <c r="E439" s="12"/>
      <c r="F439" s="12"/>
      <c r="G439" s="47"/>
      <c r="H439" s="47"/>
      <c r="I439" s="48"/>
      <c r="J439" s="47"/>
      <c r="K439" s="48"/>
      <c r="L439" s="47"/>
      <c r="M439" s="47"/>
      <c r="N439" s="47"/>
      <c r="O439" s="47"/>
      <c r="P439" s="49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3.2">
      <c r="A440" s="47"/>
      <c r="B440" s="55"/>
      <c r="C440" s="55"/>
      <c r="D440" s="67"/>
      <c r="E440" s="12"/>
      <c r="F440" s="12"/>
      <c r="G440" s="47"/>
      <c r="H440" s="47"/>
      <c r="I440" s="48"/>
      <c r="J440" s="47"/>
      <c r="K440" s="48"/>
      <c r="L440" s="47"/>
      <c r="M440" s="47"/>
      <c r="N440" s="47"/>
      <c r="O440" s="47"/>
      <c r="P440" s="49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3.2">
      <c r="A441" s="47"/>
      <c r="B441" s="55"/>
      <c r="C441" s="55"/>
      <c r="D441" s="67"/>
      <c r="E441" s="12"/>
      <c r="F441" s="12"/>
      <c r="G441" s="47"/>
      <c r="H441" s="47"/>
      <c r="I441" s="48"/>
      <c r="J441" s="47"/>
      <c r="K441" s="48"/>
      <c r="L441" s="47"/>
      <c r="M441" s="47"/>
      <c r="N441" s="47"/>
      <c r="O441" s="47"/>
      <c r="P441" s="49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26.4">
      <c r="A442" s="45" t="s">
        <v>78</v>
      </c>
      <c r="B442" s="5">
        <v>0</v>
      </c>
      <c r="C442" s="5">
        <v>0</v>
      </c>
      <c r="D442" s="9">
        <v>42992</v>
      </c>
      <c r="E442" s="10">
        <v>368</v>
      </c>
      <c r="F442" s="12" t="s">
        <v>21</v>
      </c>
      <c r="G442" s="46">
        <f>AVERAGE(F443:F458)</f>
        <v>5.8619047619047624</v>
      </c>
      <c r="H442" s="47"/>
      <c r="I442" s="13">
        <v>85.8</v>
      </c>
      <c r="J442" s="47"/>
      <c r="K442" s="13">
        <v>17.3</v>
      </c>
      <c r="L442" s="47"/>
      <c r="M442" s="47"/>
      <c r="N442" s="47"/>
      <c r="O442" s="47"/>
      <c r="P442" s="49">
        <f>SUM(O442:O452)-104.4</f>
        <v>315.79999999999995</v>
      </c>
      <c r="Q442" s="7"/>
      <c r="R442" s="7"/>
      <c r="S442" s="73">
        <f>I446-I452</f>
        <v>42.7</v>
      </c>
      <c r="T442" s="7">
        <f>SUM(S442:S445)*3.1</f>
        <v>607.29000000000008</v>
      </c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3.2">
      <c r="A443" s="50" t="s">
        <v>30</v>
      </c>
      <c r="B443" s="5">
        <v>0</v>
      </c>
      <c r="C443" s="5">
        <v>0</v>
      </c>
      <c r="D443" s="9">
        <v>42993</v>
      </c>
      <c r="E443" s="10">
        <v>362.1</v>
      </c>
      <c r="F443" s="12">
        <f>E442-E443</f>
        <v>5.8999999999999773</v>
      </c>
      <c r="G443" s="47"/>
      <c r="H443" s="47"/>
      <c r="I443" s="13">
        <v>82.2</v>
      </c>
      <c r="J443" s="47">
        <f t="shared" ref="J443:J452" si="101">(I442-I443)/(D443-D442)</f>
        <v>3.5999999999999943</v>
      </c>
      <c r="K443" s="13">
        <v>17.2</v>
      </c>
      <c r="L443" s="47"/>
      <c r="M443" s="47"/>
      <c r="N443" s="47"/>
      <c r="O443" s="46">
        <f>379.1-E452</f>
        <v>75.5</v>
      </c>
      <c r="P443" s="49"/>
      <c r="Q443" s="7"/>
      <c r="R443" s="7"/>
      <c r="S443" s="73">
        <f>72.1-I462</f>
        <v>53.8</v>
      </c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3.2">
      <c r="A444" s="47"/>
      <c r="B444" s="5">
        <v>0</v>
      </c>
      <c r="C444" s="5">
        <v>0</v>
      </c>
      <c r="D444" s="9">
        <v>42996</v>
      </c>
      <c r="E444" s="10">
        <v>349.1</v>
      </c>
      <c r="F444" s="12">
        <f t="shared" ref="F444:F446" si="102">(E443-E444)/(D444-D443)</f>
        <v>4.333333333333333</v>
      </c>
      <c r="G444" s="47"/>
      <c r="H444" s="47"/>
      <c r="I444" s="13">
        <v>71.8</v>
      </c>
      <c r="J444" s="51">
        <f t="shared" si="101"/>
        <v>3.4666666666666686</v>
      </c>
      <c r="K444" s="13">
        <v>18</v>
      </c>
      <c r="L444" s="47"/>
      <c r="M444" s="47"/>
      <c r="N444" s="47"/>
      <c r="O444" s="46">
        <f>E453-E456</f>
        <v>34.400000000000034</v>
      </c>
      <c r="P444" s="49"/>
      <c r="Q444" s="7"/>
      <c r="R444" s="7"/>
      <c r="S444" s="73">
        <f>92.7-I471</f>
        <v>53.5</v>
      </c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3.2">
      <c r="A445" s="47"/>
      <c r="B445" s="5">
        <v>0</v>
      </c>
      <c r="C445" s="5">
        <v>0</v>
      </c>
      <c r="D445" s="9">
        <v>42998</v>
      </c>
      <c r="E445" s="10">
        <v>339.8</v>
      </c>
      <c r="F445" s="12">
        <f t="shared" si="102"/>
        <v>4.6500000000000057</v>
      </c>
      <c r="G445" s="47"/>
      <c r="H445" s="47"/>
      <c r="I445" s="13">
        <v>64.8</v>
      </c>
      <c r="J445" s="47">
        <f t="shared" si="101"/>
        <v>3.5</v>
      </c>
      <c r="K445" s="13">
        <v>18.600000000000001</v>
      </c>
      <c r="L445" s="47"/>
      <c r="M445" s="47"/>
      <c r="N445" s="47"/>
      <c r="O445" s="46">
        <f>E457-E460</f>
        <v>38.199999999999989</v>
      </c>
      <c r="P445" s="49"/>
      <c r="Q445" s="7"/>
      <c r="R445" s="7"/>
      <c r="S445" s="73">
        <f>I481-I492</f>
        <v>45.9</v>
      </c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3.2">
      <c r="A446" s="47"/>
      <c r="B446" s="5">
        <v>0.5</v>
      </c>
      <c r="C446" s="5">
        <v>0</v>
      </c>
      <c r="D446" s="9">
        <v>42999</v>
      </c>
      <c r="E446" s="10">
        <v>331.9</v>
      </c>
      <c r="F446" s="12">
        <f t="shared" si="102"/>
        <v>7.9000000000000341</v>
      </c>
      <c r="G446" s="47"/>
      <c r="H446" s="47"/>
      <c r="I446" s="13">
        <v>61.9</v>
      </c>
      <c r="J446" s="47">
        <f t="shared" si="101"/>
        <v>2.8999999999999986</v>
      </c>
      <c r="K446" s="13">
        <v>18.600000000000001</v>
      </c>
      <c r="L446" s="47"/>
      <c r="M446" s="47"/>
      <c r="N446" s="47"/>
      <c r="O446" s="46">
        <f>E461-E464</f>
        <v>38.899999999999977</v>
      </c>
      <c r="P446" s="49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3.2">
      <c r="A447" s="47"/>
      <c r="B447" s="5">
        <v>0.5</v>
      </c>
      <c r="C447" s="5">
        <f t="shared" ref="C447:C448" si="103">D447-$D446</f>
        <v>1</v>
      </c>
      <c r="D447" s="9">
        <v>43000</v>
      </c>
      <c r="E447" s="10">
        <v>375.3</v>
      </c>
      <c r="F447" s="12">
        <f>(379.1-E447)/(D447-D446)</f>
        <v>3.8000000000000114</v>
      </c>
      <c r="G447" s="47"/>
      <c r="H447" s="47"/>
      <c r="I447" s="13">
        <v>58.4</v>
      </c>
      <c r="J447" s="47">
        <f t="shared" si="101"/>
        <v>3.5</v>
      </c>
      <c r="K447" s="13">
        <v>18</v>
      </c>
      <c r="L447" s="47"/>
      <c r="M447" s="47"/>
      <c r="N447" s="47"/>
      <c r="O447" s="46">
        <f>E465-E468</f>
        <v>36.799999999999955</v>
      </c>
      <c r="P447" s="49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3.2">
      <c r="A448" s="47"/>
      <c r="B448" s="5">
        <v>0.5</v>
      </c>
      <c r="C448" s="5">
        <f t="shared" si="103"/>
        <v>3</v>
      </c>
      <c r="D448" s="9">
        <v>43003</v>
      </c>
      <c r="E448" s="10">
        <v>358.7</v>
      </c>
      <c r="F448" s="12">
        <f t="shared" ref="F448:F452" si="104">(E447-E448)/(D448-D447)</f>
        <v>5.5333333333333412</v>
      </c>
      <c r="G448" s="47"/>
      <c r="H448" s="47"/>
      <c r="I448" s="13">
        <v>48.5</v>
      </c>
      <c r="J448" s="47">
        <f t="shared" si="101"/>
        <v>3.2999999999999994</v>
      </c>
      <c r="K448" s="13">
        <v>18.399999999999999</v>
      </c>
      <c r="L448" s="47"/>
      <c r="M448" s="47"/>
      <c r="N448" s="47"/>
      <c r="O448" s="46">
        <f>E469-E472</f>
        <v>36.899999999999977</v>
      </c>
      <c r="P448" s="49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3.2">
      <c r="A449" s="47"/>
      <c r="B449" s="5">
        <v>1</v>
      </c>
      <c r="C449" s="5">
        <f>D449-$D446</f>
        <v>6</v>
      </c>
      <c r="D449" s="9">
        <v>43005</v>
      </c>
      <c r="E449" s="10">
        <v>348.4</v>
      </c>
      <c r="F449" s="12">
        <f t="shared" si="104"/>
        <v>5.1500000000000057</v>
      </c>
      <c r="G449" s="47"/>
      <c r="H449" s="47"/>
      <c r="I449" s="13">
        <v>41.6</v>
      </c>
      <c r="J449" s="47">
        <f t="shared" si="101"/>
        <v>3.4499999999999993</v>
      </c>
      <c r="K449" s="18">
        <v>19.100000000000001</v>
      </c>
      <c r="L449" s="47"/>
      <c r="M449" s="47"/>
      <c r="N449" s="47"/>
      <c r="O449" s="46">
        <f>E473-E476</f>
        <v>39.900000000000034</v>
      </c>
      <c r="P449" s="49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3.2">
      <c r="A450" s="47"/>
      <c r="B450" s="5">
        <v>1</v>
      </c>
      <c r="C450" s="5">
        <f>D450-D446</f>
        <v>8</v>
      </c>
      <c r="D450" s="9">
        <v>43007</v>
      </c>
      <c r="E450" s="10">
        <v>337.1</v>
      </c>
      <c r="F450" s="12">
        <f t="shared" si="104"/>
        <v>5.6499999999999773</v>
      </c>
      <c r="G450" s="47"/>
      <c r="H450" s="47"/>
      <c r="I450" s="13">
        <v>34.4</v>
      </c>
      <c r="J450" s="47">
        <f t="shared" si="101"/>
        <v>3.6000000000000014</v>
      </c>
      <c r="K450" s="13">
        <v>19</v>
      </c>
      <c r="L450" s="47"/>
      <c r="M450" s="47"/>
      <c r="N450" s="47"/>
      <c r="O450" s="46">
        <f>E477-E484</f>
        <v>50.299999999999955</v>
      </c>
      <c r="P450" s="49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3.2">
      <c r="A451" s="47"/>
      <c r="B451" s="5">
        <v>1</v>
      </c>
      <c r="C451" s="5">
        <f>D451-D446</f>
        <v>11</v>
      </c>
      <c r="D451" s="19">
        <v>43010</v>
      </c>
      <c r="E451" s="11">
        <v>320.60000000000002</v>
      </c>
      <c r="F451" s="12">
        <f t="shared" si="104"/>
        <v>5.5</v>
      </c>
      <c r="G451" s="47"/>
      <c r="H451" s="47"/>
      <c r="I451" s="13">
        <v>24.8</v>
      </c>
      <c r="J451" s="16">
        <f t="shared" si="101"/>
        <v>3.1999999999999993</v>
      </c>
      <c r="K451" s="13">
        <v>19.3</v>
      </c>
      <c r="L451" s="47"/>
      <c r="M451" s="47"/>
      <c r="N451" s="47"/>
      <c r="O451" s="46">
        <f>E485-E488</f>
        <v>36.199999999999989</v>
      </c>
      <c r="P451" s="49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3.2">
      <c r="A452" s="47"/>
      <c r="B452" s="5">
        <v>1</v>
      </c>
      <c r="C452" s="5">
        <f>D452-D446</f>
        <v>13</v>
      </c>
      <c r="D452" s="19">
        <v>43012</v>
      </c>
      <c r="E452" s="11">
        <v>303.60000000000002</v>
      </c>
      <c r="F452" s="12">
        <f t="shared" si="104"/>
        <v>8.5</v>
      </c>
      <c r="G452" s="47"/>
      <c r="H452" s="47"/>
      <c r="I452" s="13">
        <v>19.2</v>
      </c>
      <c r="J452" s="47">
        <f t="shared" si="101"/>
        <v>2.8000000000000007</v>
      </c>
      <c r="K452" s="13">
        <v>19.2</v>
      </c>
      <c r="L452" s="47"/>
      <c r="M452" s="47"/>
      <c r="N452" s="47"/>
      <c r="O452" s="46">
        <f>E489-E492</f>
        <v>33.100000000000023</v>
      </c>
      <c r="P452" s="49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3.2">
      <c r="A453" s="47"/>
      <c r="B453" s="5">
        <v>2</v>
      </c>
      <c r="C453" s="5">
        <f>D453-D446</f>
        <v>14</v>
      </c>
      <c r="D453" s="19">
        <v>43013</v>
      </c>
      <c r="E453" s="11">
        <v>393.6</v>
      </c>
      <c r="F453" s="12"/>
      <c r="G453" s="47"/>
      <c r="H453" s="47"/>
      <c r="I453" s="15" t="s">
        <v>24</v>
      </c>
      <c r="J453" s="47"/>
      <c r="K453" s="15"/>
      <c r="L453" s="47"/>
      <c r="M453" s="47"/>
      <c r="N453" s="47"/>
      <c r="O453" s="47"/>
      <c r="P453" s="49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3.2">
      <c r="A454" s="47"/>
      <c r="B454" s="5">
        <v>2</v>
      </c>
      <c r="C454" s="5">
        <f>D454-$D446</f>
        <v>15</v>
      </c>
      <c r="D454" s="19">
        <v>43014</v>
      </c>
      <c r="E454" s="11">
        <v>387.4</v>
      </c>
      <c r="F454" s="12">
        <f t="shared" ref="F454:F456" si="105">(E453-E454)/(D454-D453)</f>
        <v>6.2000000000000455</v>
      </c>
      <c r="G454" s="47"/>
      <c r="H454" s="47"/>
      <c r="I454" s="13">
        <v>66.900000000000006</v>
      </c>
      <c r="J454" s="47">
        <f>(72.1-I454)/(D454-D452)</f>
        <v>2.5999999999999943</v>
      </c>
      <c r="K454" s="13">
        <v>18.8</v>
      </c>
      <c r="L454" s="47"/>
      <c r="M454" s="47"/>
      <c r="N454" s="47"/>
      <c r="O454" s="47"/>
      <c r="P454" s="49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3.2">
      <c r="A455" s="47"/>
      <c r="B455" s="5">
        <v>2</v>
      </c>
      <c r="C455" s="5">
        <f t="shared" ref="C455:C497" si="106">D455-$D$6</f>
        <v>18</v>
      </c>
      <c r="D455" s="19">
        <v>43017</v>
      </c>
      <c r="E455" s="11">
        <v>372.7</v>
      </c>
      <c r="F455" s="12">
        <f t="shared" si="105"/>
        <v>4.8999999999999959</v>
      </c>
      <c r="G455" s="47"/>
      <c r="H455" s="47"/>
      <c r="I455" s="13">
        <v>57.4</v>
      </c>
      <c r="J455" s="51">
        <f t="shared" ref="J455:J456" si="107">(I454-I455)/(D455-D454)</f>
        <v>3.1666666666666692</v>
      </c>
      <c r="K455" s="13">
        <v>19</v>
      </c>
      <c r="L455" s="47"/>
      <c r="M455" s="47"/>
      <c r="N455" s="47"/>
      <c r="O455" s="47"/>
      <c r="P455" s="49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3.2">
      <c r="A456" s="47"/>
      <c r="B456" s="5">
        <v>2</v>
      </c>
      <c r="C456" s="5">
        <f t="shared" si="106"/>
        <v>20</v>
      </c>
      <c r="D456" s="19">
        <v>43019</v>
      </c>
      <c r="E456" s="11">
        <v>359.2</v>
      </c>
      <c r="F456" s="12">
        <f t="shared" si="105"/>
        <v>6.75</v>
      </c>
      <c r="G456" s="47"/>
      <c r="H456" s="47"/>
      <c r="I456" s="13">
        <v>50.3</v>
      </c>
      <c r="J456" s="51">
        <f t="shared" si="107"/>
        <v>3.5500000000000007</v>
      </c>
      <c r="K456" s="13">
        <v>19.399999999999999</v>
      </c>
      <c r="L456" s="47"/>
      <c r="M456" s="47"/>
      <c r="N456" s="47"/>
      <c r="O456" s="47"/>
      <c r="P456" s="49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3.2">
      <c r="A457" s="47"/>
      <c r="B457" s="5">
        <v>3</v>
      </c>
      <c r="C457" s="5">
        <f t="shared" si="106"/>
        <v>21</v>
      </c>
      <c r="D457" s="19">
        <v>43020</v>
      </c>
      <c r="E457" s="11">
        <v>401.4</v>
      </c>
      <c r="F457" s="12"/>
      <c r="G457" s="47"/>
      <c r="H457" s="47"/>
      <c r="I457" s="15"/>
      <c r="J457" s="47"/>
      <c r="K457" s="15"/>
      <c r="L457" s="47"/>
      <c r="M457" s="47"/>
      <c r="N457" s="47"/>
      <c r="O457" s="47"/>
      <c r="P457" s="49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3.2">
      <c r="A458" s="47"/>
      <c r="B458" s="5">
        <v>3</v>
      </c>
      <c r="C458" s="5">
        <f t="shared" si="106"/>
        <v>22</v>
      </c>
      <c r="D458" s="19">
        <f>D456+2</f>
        <v>43021</v>
      </c>
      <c r="E458" s="11">
        <v>394.1</v>
      </c>
      <c r="F458" s="12">
        <f t="shared" ref="F458:F460" si="108">(E457-E458)/(D458-D457)</f>
        <v>7.2999999999999545</v>
      </c>
      <c r="G458" s="47"/>
      <c r="H458" s="47"/>
      <c r="I458" s="13">
        <v>42.5</v>
      </c>
      <c r="J458" s="47">
        <f t="shared" ref="J458:J460" si="109">(43.8-I458)/(D458-D456)</f>
        <v>0.64999999999999858</v>
      </c>
      <c r="K458" s="13">
        <v>19.7</v>
      </c>
      <c r="L458" s="47"/>
      <c r="M458" s="47"/>
      <c r="N458" s="47"/>
      <c r="O458" s="47"/>
      <c r="P458" s="49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3.2">
      <c r="A459" s="47"/>
      <c r="B459" s="5">
        <v>3</v>
      </c>
      <c r="C459" s="5">
        <f t="shared" si="106"/>
        <v>25</v>
      </c>
      <c r="D459" s="19">
        <f>D458+3</f>
        <v>43024</v>
      </c>
      <c r="E459" s="11">
        <v>377.7</v>
      </c>
      <c r="F459" s="12">
        <f t="shared" si="108"/>
        <v>5.4666666666666783</v>
      </c>
      <c r="G459" s="47"/>
      <c r="H459" s="47"/>
      <c r="I459" s="18">
        <v>31.6</v>
      </c>
      <c r="J459" s="47">
        <f t="shared" si="109"/>
        <v>3.0499999999999989</v>
      </c>
      <c r="K459" s="18">
        <v>20.100000000000001</v>
      </c>
      <c r="L459" s="47"/>
      <c r="M459" s="47"/>
      <c r="N459" s="47"/>
      <c r="O459" s="47"/>
      <c r="P459" s="49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3.2">
      <c r="A460" s="47"/>
      <c r="B460" s="5">
        <v>3</v>
      </c>
      <c r="C460" s="5">
        <f t="shared" si="106"/>
        <v>27</v>
      </c>
      <c r="D460" s="19">
        <f>D459+2</f>
        <v>43026</v>
      </c>
      <c r="E460" s="11">
        <v>363.2</v>
      </c>
      <c r="F460" s="12">
        <f t="shared" si="108"/>
        <v>7.25</v>
      </c>
      <c r="G460" s="47"/>
      <c r="H460" s="47"/>
      <c r="I460" s="18">
        <v>22.2</v>
      </c>
      <c r="J460" s="47">
        <f t="shared" si="109"/>
        <v>4.3199999999999994</v>
      </c>
      <c r="K460" s="18">
        <v>21.3</v>
      </c>
      <c r="L460" s="47"/>
      <c r="M460" s="47"/>
      <c r="N460" s="47"/>
      <c r="O460" s="47"/>
      <c r="P460" s="49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3.2">
      <c r="A461" s="47"/>
      <c r="B461" s="5">
        <v>4</v>
      </c>
      <c r="C461" s="5">
        <f t="shared" si="106"/>
        <v>28</v>
      </c>
      <c r="D461" s="20">
        <v>43027</v>
      </c>
      <c r="E461" s="11">
        <v>383.2</v>
      </c>
      <c r="F461" s="12"/>
      <c r="G461" s="47"/>
      <c r="H461" s="47"/>
      <c r="I461" s="48"/>
      <c r="J461" s="47"/>
      <c r="K461" s="48"/>
      <c r="L461" s="47"/>
      <c r="M461" s="47"/>
      <c r="N461" s="47"/>
      <c r="O461" s="47"/>
      <c r="P461" s="49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3.2">
      <c r="A462" s="47"/>
      <c r="B462" s="5">
        <v>4</v>
      </c>
      <c r="C462" s="5">
        <f t="shared" si="106"/>
        <v>29</v>
      </c>
      <c r="D462" s="19">
        <f>D460+2</f>
        <v>43028</v>
      </c>
      <c r="E462" s="11">
        <v>371.9</v>
      </c>
      <c r="F462" s="12">
        <f t="shared" ref="F462:F464" si="110">(E461-E462)/(D462-D461)</f>
        <v>11.300000000000011</v>
      </c>
      <c r="G462" s="47"/>
      <c r="H462" s="47"/>
      <c r="I462" s="18">
        <v>18.3</v>
      </c>
      <c r="J462" s="47">
        <f>(24.9-I462)/(D462-D460)</f>
        <v>3.2999999999999989</v>
      </c>
      <c r="K462" s="18">
        <v>20.9</v>
      </c>
      <c r="L462" s="47"/>
      <c r="M462" s="47"/>
      <c r="N462" s="47"/>
      <c r="O462" s="47"/>
      <c r="P462" s="49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3.2">
      <c r="A463" s="47"/>
      <c r="B463" s="5">
        <v>4</v>
      </c>
      <c r="C463" s="5">
        <f t="shared" si="106"/>
        <v>32</v>
      </c>
      <c r="D463" s="19">
        <v>43031</v>
      </c>
      <c r="E463" s="11">
        <v>355.7</v>
      </c>
      <c r="F463" s="12">
        <f t="shared" si="110"/>
        <v>5.3999999999999959</v>
      </c>
      <c r="G463" s="47"/>
      <c r="H463" s="47"/>
      <c r="I463" s="18">
        <v>82.3</v>
      </c>
      <c r="J463" s="51">
        <f>(92.7-I463)/(D463-D462)</f>
        <v>3.4666666666666686</v>
      </c>
      <c r="K463" s="18">
        <v>20.7</v>
      </c>
      <c r="L463" s="47"/>
      <c r="M463" s="47"/>
      <c r="N463" s="47"/>
      <c r="O463" s="47"/>
      <c r="P463" s="49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3.2">
      <c r="A464" s="47"/>
      <c r="B464" s="5">
        <v>4</v>
      </c>
      <c r="C464" s="5">
        <f t="shared" si="106"/>
        <v>34</v>
      </c>
      <c r="D464" s="19">
        <v>43033</v>
      </c>
      <c r="E464" s="11">
        <v>344.3</v>
      </c>
      <c r="F464" s="12">
        <f t="shared" si="110"/>
        <v>5.6999999999999886</v>
      </c>
      <c r="G464" s="47"/>
      <c r="H464" s="47"/>
      <c r="I464" s="18">
        <v>77.400000000000006</v>
      </c>
      <c r="J464" s="12">
        <f>(I463-I464)/(D464-D463)</f>
        <v>2.4499999999999957</v>
      </c>
      <c r="K464" s="18">
        <v>19.600000000000001</v>
      </c>
      <c r="L464" s="47"/>
      <c r="M464" s="47"/>
      <c r="N464" s="47"/>
      <c r="O464" s="47"/>
      <c r="P464" s="49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3.2">
      <c r="A465" s="47"/>
      <c r="B465" s="5">
        <v>5</v>
      </c>
      <c r="C465" s="5">
        <f t="shared" si="106"/>
        <v>35</v>
      </c>
      <c r="D465" s="20">
        <v>43034</v>
      </c>
      <c r="E465" s="11">
        <v>364.4</v>
      </c>
      <c r="F465" s="12"/>
      <c r="G465" s="47"/>
      <c r="H465" s="47"/>
      <c r="I465" s="48"/>
      <c r="J465" s="47"/>
      <c r="K465" s="48"/>
      <c r="L465" s="47"/>
      <c r="M465" s="47"/>
      <c r="N465" s="47"/>
      <c r="O465" s="47"/>
      <c r="P465" s="49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3.2">
      <c r="A466" s="47"/>
      <c r="B466" s="5">
        <v>5</v>
      </c>
      <c r="C466" s="5">
        <f t="shared" si="106"/>
        <v>36</v>
      </c>
      <c r="D466" s="19">
        <v>43035</v>
      </c>
      <c r="E466" s="11">
        <v>357.7</v>
      </c>
      <c r="F466" s="12">
        <f t="shared" ref="F466:F468" si="111">(E465-E466)/(D466-D465)</f>
        <v>6.6999999999999886</v>
      </c>
      <c r="G466" s="47"/>
      <c r="H466" s="47"/>
      <c r="I466" s="18">
        <v>70</v>
      </c>
      <c r="J466" s="47">
        <f>(I464-I466)/(D466-D464)</f>
        <v>3.7000000000000028</v>
      </c>
      <c r="K466" s="18">
        <v>20.6</v>
      </c>
      <c r="L466" s="47"/>
      <c r="M466" s="47"/>
      <c r="N466" s="47"/>
      <c r="O466" s="47"/>
      <c r="P466" s="49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3.2">
      <c r="A467" s="47"/>
      <c r="B467" s="5">
        <v>5</v>
      </c>
      <c r="C467" s="5">
        <f t="shared" si="106"/>
        <v>39</v>
      </c>
      <c r="D467" s="19">
        <v>43038</v>
      </c>
      <c r="E467" s="11">
        <v>338.7</v>
      </c>
      <c r="F467" s="12">
        <f t="shared" si="111"/>
        <v>6.333333333333333</v>
      </c>
      <c r="G467" s="47"/>
      <c r="H467" s="47"/>
      <c r="I467" s="18">
        <v>61.6</v>
      </c>
      <c r="J467" s="47">
        <f t="shared" ref="J467:J468" si="112">(I466-I467)/(D467-D466)</f>
        <v>2.7999999999999994</v>
      </c>
      <c r="K467" s="18">
        <v>20</v>
      </c>
      <c r="L467" s="47"/>
      <c r="M467" s="47"/>
      <c r="N467" s="47"/>
      <c r="O467" s="47"/>
      <c r="P467" s="49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3.2">
      <c r="A468" s="47"/>
      <c r="B468" s="5">
        <v>5</v>
      </c>
      <c r="C468" s="5">
        <f t="shared" si="106"/>
        <v>41</v>
      </c>
      <c r="D468" s="19">
        <v>43040</v>
      </c>
      <c r="E468" s="11">
        <v>327.60000000000002</v>
      </c>
      <c r="F468" s="12">
        <f t="shared" si="111"/>
        <v>5.5499999999999829</v>
      </c>
      <c r="G468" s="47"/>
      <c r="H468" s="47"/>
      <c r="I468" s="18">
        <v>54.5</v>
      </c>
      <c r="J468" s="47">
        <f t="shared" si="112"/>
        <v>3.5500000000000007</v>
      </c>
      <c r="K468" s="18">
        <v>20.9</v>
      </c>
      <c r="L468" s="47"/>
      <c r="M468" s="47"/>
      <c r="N468" s="47"/>
      <c r="O468" s="47"/>
      <c r="P468" s="49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3.2">
      <c r="A469" s="47"/>
      <c r="B469" s="5">
        <v>6</v>
      </c>
      <c r="C469" s="5">
        <f t="shared" si="106"/>
        <v>42</v>
      </c>
      <c r="D469" s="20">
        <v>43041</v>
      </c>
      <c r="E469" s="11">
        <v>377</v>
      </c>
      <c r="F469" s="12"/>
      <c r="G469" s="47"/>
      <c r="H469" s="47"/>
      <c r="I469" s="48"/>
      <c r="J469" s="47"/>
      <c r="K469" s="48"/>
      <c r="L469" s="47"/>
      <c r="M469" s="47"/>
      <c r="N469" s="47"/>
      <c r="O469" s="47"/>
      <c r="P469" s="49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3.2">
      <c r="A470" s="47"/>
      <c r="B470" s="5">
        <v>6</v>
      </c>
      <c r="C470" s="5">
        <f t="shared" si="106"/>
        <v>43</v>
      </c>
      <c r="D470" s="19">
        <v>43042</v>
      </c>
      <c r="E470" s="11">
        <v>369.2</v>
      </c>
      <c r="F470" s="12">
        <f t="shared" ref="F470:F472" si="113">(E469-E470)/(D470-D469)</f>
        <v>7.8000000000000114</v>
      </c>
      <c r="G470" s="47"/>
      <c r="H470" s="47"/>
      <c r="I470" s="18">
        <v>49.7</v>
      </c>
      <c r="J470" s="47">
        <f>(I468-I470)/(D470-D468)</f>
        <v>2.3999999999999986</v>
      </c>
      <c r="K470" s="18">
        <v>21.2</v>
      </c>
      <c r="L470" s="47"/>
      <c r="M470" s="47"/>
      <c r="N470" s="47"/>
      <c r="O470" s="47"/>
      <c r="P470" s="49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3.2">
      <c r="A471" s="47"/>
      <c r="B471" s="5">
        <v>6</v>
      </c>
      <c r="C471" s="5">
        <f t="shared" si="106"/>
        <v>46</v>
      </c>
      <c r="D471" s="19">
        <v>43045</v>
      </c>
      <c r="E471" s="11">
        <v>351.2</v>
      </c>
      <c r="F471" s="12">
        <f t="shared" si="113"/>
        <v>6</v>
      </c>
      <c r="G471" s="47"/>
      <c r="H471" s="47"/>
      <c r="I471" s="18">
        <v>39.200000000000003</v>
      </c>
      <c r="J471" s="47">
        <f>(I470-I471)/(D471-D470)</f>
        <v>3.5</v>
      </c>
      <c r="K471" s="18">
        <v>21.4</v>
      </c>
      <c r="L471" s="47"/>
      <c r="M471" s="47"/>
      <c r="N471" s="47"/>
      <c r="O471" s="47"/>
      <c r="P471" s="49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3.2">
      <c r="A472" s="47"/>
      <c r="B472" s="5">
        <v>6</v>
      </c>
      <c r="C472" s="5">
        <f t="shared" si="106"/>
        <v>48</v>
      </c>
      <c r="D472" s="19">
        <v>43047</v>
      </c>
      <c r="E472" s="11">
        <v>340.1</v>
      </c>
      <c r="F472" s="12">
        <f t="shared" si="113"/>
        <v>5.5499999999999829</v>
      </c>
      <c r="G472" s="47"/>
      <c r="H472" s="47"/>
      <c r="I472" s="18">
        <v>67.7</v>
      </c>
      <c r="J472" s="47">
        <f>(78.1-I472)/(D472-D471)</f>
        <v>5.1999999999999957</v>
      </c>
      <c r="K472" s="18">
        <v>21.4</v>
      </c>
      <c r="L472" s="47"/>
      <c r="M472" s="47"/>
      <c r="N472" s="47"/>
      <c r="O472" s="47"/>
      <c r="P472" s="49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3.2">
      <c r="A473" s="47"/>
      <c r="B473" s="5">
        <v>7</v>
      </c>
      <c r="C473" s="5">
        <f t="shared" si="106"/>
        <v>49</v>
      </c>
      <c r="D473" s="20">
        <v>43048</v>
      </c>
      <c r="E473" s="11">
        <v>394.1</v>
      </c>
      <c r="F473" s="12"/>
      <c r="G473" s="47"/>
      <c r="H473" s="47"/>
      <c r="I473" s="48"/>
      <c r="J473" s="47"/>
      <c r="K473" s="48"/>
      <c r="L473" s="47"/>
      <c r="M473" s="47"/>
      <c r="N473" s="47"/>
      <c r="O473" s="47"/>
      <c r="P473" s="49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3.2">
      <c r="A474" s="47"/>
      <c r="B474" s="5">
        <v>7</v>
      </c>
      <c r="C474" s="5">
        <f t="shared" si="106"/>
        <v>50</v>
      </c>
      <c r="D474" s="19">
        <v>43049</v>
      </c>
      <c r="E474" s="11">
        <v>386.9</v>
      </c>
      <c r="F474" s="12">
        <f t="shared" ref="F474:F476" si="114">(E473-E474)/(D474-D473)</f>
        <v>7.2000000000000455</v>
      </c>
      <c r="G474" s="47"/>
      <c r="H474" s="47"/>
      <c r="I474" s="18">
        <v>60.8</v>
      </c>
      <c r="J474" s="47">
        <f>(I472-I474)/(D474-D472)</f>
        <v>3.4500000000000028</v>
      </c>
      <c r="K474" s="18">
        <v>22.2</v>
      </c>
      <c r="L474" s="47"/>
      <c r="M474" s="47"/>
      <c r="N474" s="47"/>
      <c r="O474" s="47"/>
      <c r="P474" s="49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3.2">
      <c r="A475" s="47"/>
      <c r="B475" s="5">
        <v>7</v>
      </c>
      <c r="C475" s="5">
        <f t="shared" si="106"/>
        <v>53</v>
      </c>
      <c r="D475" s="19">
        <v>43052</v>
      </c>
      <c r="E475" s="11">
        <v>374</v>
      </c>
      <c r="F475" s="12">
        <f t="shared" si="114"/>
        <v>4.2999999999999927</v>
      </c>
      <c r="G475" s="47"/>
      <c r="H475" s="47"/>
      <c r="I475" s="18">
        <v>51.7</v>
      </c>
      <c r="J475" s="51">
        <f t="shared" ref="J475:J476" si="115">(I474-I475)/(D475-D474)</f>
        <v>3.0333333333333314</v>
      </c>
      <c r="K475" s="18">
        <v>21.8</v>
      </c>
      <c r="L475" s="47"/>
      <c r="M475" s="47"/>
      <c r="N475" s="47"/>
      <c r="O475" s="47"/>
      <c r="P475" s="49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3.2">
      <c r="A476" s="47"/>
      <c r="B476" s="5">
        <v>7</v>
      </c>
      <c r="C476" s="5">
        <f t="shared" si="106"/>
        <v>55</v>
      </c>
      <c r="D476" s="19">
        <v>43054</v>
      </c>
      <c r="E476" s="11">
        <v>354.2</v>
      </c>
      <c r="F476" s="12">
        <f t="shared" si="114"/>
        <v>9.9000000000000057</v>
      </c>
      <c r="G476" s="47"/>
      <c r="H476" s="47"/>
      <c r="I476" s="18">
        <v>43.5</v>
      </c>
      <c r="J476" s="48">
        <f t="shared" si="115"/>
        <v>4.1000000000000014</v>
      </c>
      <c r="K476" s="18">
        <v>21.7</v>
      </c>
      <c r="L476" s="47"/>
      <c r="M476" s="47"/>
      <c r="N476" s="47"/>
      <c r="O476" s="47"/>
      <c r="P476" s="49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3.2">
      <c r="A477" s="47"/>
      <c r="B477" s="5">
        <v>8</v>
      </c>
      <c r="C477" s="5">
        <f t="shared" si="106"/>
        <v>56</v>
      </c>
      <c r="D477" s="20">
        <v>43055</v>
      </c>
      <c r="E477" s="11">
        <v>400.4</v>
      </c>
      <c r="F477" s="12"/>
      <c r="G477" s="47"/>
      <c r="H477" s="47"/>
      <c r="I477" s="48"/>
      <c r="J477" s="47"/>
      <c r="K477" s="48"/>
      <c r="L477" s="47"/>
      <c r="M477" s="47"/>
      <c r="N477" s="47"/>
      <c r="O477" s="47"/>
      <c r="P477" s="49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3.2">
      <c r="A478" s="47"/>
      <c r="B478" s="5">
        <v>8</v>
      </c>
      <c r="C478" s="5">
        <f t="shared" si="106"/>
        <v>57</v>
      </c>
      <c r="D478" s="20">
        <v>43056</v>
      </c>
      <c r="E478" s="11">
        <v>392.9</v>
      </c>
      <c r="F478" s="12">
        <f t="shared" ref="F478:F479" si="116">(E477-E478)/(D478-D477)</f>
        <v>7.5</v>
      </c>
      <c r="G478" s="47"/>
      <c r="H478" s="47"/>
      <c r="I478" s="18">
        <v>36.4</v>
      </c>
      <c r="J478" s="47">
        <f>(I476-I478)/(D478-D476)</f>
        <v>3.5500000000000007</v>
      </c>
      <c r="K478" s="18">
        <v>22.8</v>
      </c>
      <c r="L478" s="47"/>
      <c r="M478" s="47"/>
      <c r="N478" s="47"/>
      <c r="O478" s="47"/>
      <c r="P478" s="49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3.2">
      <c r="A479" s="47"/>
      <c r="B479" s="5">
        <v>8</v>
      </c>
      <c r="C479" s="5">
        <f t="shared" si="106"/>
        <v>60</v>
      </c>
      <c r="D479" s="20">
        <v>43059</v>
      </c>
      <c r="E479" s="11">
        <v>379.2</v>
      </c>
      <c r="F479" s="12">
        <f t="shared" si="116"/>
        <v>4.5666666666666629</v>
      </c>
      <c r="G479" s="47"/>
      <c r="H479" s="47"/>
      <c r="I479" s="18">
        <v>28.1</v>
      </c>
      <c r="J479" s="48">
        <f>(I478-I479)/(D479-D478)</f>
        <v>2.7666666666666657</v>
      </c>
      <c r="K479" s="18">
        <v>21.7</v>
      </c>
      <c r="L479" s="47"/>
      <c r="M479" s="47"/>
      <c r="N479" s="47"/>
      <c r="O479" s="47"/>
      <c r="P479" s="49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3.2">
      <c r="A480" s="47"/>
      <c r="B480" s="5">
        <v>8</v>
      </c>
      <c r="C480" s="5">
        <f t="shared" si="106"/>
        <v>61</v>
      </c>
      <c r="D480" s="20">
        <v>43060</v>
      </c>
      <c r="E480" s="11">
        <v>385.6</v>
      </c>
      <c r="F480" s="12"/>
      <c r="G480" s="47"/>
      <c r="H480" s="47"/>
      <c r="I480" s="48"/>
      <c r="J480" s="47"/>
      <c r="K480" s="48"/>
      <c r="L480" s="47"/>
      <c r="M480" s="47"/>
      <c r="N480" s="47"/>
      <c r="O480" s="47"/>
      <c r="P480" s="49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3.2">
      <c r="A481" s="47"/>
      <c r="B481" s="5">
        <v>8</v>
      </c>
      <c r="C481" s="5">
        <f t="shared" si="106"/>
        <v>62</v>
      </c>
      <c r="D481" s="20">
        <v>43061</v>
      </c>
      <c r="E481" s="11">
        <v>381.8</v>
      </c>
      <c r="F481" s="12">
        <f t="shared" ref="F481:F484" si="117">(E480-E481)/(D481-D480)</f>
        <v>3.8000000000000114</v>
      </c>
      <c r="G481" s="47"/>
      <c r="H481" s="47"/>
      <c r="I481" s="18">
        <v>82.3</v>
      </c>
      <c r="J481" s="47">
        <f>(89.7-I481)/(D481-D480)</f>
        <v>7.4000000000000057</v>
      </c>
      <c r="K481" s="18">
        <v>22.2</v>
      </c>
      <c r="L481" s="47"/>
      <c r="M481" s="47"/>
      <c r="N481" s="47"/>
      <c r="O481" s="47"/>
      <c r="P481" s="49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3.2">
      <c r="A482" s="47"/>
      <c r="B482" s="5">
        <v>9</v>
      </c>
      <c r="C482" s="5">
        <f t="shared" si="106"/>
        <v>64</v>
      </c>
      <c r="D482" s="20">
        <v>43063</v>
      </c>
      <c r="E482" s="11">
        <v>372.9</v>
      </c>
      <c r="F482" s="12">
        <f t="shared" si="117"/>
        <v>4.4500000000000171</v>
      </c>
      <c r="G482" s="47"/>
      <c r="H482" s="47"/>
      <c r="I482" s="18">
        <v>76.7</v>
      </c>
      <c r="J482" s="48">
        <f t="shared" ref="J482:J484" si="118">(I481-I482)/(D482-D481)</f>
        <v>2.7999999999999972</v>
      </c>
      <c r="K482" s="18">
        <v>22</v>
      </c>
      <c r="L482" s="47"/>
      <c r="M482" s="47"/>
      <c r="N482" s="47"/>
      <c r="O482" s="47"/>
      <c r="P482" s="49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3.2">
      <c r="A483" s="47"/>
      <c r="B483" s="5">
        <v>9</v>
      </c>
      <c r="C483" s="5">
        <f t="shared" si="106"/>
        <v>67</v>
      </c>
      <c r="D483" s="23">
        <v>43066</v>
      </c>
      <c r="E483" s="11">
        <v>359.7</v>
      </c>
      <c r="F483" s="12">
        <f t="shared" si="117"/>
        <v>4.3999999999999959</v>
      </c>
      <c r="G483" s="47"/>
      <c r="H483" s="47"/>
      <c r="I483" s="18">
        <v>68.2</v>
      </c>
      <c r="J483" s="51">
        <f t="shared" si="118"/>
        <v>2.8333333333333335</v>
      </c>
      <c r="K483" s="18">
        <v>21.4</v>
      </c>
      <c r="L483" s="47"/>
      <c r="M483" s="47"/>
      <c r="N483" s="47"/>
      <c r="O483" s="47"/>
      <c r="P483" s="49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3.2">
      <c r="A484" s="47"/>
      <c r="B484" s="5">
        <v>9</v>
      </c>
      <c r="C484" s="5">
        <f t="shared" si="106"/>
        <v>69</v>
      </c>
      <c r="D484" s="23">
        <v>43068</v>
      </c>
      <c r="E484" s="11">
        <v>350.1</v>
      </c>
      <c r="F484" s="12">
        <f t="shared" si="117"/>
        <v>4.7999999999999829</v>
      </c>
      <c r="G484" s="47"/>
      <c r="H484" s="47"/>
      <c r="I484" s="18">
        <v>61.7</v>
      </c>
      <c r="J484" s="47">
        <f t="shared" si="118"/>
        <v>3.25</v>
      </c>
      <c r="K484" s="18">
        <v>22.3</v>
      </c>
      <c r="L484" s="47"/>
      <c r="M484" s="47"/>
      <c r="N484" s="47"/>
      <c r="O484" s="47"/>
      <c r="P484" s="49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3.2">
      <c r="A485" s="47"/>
      <c r="B485" s="5">
        <v>9</v>
      </c>
      <c r="C485" s="5">
        <f t="shared" si="106"/>
        <v>70</v>
      </c>
      <c r="D485" s="23">
        <v>43069</v>
      </c>
      <c r="E485" s="11">
        <v>356.8</v>
      </c>
      <c r="F485" s="12"/>
      <c r="G485" s="47"/>
      <c r="H485" s="47"/>
      <c r="I485" s="48"/>
      <c r="J485" s="47"/>
      <c r="K485" s="48"/>
      <c r="L485" s="47"/>
      <c r="M485" s="47"/>
      <c r="N485" s="47"/>
      <c r="O485" s="47"/>
      <c r="P485" s="49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3.2">
      <c r="A486" s="47"/>
      <c r="B486" s="5">
        <v>10</v>
      </c>
      <c r="C486" s="5">
        <f t="shared" si="106"/>
        <v>71</v>
      </c>
      <c r="D486" s="23">
        <v>43070</v>
      </c>
      <c r="E486" s="11">
        <v>348.1</v>
      </c>
      <c r="F486" s="12">
        <f t="shared" ref="F486:F488" si="119">(E485-E486)/(D486-D485)</f>
        <v>8.6999999999999886</v>
      </c>
      <c r="G486" s="47"/>
      <c r="H486" s="47"/>
      <c r="I486" s="18">
        <v>56</v>
      </c>
      <c r="J486" s="47">
        <f>(I484-I486)/(D486-D484)</f>
        <v>2.8500000000000014</v>
      </c>
      <c r="K486" s="18">
        <v>21.6</v>
      </c>
      <c r="L486" s="47"/>
      <c r="M486" s="47"/>
      <c r="N486" s="47"/>
      <c r="O486" s="47"/>
      <c r="P486" s="49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3.2">
      <c r="A487" s="47"/>
      <c r="B487" s="5">
        <v>10</v>
      </c>
      <c r="C487" s="5">
        <f t="shared" si="106"/>
        <v>74</v>
      </c>
      <c r="D487" s="23">
        <v>43073</v>
      </c>
      <c r="E487" s="11">
        <v>333.9</v>
      </c>
      <c r="F487" s="12">
        <f t="shared" si="119"/>
        <v>4.7333333333333485</v>
      </c>
      <c r="G487" s="47"/>
      <c r="H487" s="47"/>
      <c r="I487" s="18">
        <v>46.3</v>
      </c>
      <c r="J487" s="51">
        <f t="shared" ref="J487:J488" si="120">(I486-I487)/(D487-D486)</f>
        <v>3.2333333333333343</v>
      </c>
      <c r="K487" s="18">
        <v>22.2</v>
      </c>
      <c r="L487" s="47"/>
      <c r="M487" s="47"/>
      <c r="N487" s="47"/>
      <c r="O487" s="47"/>
      <c r="P487" s="49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3.2">
      <c r="A488" s="47"/>
      <c r="B488" s="5">
        <v>10</v>
      </c>
      <c r="C488" s="5">
        <f t="shared" si="106"/>
        <v>76</v>
      </c>
      <c r="D488" s="23">
        <v>43075</v>
      </c>
      <c r="E488" s="11">
        <v>320.60000000000002</v>
      </c>
      <c r="F488" s="12">
        <f t="shared" si="119"/>
        <v>6.6499999999999773</v>
      </c>
      <c r="G488" s="47"/>
      <c r="H488" s="47"/>
      <c r="I488" s="18">
        <v>40.5</v>
      </c>
      <c r="J488" s="47">
        <f t="shared" si="120"/>
        <v>2.8999999999999986</v>
      </c>
      <c r="K488" s="18">
        <v>21.8</v>
      </c>
      <c r="L488" s="47"/>
      <c r="M488" s="47"/>
      <c r="N488" s="47"/>
      <c r="O488" s="47"/>
      <c r="P488" s="49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3.2">
      <c r="A489" s="47"/>
      <c r="B489" s="5">
        <v>10</v>
      </c>
      <c r="C489" s="5">
        <f t="shared" si="106"/>
        <v>77</v>
      </c>
      <c r="D489" s="24">
        <v>43076</v>
      </c>
      <c r="E489" s="11">
        <v>356.8</v>
      </c>
      <c r="F489" s="12"/>
      <c r="G489" s="47"/>
      <c r="H489" s="47"/>
      <c r="I489" s="48"/>
      <c r="J489" s="47"/>
      <c r="K489" s="48"/>
      <c r="L489" s="47"/>
      <c r="M489" s="47"/>
      <c r="N489" s="47"/>
      <c r="O489" s="47"/>
      <c r="P489" s="49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3.2">
      <c r="A490" s="47"/>
      <c r="B490" s="5">
        <v>11</v>
      </c>
      <c r="C490" s="5">
        <f t="shared" si="106"/>
        <v>78</v>
      </c>
      <c r="D490" s="24">
        <v>43077</v>
      </c>
      <c r="E490" s="11">
        <v>351.1</v>
      </c>
      <c r="F490" s="12">
        <f t="shared" ref="F490:F492" si="121">(E489-E490)/(D490-D489)</f>
        <v>5.6999999999999886</v>
      </c>
      <c r="G490" s="47"/>
      <c r="H490" s="47"/>
      <c r="I490" s="18">
        <v>34.1</v>
      </c>
      <c r="J490" s="47">
        <f>(I488-I490)/(D490-D488)</f>
        <v>3.1999999999999993</v>
      </c>
      <c r="K490" s="18">
        <v>21.9</v>
      </c>
      <c r="L490" s="47"/>
      <c r="M490" s="47"/>
      <c r="N490" s="47"/>
      <c r="O490" s="47"/>
      <c r="P490" s="49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3.2">
      <c r="A491" s="47"/>
      <c r="B491" s="5">
        <v>11</v>
      </c>
      <c r="C491" s="5">
        <f t="shared" si="106"/>
        <v>81</v>
      </c>
      <c r="D491" s="24">
        <v>43080</v>
      </c>
      <c r="E491" s="11">
        <v>338.2</v>
      </c>
      <c r="F491" s="12">
        <f t="shared" si="121"/>
        <v>4.3000000000000114</v>
      </c>
      <c r="G491" s="47"/>
      <c r="H491" s="47"/>
      <c r="I491" s="18">
        <v>43.2</v>
      </c>
      <c r="J491" s="47"/>
      <c r="K491" s="18">
        <v>21.2</v>
      </c>
      <c r="L491" s="47"/>
      <c r="M491" s="47"/>
      <c r="N491" s="47"/>
      <c r="O491" s="47"/>
      <c r="P491" s="49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3.2">
      <c r="A492" s="50" t="s">
        <v>46</v>
      </c>
      <c r="B492" s="5">
        <v>11</v>
      </c>
      <c r="C492" s="5">
        <f t="shared" si="106"/>
        <v>83</v>
      </c>
      <c r="D492" s="25">
        <v>43082</v>
      </c>
      <c r="E492" s="11">
        <v>323.7</v>
      </c>
      <c r="F492" s="12">
        <f t="shared" si="121"/>
        <v>7.25</v>
      </c>
      <c r="G492" s="47"/>
      <c r="H492" s="47"/>
      <c r="I492" s="18">
        <v>36.4</v>
      </c>
      <c r="J492" s="51">
        <f>(I491-I492)/(D492-D491)</f>
        <v>3.4000000000000021</v>
      </c>
      <c r="K492" s="18">
        <v>22.2</v>
      </c>
      <c r="L492" s="47"/>
      <c r="M492" s="47"/>
      <c r="N492" s="47"/>
      <c r="O492" s="47"/>
      <c r="P492" s="49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3.2">
      <c r="A493" s="57" t="s">
        <v>28</v>
      </c>
      <c r="B493" s="59">
        <v>11</v>
      </c>
      <c r="C493" s="59">
        <f t="shared" si="106"/>
        <v>85</v>
      </c>
      <c r="D493" s="60">
        <v>43084</v>
      </c>
      <c r="E493" s="61"/>
      <c r="F493" s="61"/>
      <c r="G493" s="62"/>
      <c r="H493" s="62"/>
      <c r="I493" s="63"/>
      <c r="J493" s="62"/>
      <c r="K493" s="64">
        <v>21.5</v>
      </c>
      <c r="L493" s="62"/>
      <c r="M493" s="62"/>
      <c r="N493" s="62"/>
      <c r="O493" s="62"/>
      <c r="P493" s="65"/>
      <c r="Q493" s="66"/>
      <c r="R493" s="66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3.2">
      <c r="A494" s="47"/>
      <c r="B494" s="50"/>
      <c r="C494" s="5">
        <f t="shared" si="106"/>
        <v>98</v>
      </c>
      <c r="D494" s="32">
        <v>43097</v>
      </c>
      <c r="E494" s="12"/>
      <c r="F494" s="12"/>
      <c r="G494" s="47"/>
      <c r="H494" s="47"/>
      <c r="I494" s="33">
        <v>129.19999999999999</v>
      </c>
      <c r="J494" s="47"/>
      <c r="K494" s="33">
        <v>21.4</v>
      </c>
      <c r="L494" s="47"/>
      <c r="M494" s="47"/>
      <c r="N494" s="47"/>
      <c r="O494" s="47"/>
      <c r="P494" s="49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3.2">
      <c r="A495" s="47"/>
      <c r="B495" s="50"/>
      <c r="C495" s="5">
        <f t="shared" si="106"/>
        <v>105</v>
      </c>
      <c r="D495" s="32">
        <v>43104</v>
      </c>
      <c r="E495" s="12"/>
      <c r="F495" s="12"/>
      <c r="G495" s="47"/>
      <c r="H495" s="47"/>
      <c r="I495" s="33">
        <v>106.5</v>
      </c>
      <c r="J495" s="47"/>
      <c r="K495" s="33">
        <v>22.6</v>
      </c>
      <c r="L495" s="47"/>
      <c r="M495" s="47"/>
      <c r="N495" s="47"/>
      <c r="O495" s="47"/>
      <c r="P495" s="49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3.2">
      <c r="A496" s="47"/>
      <c r="B496" s="50"/>
      <c r="C496" s="5">
        <f t="shared" si="106"/>
        <v>112</v>
      </c>
      <c r="D496" s="32">
        <v>43111</v>
      </c>
      <c r="E496" s="12"/>
      <c r="F496" s="12"/>
      <c r="G496" s="47"/>
      <c r="H496" s="47"/>
      <c r="I496" s="33">
        <v>83.7</v>
      </c>
      <c r="J496" s="47"/>
      <c r="K496" s="33">
        <v>22.9</v>
      </c>
      <c r="L496" s="47"/>
      <c r="M496" s="47"/>
      <c r="N496" s="47"/>
      <c r="O496" s="47"/>
      <c r="P496" s="49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3.2">
      <c r="A497" s="47"/>
      <c r="B497" s="50"/>
      <c r="C497" s="5">
        <f t="shared" si="106"/>
        <v>112</v>
      </c>
      <c r="D497" s="52">
        <v>43111</v>
      </c>
      <c r="E497" s="12"/>
      <c r="F497" s="12"/>
      <c r="G497" s="47"/>
      <c r="H497" s="47"/>
      <c r="I497" s="33"/>
      <c r="J497" s="47"/>
      <c r="K497" s="33"/>
      <c r="L497" s="47"/>
      <c r="M497" s="47"/>
      <c r="N497" s="47"/>
      <c r="O497" s="47"/>
      <c r="P497" s="49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3.2">
      <c r="A498" s="47"/>
      <c r="B498" s="50"/>
      <c r="C498" s="5">
        <v>116</v>
      </c>
      <c r="D498" s="32">
        <v>43115</v>
      </c>
      <c r="E498" s="12"/>
      <c r="F498" s="12"/>
      <c r="G498" s="47"/>
      <c r="H498" s="47"/>
      <c r="I498" s="33"/>
      <c r="J498" s="47"/>
      <c r="K498" s="33"/>
      <c r="L498" s="47"/>
      <c r="M498" s="47"/>
      <c r="N498" s="47"/>
      <c r="O498" s="47"/>
      <c r="P498" s="49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3.2">
      <c r="A499" s="47"/>
      <c r="B499" s="50"/>
      <c r="C499" s="5">
        <v>117</v>
      </c>
      <c r="D499" s="32">
        <v>43116</v>
      </c>
      <c r="E499" s="12"/>
      <c r="F499" s="12"/>
      <c r="G499" s="47"/>
      <c r="H499" s="47"/>
      <c r="I499" s="33">
        <v>68.400000000000006</v>
      </c>
      <c r="J499" s="47"/>
      <c r="K499" s="33">
        <v>22.7</v>
      </c>
      <c r="L499" s="47"/>
      <c r="M499" s="47"/>
      <c r="N499" s="47"/>
      <c r="O499" s="47"/>
      <c r="P499" s="49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3.2">
      <c r="A500" s="47"/>
      <c r="B500" s="50"/>
      <c r="C500" s="5">
        <v>118</v>
      </c>
      <c r="D500" s="32">
        <v>43117</v>
      </c>
      <c r="E500" s="12"/>
      <c r="F500" s="12"/>
      <c r="G500" s="47"/>
      <c r="H500" s="47"/>
      <c r="I500" s="33">
        <v>64.099999999999994</v>
      </c>
      <c r="J500" s="47"/>
      <c r="K500" s="33">
        <v>23.8</v>
      </c>
      <c r="L500" s="47"/>
      <c r="M500" s="47"/>
      <c r="N500" s="47"/>
      <c r="O500" s="47"/>
      <c r="P500" s="49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3.2">
      <c r="A501" s="47"/>
      <c r="B501" s="50"/>
      <c r="C501" s="5">
        <v>119</v>
      </c>
      <c r="D501" s="32">
        <v>43118</v>
      </c>
      <c r="E501" s="12"/>
      <c r="F501" s="12"/>
      <c r="G501" s="47"/>
      <c r="H501" s="47"/>
      <c r="I501" s="33">
        <v>60.4</v>
      </c>
      <c r="J501" s="47"/>
      <c r="K501" s="33">
        <v>23.9</v>
      </c>
      <c r="L501" s="47"/>
      <c r="M501" s="47"/>
      <c r="N501" s="47"/>
      <c r="O501" s="47"/>
      <c r="P501" s="49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3.2">
      <c r="A502" s="47"/>
      <c r="B502" s="50"/>
      <c r="C502" s="5">
        <v>120</v>
      </c>
      <c r="D502" s="32">
        <v>43119</v>
      </c>
      <c r="E502" s="12"/>
      <c r="F502" s="12"/>
      <c r="G502" s="47"/>
      <c r="H502" s="47"/>
      <c r="I502" s="33">
        <v>57.3</v>
      </c>
      <c r="J502" s="47"/>
      <c r="K502" s="33">
        <v>24</v>
      </c>
      <c r="L502" s="47"/>
      <c r="M502" s="47"/>
      <c r="N502" s="47"/>
      <c r="O502" s="47"/>
      <c r="P502" s="49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3.2">
      <c r="A503" s="47"/>
      <c r="B503" s="50"/>
      <c r="C503" s="5">
        <v>121</v>
      </c>
      <c r="D503" s="32">
        <v>43120</v>
      </c>
      <c r="E503" s="12"/>
      <c r="F503" s="12"/>
      <c r="G503" s="47"/>
      <c r="H503" s="47"/>
      <c r="I503" s="33">
        <v>54.4</v>
      </c>
      <c r="J503" s="47"/>
      <c r="K503" s="33">
        <v>24.1</v>
      </c>
      <c r="L503" s="47"/>
      <c r="M503" s="47"/>
      <c r="N503" s="47"/>
      <c r="O503" s="47"/>
      <c r="P503" s="49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3.2">
      <c r="A504" s="47"/>
      <c r="B504" s="50"/>
      <c r="C504" s="5">
        <v>122</v>
      </c>
      <c r="D504" s="32">
        <v>43121</v>
      </c>
      <c r="E504" s="12"/>
      <c r="F504" s="12"/>
      <c r="G504" s="47"/>
      <c r="H504" s="47"/>
      <c r="I504" s="33">
        <v>50.5</v>
      </c>
      <c r="J504" s="47"/>
      <c r="K504" s="33">
        <v>24.1</v>
      </c>
      <c r="L504" s="47"/>
      <c r="M504" s="47"/>
      <c r="N504" s="47"/>
      <c r="O504" s="47"/>
      <c r="P504" s="49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3.2">
      <c r="A505" s="47"/>
      <c r="B505" s="50"/>
      <c r="C505" s="5">
        <v>123</v>
      </c>
      <c r="D505" s="32">
        <v>43122</v>
      </c>
      <c r="E505" s="12"/>
      <c r="F505" s="12"/>
      <c r="G505" s="47"/>
      <c r="H505" s="47"/>
      <c r="I505" s="33">
        <v>46.8</v>
      </c>
      <c r="J505" s="47"/>
      <c r="K505" s="33">
        <v>24.8</v>
      </c>
      <c r="L505" s="47"/>
      <c r="M505" s="47"/>
      <c r="N505" s="47"/>
      <c r="O505" s="47"/>
      <c r="P505" s="49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3.2">
      <c r="A506" s="47"/>
      <c r="B506" s="50"/>
      <c r="C506" s="5">
        <v>124</v>
      </c>
      <c r="D506" s="32">
        <v>43123</v>
      </c>
      <c r="E506" s="12"/>
      <c r="F506" s="12"/>
      <c r="G506" s="47"/>
      <c r="H506" s="47"/>
      <c r="I506" s="33">
        <v>43.9</v>
      </c>
      <c r="J506" s="47"/>
      <c r="K506" s="33">
        <v>24.5</v>
      </c>
      <c r="L506" s="47"/>
      <c r="M506" s="47"/>
      <c r="N506" s="47"/>
      <c r="O506" s="47"/>
      <c r="P506" s="49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3.2">
      <c r="A507" s="47"/>
      <c r="B507" s="50"/>
      <c r="C507" s="5">
        <v>125</v>
      </c>
      <c r="D507" s="52">
        <v>43124</v>
      </c>
      <c r="E507" s="12"/>
      <c r="F507" s="12"/>
      <c r="G507" s="47"/>
      <c r="H507" s="47"/>
      <c r="I507" s="33">
        <v>41.1</v>
      </c>
      <c r="J507" s="47"/>
      <c r="K507" s="33">
        <v>24</v>
      </c>
      <c r="L507" s="47"/>
      <c r="M507" s="47"/>
      <c r="N507" s="47"/>
      <c r="O507" s="47"/>
      <c r="P507" s="49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3.2">
      <c r="A508" s="47"/>
      <c r="B508" s="50"/>
      <c r="C508" s="5">
        <v>126</v>
      </c>
      <c r="D508" s="52">
        <v>43125</v>
      </c>
      <c r="E508" s="12"/>
      <c r="F508" s="12"/>
      <c r="G508" s="47"/>
      <c r="H508" s="47"/>
      <c r="I508" s="33">
        <v>38.299999999999997</v>
      </c>
      <c r="J508" s="47"/>
      <c r="K508" s="33">
        <v>23.7</v>
      </c>
      <c r="L508" s="47"/>
      <c r="M508" s="47"/>
      <c r="N508" s="47"/>
      <c r="O508" s="47"/>
      <c r="P508" s="49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3.2">
      <c r="A509" s="47"/>
      <c r="B509" s="50"/>
      <c r="C509" s="5">
        <v>127</v>
      </c>
      <c r="D509" s="52">
        <v>43126</v>
      </c>
      <c r="E509" s="12"/>
      <c r="F509" s="12"/>
      <c r="G509" s="47"/>
      <c r="H509" s="47"/>
      <c r="I509" s="33">
        <v>80.099999999999994</v>
      </c>
      <c r="J509" s="47"/>
      <c r="K509" s="33">
        <v>24.7</v>
      </c>
      <c r="L509" s="47"/>
      <c r="M509" s="47"/>
      <c r="N509" s="47"/>
      <c r="O509" s="47"/>
      <c r="P509" s="49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3.2">
      <c r="A510" s="47"/>
      <c r="B510" s="50"/>
      <c r="C510" s="5">
        <v>128</v>
      </c>
      <c r="D510" s="52">
        <v>43127</v>
      </c>
      <c r="E510" s="12"/>
      <c r="F510" s="12"/>
      <c r="G510" s="47"/>
      <c r="H510" s="47"/>
      <c r="I510" s="33">
        <v>76.900000000000006</v>
      </c>
      <c r="J510" s="47"/>
      <c r="K510" s="33">
        <v>24.8</v>
      </c>
      <c r="L510" s="47"/>
      <c r="M510" s="47"/>
      <c r="N510" s="47"/>
      <c r="O510" s="47"/>
      <c r="P510" s="49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3.2">
      <c r="A511" s="47"/>
      <c r="B511" s="50"/>
      <c r="C511" s="5">
        <v>129</v>
      </c>
      <c r="D511" s="52">
        <v>43128</v>
      </c>
      <c r="E511" s="12"/>
      <c r="F511" s="12"/>
      <c r="G511" s="47"/>
      <c r="H511" s="47"/>
      <c r="I511" s="33">
        <v>74.099999999999994</v>
      </c>
      <c r="J511" s="47"/>
      <c r="K511" s="33">
        <v>24</v>
      </c>
      <c r="L511" s="47"/>
      <c r="M511" s="47"/>
      <c r="N511" s="47"/>
      <c r="O511" s="47"/>
      <c r="P511" s="49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3.2">
      <c r="A512" s="47"/>
      <c r="B512" s="50"/>
      <c r="C512" s="5">
        <v>130</v>
      </c>
      <c r="D512" s="52">
        <v>43129</v>
      </c>
      <c r="E512" s="12"/>
      <c r="F512" s="12"/>
      <c r="G512" s="47"/>
      <c r="H512" s="47"/>
      <c r="I512" s="33">
        <v>71.3</v>
      </c>
      <c r="J512" s="47"/>
      <c r="K512" s="33">
        <v>24.2</v>
      </c>
      <c r="L512" s="47"/>
      <c r="M512" s="47"/>
      <c r="N512" s="47"/>
      <c r="O512" s="47"/>
      <c r="P512" s="49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3.2">
      <c r="A513" s="47"/>
      <c r="B513" s="50"/>
      <c r="C513" s="5">
        <v>131</v>
      </c>
      <c r="D513" s="52">
        <v>43130</v>
      </c>
      <c r="E513" s="12"/>
      <c r="F513" s="12"/>
      <c r="G513" s="47"/>
      <c r="H513" s="47"/>
      <c r="I513" s="33">
        <v>68.900000000000006</v>
      </c>
      <c r="J513" s="47"/>
      <c r="K513" s="33">
        <v>23.3</v>
      </c>
      <c r="L513" s="47"/>
      <c r="M513" s="47"/>
      <c r="N513" s="47"/>
      <c r="O513" s="47"/>
      <c r="P513" s="49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3.2">
      <c r="A514" s="47"/>
      <c r="B514" s="50"/>
      <c r="C514" s="5">
        <v>132</v>
      </c>
      <c r="D514" s="53">
        <v>43131</v>
      </c>
      <c r="E514" s="12"/>
      <c r="F514" s="12"/>
      <c r="G514" s="47"/>
      <c r="H514" s="47"/>
      <c r="I514" s="33">
        <v>65.599999999999994</v>
      </c>
      <c r="J514" s="47"/>
      <c r="K514" s="33">
        <v>23.6</v>
      </c>
      <c r="L514" s="47"/>
      <c r="M514" s="47"/>
      <c r="N514" s="47"/>
      <c r="O514" s="47"/>
      <c r="P514" s="49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3.2">
      <c r="A515" s="47"/>
      <c r="B515" s="50"/>
      <c r="C515" s="5">
        <v>133</v>
      </c>
      <c r="D515" s="32">
        <v>43132</v>
      </c>
      <c r="E515" s="12"/>
      <c r="F515" s="12"/>
      <c r="G515" s="47"/>
      <c r="H515" s="47"/>
      <c r="I515" s="33">
        <v>62.1</v>
      </c>
      <c r="J515" s="37"/>
      <c r="K515" s="33">
        <v>24.3</v>
      </c>
      <c r="L515" s="47"/>
      <c r="M515" s="47"/>
      <c r="N515" s="47"/>
      <c r="O515" s="47"/>
      <c r="P515" s="49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3.2">
      <c r="A516" s="47"/>
      <c r="B516" s="50"/>
      <c r="C516" s="5">
        <v>134</v>
      </c>
      <c r="D516" s="32">
        <v>43133</v>
      </c>
      <c r="E516" s="12"/>
      <c r="F516" s="12"/>
      <c r="G516" s="47"/>
      <c r="H516" s="47"/>
      <c r="I516" s="33">
        <v>59.3</v>
      </c>
      <c r="J516" s="37"/>
      <c r="K516" s="33">
        <v>23.9</v>
      </c>
      <c r="L516" s="47"/>
      <c r="M516" s="47"/>
      <c r="N516" s="47"/>
      <c r="O516" s="47"/>
      <c r="P516" s="49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3.2">
      <c r="A517" s="47"/>
      <c r="B517" s="50"/>
      <c r="C517" s="5">
        <v>135</v>
      </c>
      <c r="D517" s="32">
        <v>43134</v>
      </c>
      <c r="E517" s="12"/>
      <c r="F517" s="12"/>
      <c r="G517" s="47"/>
      <c r="H517" s="47"/>
      <c r="I517" s="33">
        <v>56.4</v>
      </c>
      <c r="J517" s="37"/>
      <c r="K517" s="33">
        <v>23.6</v>
      </c>
      <c r="L517" s="47"/>
      <c r="M517" s="47"/>
      <c r="N517" s="47"/>
      <c r="O517" s="47"/>
      <c r="P517" s="49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3.2">
      <c r="A518" s="47"/>
      <c r="B518" s="50"/>
      <c r="C518" s="5">
        <v>136</v>
      </c>
      <c r="D518" s="32">
        <v>43135</v>
      </c>
      <c r="E518" s="12"/>
      <c r="F518" s="12"/>
      <c r="G518" s="47"/>
      <c r="H518" s="47"/>
      <c r="I518" s="33">
        <v>53.5</v>
      </c>
      <c r="J518" s="37"/>
      <c r="K518" s="33">
        <v>23</v>
      </c>
      <c r="L518" s="47"/>
      <c r="M518" s="47"/>
      <c r="N518" s="47"/>
      <c r="O518" s="47"/>
      <c r="P518" s="49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3.2">
      <c r="A519" s="47"/>
      <c r="B519" s="50"/>
      <c r="C519" s="5">
        <v>137</v>
      </c>
      <c r="D519" s="32">
        <v>43136</v>
      </c>
      <c r="E519" s="12"/>
      <c r="F519" s="12"/>
      <c r="G519" s="47"/>
      <c r="H519" s="47"/>
      <c r="I519" s="33">
        <v>49.8</v>
      </c>
      <c r="J519" s="37"/>
      <c r="K519" s="33">
        <v>23.7</v>
      </c>
      <c r="L519" s="47"/>
      <c r="M519" s="47"/>
      <c r="N519" s="47"/>
      <c r="O519" s="47"/>
      <c r="P519" s="49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3.2">
      <c r="A520" s="47"/>
      <c r="B520" s="50"/>
      <c r="C520" s="5">
        <v>138</v>
      </c>
      <c r="D520" s="32">
        <v>43137</v>
      </c>
      <c r="E520" s="12"/>
      <c r="F520" s="12"/>
      <c r="G520" s="47"/>
      <c r="H520" s="47"/>
      <c r="I520" s="33">
        <v>46.6</v>
      </c>
      <c r="J520" s="37"/>
      <c r="K520" s="33">
        <v>23.8</v>
      </c>
      <c r="L520" s="47"/>
      <c r="M520" s="47"/>
      <c r="N520" s="47"/>
      <c r="O520" s="47"/>
      <c r="P520" s="49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3.2">
      <c r="A521" s="47"/>
      <c r="B521" s="50"/>
      <c r="C521" s="5">
        <v>139</v>
      </c>
      <c r="D521" s="20">
        <v>43138</v>
      </c>
      <c r="E521" s="12"/>
      <c r="F521" s="12"/>
      <c r="G521" s="47"/>
      <c r="H521" s="47"/>
      <c r="I521" s="18">
        <v>44.1</v>
      </c>
      <c r="J521" s="47"/>
      <c r="K521" s="18">
        <v>23.5</v>
      </c>
      <c r="L521" s="47"/>
      <c r="M521" s="47"/>
      <c r="N521" s="47"/>
      <c r="O521" s="47"/>
      <c r="P521" s="49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3.2">
      <c r="A522" s="47"/>
      <c r="B522" s="50"/>
      <c r="C522" s="5">
        <v>140</v>
      </c>
      <c r="D522" s="20">
        <v>43139</v>
      </c>
      <c r="E522" s="12"/>
      <c r="F522" s="12"/>
      <c r="G522" s="47"/>
      <c r="H522" s="47"/>
      <c r="I522" s="18">
        <v>40.799999999999997</v>
      </c>
      <c r="J522" s="47"/>
      <c r="K522" s="18">
        <v>23.3</v>
      </c>
      <c r="L522" s="47"/>
      <c r="M522" s="47"/>
      <c r="N522" s="47"/>
      <c r="O522" s="47"/>
      <c r="P522" s="49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3.2">
      <c r="A523" s="47"/>
      <c r="B523" s="50"/>
      <c r="C523" s="5">
        <v>141</v>
      </c>
      <c r="D523" s="20">
        <v>43140</v>
      </c>
      <c r="E523" s="12"/>
      <c r="F523" s="12"/>
      <c r="G523" s="47"/>
      <c r="H523" s="47"/>
      <c r="I523" s="18">
        <v>110.3</v>
      </c>
      <c r="J523" s="47"/>
      <c r="K523" s="18">
        <v>23</v>
      </c>
      <c r="L523" s="47"/>
      <c r="M523" s="47"/>
      <c r="N523" s="47"/>
      <c r="O523" s="47"/>
      <c r="P523" s="49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3.2">
      <c r="A524" s="47"/>
      <c r="B524" s="50"/>
      <c r="C524" s="5">
        <v>142</v>
      </c>
      <c r="D524" s="20">
        <v>43141</v>
      </c>
      <c r="E524" s="12"/>
      <c r="F524" s="12"/>
      <c r="G524" s="47"/>
      <c r="H524" s="47"/>
      <c r="I524" s="18">
        <v>107.6</v>
      </c>
      <c r="J524" s="47"/>
      <c r="K524" s="18">
        <v>23</v>
      </c>
      <c r="L524" s="47"/>
      <c r="M524" s="47"/>
      <c r="N524" s="47"/>
      <c r="O524" s="47"/>
      <c r="P524" s="49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3.2">
      <c r="A525" s="47"/>
      <c r="B525" s="50"/>
      <c r="C525" s="5">
        <v>143</v>
      </c>
      <c r="D525" s="20">
        <v>43142</v>
      </c>
      <c r="E525" s="12"/>
      <c r="F525" s="12"/>
      <c r="G525" s="47"/>
      <c r="H525" s="47"/>
      <c r="I525" s="18">
        <v>104.4</v>
      </c>
      <c r="J525" s="47"/>
      <c r="K525" s="18">
        <v>23.4</v>
      </c>
      <c r="L525" s="47"/>
      <c r="M525" s="47"/>
      <c r="N525" s="47"/>
      <c r="O525" s="47"/>
      <c r="P525" s="49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3.2">
      <c r="A526" s="47"/>
      <c r="B526" s="50"/>
      <c r="C526" s="5">
        <v>144</v>
      </c>
      <c r="D526" s="20">
        <v>43143</v>
      </c>
      <c r="E526" s="12"/>
      <c r="F526" s="12"/>
      <c r="G526" s="47"/>
      <c r="H526" s="47"/>
      <c r="I526" s="18">
        <v>101.8</v>
      </c>
      <c r="J526" s="47"/>
      <c r="K526" s="18">
        <v>23.7</v>
      </c>
      <c r="L526" s="47"/>
      <c r="M526" s="47"/>
      <c r="N526" s="47"/>
      <c r="O526" s="47"/>
      <c r="P526" s="49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3.2">
      <c r="A527" s="47"/>
      <c r="B527" s="50"/>
      <c r="C527" s="5">
        <v>145</v>
      </c>
      <c r="D527" s="20">
        <v>43144</v>
      </c>
      <c r="E527" s="12"/>
      <c r="F527" s="12"/>
      <c r="G527" s="47"/>
      <c r="H527" s="47"/>
      <c r="I527" s="18">
        <v>98.4</v>
      </c>
      <c r="J527" s="47"/>
      <c r="K527" s="18">
        <v>23.8</v>
      </c>
      <c r="L527" s="47"/>
      <c r="M527" s="47"/>
      <c r="N527" s="47"/>
      <c r="O527" s="47"/>
      <c r="P527" s="49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3.2">
      <c r="A528" s="47"/>
      <c r="B528" s="50"/>
      <c r="C528" s="5">
        <v>146</v>
      </c>
      <c r="D528" s="20">
        <v>43145</v>
      </c>
      <c r="E528" s="12"/>
      <c r="F528" s="12"/>
      <c r="G528" s="47"/>
      <c r="H528" s="47"/>
      <c r="I528" s="18">
        <v>94.7</v>
      </c>
      <c r="J528" s="47"/>
      <c r="K528" s="18">
        <v>23.9</v>
      </c>
      <c r="L528" s="47"/>
      <c r="M528" s="47"/>
      <c r="N528" s="47"/>
      <c r="O528" s="47"/>
      <c r="P528" s="49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3.2">
      <c r="A529" s="47"/>
      <c r="B529" s="50"/>
      <c r="C529" s="5">
        <v>147</v>
      </c>
      <c r="D529" s="20">
        <v>43146</v>
      </c>
      <c r="E529" s="12"/>
      <c r="F529" s="12"/>
      <c r="G529" s="47"/>
      <c r="H529" s="47"/>
      <c r="I529" s="18">
        <v>92.5</v>
      </c>
      <c r="J529" s="47"/>
      <c r="K529" s="18">
        <v>23.5</v>
      </c>
      <c r="L529" s="47"/>
      <c r="M529" s="47"/>
      <c r="N529" s="47"/>
      <c r="O529" s="47"/>
      <c r="P529" s="49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3.2">
      <c r="A530" s="47"/>
      <c r="B530" s="50"/>
      <c r="C530" s="5">
        <v>148</v>
      </c>
      <c r="D530" s="20">
        <v>43147</v>
      </c>
      <c r="E530" s="12"/>
      <c r="F530" s="12"/>
      <c r="G530" s="47"/>
      <c r="H530" s="47"/>
      <c r="I530" s="18">
        <v>89.5</v>
      </c>
      <c r="J530" s="47"/>
      <c r="K530" s="18">
        <v>23.7</v>
      </c>
      <c r="L530" s="47"/>
      <c r="M530" s="47"/>
      <c r="N530" s="47"/>
      <c r="O530" s="47"/>
      <c r="P530" s="49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3.2">
      <c r="A531" s="47"/>
      <c r="B531" s="50"/>
      <c r="C531" s="5">
        <v>149</v>
      </c>
      <c r="D531" s="20">
        <v>43148</v>
      </c>
      <c r="E531" s="12"/>
      <c r="F531" s="12"/>
      <c r="G531" s="47"/>
      <c r="H531" s="47"/>
      <c r="I531" s="18">
        <v>86.7</v>
      </c>
      <c r="J531" s="47"/>
      <c r="K531" s="18">
        <v>23.2</v>
      </c>
      <c r="L531" s="47"/>
      <c r="M531" s="47"/>
      <c r="N531" s="47"/>
      <c r="O531" s="47"/>
      <c r="P531" s="49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3.2">
      <c r="A532" s="47"/>
      <c r="B532" s="50"/>
      <c r="C532" s="5">
        <f t="shared" ref="C532:C541" si="122">C531+1</f>
        <v>150</v>
      </c>
      <c r="D532" s="67">
        <f t="shared" ref="D532:D541" si="123">D531+DATE(0,1,0)</f>
        <v>43148</v>
      </c>
      <c r="E532" s="12"/>
      <c r="F532" s="12"/>
      <c r="G532" s="47"/>
      <c r="H532" s="47"/>
      <c r="I532" s="18">
        <v>84.5</v>
      </c>
      <c r="J532" s="47"/>
      <c r="K532" s="18">
        <v>23.2</v>
      </c>
      <c r="L532" s="47"/>
      <c r="M532" s="47"/>
      <c r="N532" s="47"/>
      <c r="O532" s="47"/>
      <c r="P532" s="49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3.2">
      <c r="A533" s="47"/>
      <c r="C533" s="5">
        <f t="shared" si="122"/>
        <v>151</v>
      </c>
      <c r="D533" s="67">
        <f t="shared" si="123"/>
        <v>43148</v>
      </c>
      <c r="E533" s="12"/>
      <c r="F533" s="12"/>
      <c r="G533" s="47"/>
      <c r="H533" s="47"/>
      <c r="I533" s="18">
        <v>80.8</v>
      </c>
      <c r="J533" s="47"/>
      <c r="K533" s="18">
        <v>23.6</v>
      </c>
      <c r="L533" s="47"/>
      <c r="M533" s="47"/>
      <c r="N533" s="47"/>
      <c r="O533" s="47"/>
      <c r="P533" s="49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3.2">
      <c r="A534" s="47"/>
      <c r="B534" s="55"/>
      <c r="C534" s="5">
        <f t="shared" si="122"/>
        <v>152</v>
      </c>
      <c r="D534" s="67">
        <f t="shared" si="123"/>
        <v>43148</v>
      </c>
      <c r="E534" s="12"/>
      <c r="F534" s="12"/>
      <c r="G534" s="47"/>
      <c r="H534" s="47"/>
      <c r="I534" s="18">
        <v>77.400000000000006</v>
      </c>
      <c r="J534" s="47"/>
      <c r="K534" s="18">
        <v>23.8</v>
      </c>
      <c r="L534" s="47"/>
      <c r="M534" s="47"/>
      <c r="N534" s="47"/>
      <c r="O534" s="47"/>
      <c r="P534" s="49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3.2">
      <c r="A535" s="47"/>
      <c r="B535" s="55"/>
      <c r="C535" s="5">
        <f t="shared" si="122"/>
        <v>153</v>
      </c>
      <c r="D535" s="67">
        <f t="shared" si="123"/>
        <v>43148</v>
      </c>
      <c r="E535" s="12"/>
      <c r="F535" s="12"/>
      <c r="G535" s="47"/>
      <c r="H535" s="47"/>
      <c r="I535" s="18">
        <v>75.599999999999994</v>
      </c>
      <c r="J535" s="47"/>
      <c r="K535" s="18">
        <v>23.2</v>
      </c>
      <c r="L535" s="47"/>
      <c r="M535" s="47"/>
      <c r="N535" s="47"/>
      <c r="O535" s="47"/>
      <c r="P535" s="49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3.2">
      <c r="A536" s="47"/>
      <c r="B536" s="55"/>
      <c r="C536" s="5">
        <f t="shared" si="122"/>
        <v>154</v>
      </c>
      <c r="D536" s="67">
        <f t="shared" si="123"/>
        <v>43148</v>
      </c>
      <c r="E536" s="12"/>
      <c r="F536" s="12"/>
      <c r="G536" s="47"/>
      <c r="H536" s="47"/>
      <c r="I536" s="18">
        <v>72.3</v>
      </c>
      <c r="J536" s="47"/>
      <c r="K536" s="18">
        <v>23.1</v>
      </c>
      <c r="L536" s="47"/>
      <c r="M536" s="47"/>
      <c r="N536" s="47"/>
      <c r="O536" s="47"/>
      <c r="P536" s="49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3.2">
      <c r="A537" s="47"/>
      <c r="B537" s="55"/>
      <c r="C537" s="5">
        <f t="shared" si="122"/>
        <v>155</v>
      </c>
      <c r="D537" s="67">
        <f t="shared" si="123"/>
        <v>43148</v>
      </c>
      <c r="E537" s="12"/>
      <c r="F537" s="12"/>
      <c r="G537" s="47"/>
      <c r="H537" s="47"/>
      <c r="I537" s="18">
        <v>69.400000000000006</v>
      </c>
      <c r="J537" s="47"/>
      <c r="K537" s="18">
        <v>23.3</v>
      </c>
      <c r="L537" s="47"/>
      <c r="M537" s="47"/>
      <c r="N537" s="47"/>
      <c r="O537" s="47"/>
      <c r="P537" s="49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3.2">
      <c r="A538" s="47"/>
      <c r="B538" s="55"/>
      <c r="C538" s="5">
        <f t="shared" si="122"/>
        <v>156</v>
      </c>
      <c r="D538" s="67">
        <f t="shared" si="123"/>
        <v>43148</v>
      </c>
      <c r="E538" s="12"/>
      <c r="F538" s="12"/>
      <c r="G538" s="47"/>
      <c r="H538" s="47"/>
      <c r="I538" s="18">
        <v>66</v>
      </c>
      <c r="J538" s="47"/>
      <c r="K538" s="18">
        <v>23.7</v>
      </c>
      <c r="L538" s="47"/>
      <c r="M538" s="47"/>
      <c r="N538" s="47"/>
      <c r="O538" s="47"/>
      <c r="P538" s="49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3.2">
      <c r="A539" s="47"/>
      <c r="B539" s="55"/>
      <c r="C539" s="5">
        <f t="shared" si="122"/>
        <v>157</v>
      </c>
      <c r="D539" s="67">
        <f t="shared" si="123"/>
        <v>43148</v>
      </c>
      <c r="E539" s="12"/>
      <c r="F539" s="12"/>
      <c r="G539" s="47"/>
      <c r="H539" s="47"/>
      <c r="I539" s="18">
        <v>63.4</v>
      </c>
      <c r="J539" s="47"/>
      <c r="K539" s="18">
        <v>23.4</v>
      </c>
      <c r="L539" s="47"/>
      <c r="M539" s="47"/>
      <c r="N539" s="47"/>
      <c r="O539" s="47"/>
      <c r="P539" s="49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3.2">
      <c r="A540" s="47"/>
      <c r="B540" s="55"/>
      <c r="C540" s="5">
        <f t="shared" si="122"/>
        <v>158</v>
      </c>
      <c r="D540" s="67">
        <f t="shared" si="123"/>
        <v>43148</v>
      </c>
      <c r="E540" s="12"/>
      <c r="F540" s="12"/>
      <c r="G540" s="47"/>
      <c r="H540" s="47"/>
      <c r="I540" s="18">
        <v>61</v>
      </c>
      <c r="J540" s="47"/>
      <c r="K540" s="18">
        <v>23.1</v>
      </c>
      <c r="L540" s="47"/>
      <c r="M540" s="47"/>
      <c r="N540" s="47"/>
      <c r="O540" s="47"/>
      <c r="P540" s="49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3.2">
      <c r="A541" s="47"/>
      <c r="B541" s="55"/>
      <c r="C541" s="5">
        <f t="shared" si="122"/>
        <v>159</v>
      </c>
      <c r="D541" s="67">
        <f t="shared" si="123"/>
        <v>43148</v>
      </c>
      <c r="E541" s="12"/>
      <c r="F541" s="12"/>
      <c r="G541" s="47"/>
      <c r="H541" s="47"/>
      <c r="I541" s="18">
        <v>58</v>
      </c>
      <c r="J541" s="47"/>
      <c r="K541" s="18">
        <v>23.2</v>
      </c>
      <c r="L541" s="47"/>
      <c r="M541" s="47"/>
      <c r="N541" s="47"/>
      <c r="O541" s="47"/>
      <c r="P541" s="49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3.2">
      <c r="A542" s="47"/>
      <c r="B542" s="55"/>
      <c r="C542" s="5">
        <v>166</v>
      </c>
      <c r="D542" s="24">
        <v>43165</v>
      </c>
      <c r="E542" s="12"/>
      <c r="F542" s="12"/>
      <c r="G542" s="47"/>
      <c r="H542" s="47"/>
      <c r="I542" s="18">
        <v>35.200000000000003</v>
      </c>
      <c r="J542" s="47"/>
      <c r="K542" s="18">
        <v>24.8</v>
      </c>
      <c r="L542" s="47"/>
      <c r="M542" s="47"/>
      <c r="N542" s="47"/>
      <c r="O542" s="47"/>
      <c r="P542" s="49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3.2">
      <c r="A543" s="47"/>
      <c r="B543" s="55"/>
      <c r="C543" s="50">
        <v>173</v>
      </c>
      <c r="D543" s="24">
        <v>43172</v>
      </c>
      <c r="E543" s="12"/>
      <c r="F543" s="12"/>
      <c r="G543" s="47"/>
      <c r="H543" s="47"/>
      <c r="I543" s="18">
        <v>74.3</v>
      </c>
      <c r="J543" s="47"/>
      <c r="K543" s="18">
        <v>24.1</v>
      </c>
      <c r="L543" s="47"/>
      <c r="M543" s="47"/>
      <c r="N543" s="47"/>
      <c r="O543" s="47"/>
      <c r="P543" s="49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3.2">
      <c r="A544" s="47"/>
      <c r="B544" s="55"/>
      <c r="C544" s="55"/>
      <c r="D544" s="67"/>
      <c r="E544" s="12"/>
      <c r="F544" s="12"/>
      <c r="G544" s="47"/>
      <c r="H544" s="47"/>
      <c r="I544" s="48"/>
      <c r="J544" s="47"/>
      <c r="K544" s="48"/>
      <c r="L544" s="47"/>
      <c r="M544" s="47"/>
      <c r="N544" s="47"/>
      <c r="O544" s="47"/>
      <c r="P544" s="49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3.2">
      <c r="A545" s="47"/>
      <c r="B545" s="55"/>
      <c r="C545" s="55"/>
      <c r="D545" s="67"/>
      <c r="E545" s="12"/>
      <c r="F545" s="12"/>
      <c r="G545" s="47"/>
      <c r="H545" s="47"/>
      <c r="I545" s="48"/>
      <c r="J545" s="47"/>
      <c r="K545" s="48"/>
      <c r="L545" s="47"/>
      <c r="M545" s="47"/>
      <c r="N545" s="47"/>
      <c r="O545" s="47"/>
      <c r="P545" s="49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3.2">
      <c r="A546" s="47"/>
      <c r="B546" s="55"/>
      <c r="C546" s="55"/>
      <c r="D546" s="67"/>
      <c r="E546" s="12"/>
      <c r="F546" s="12"/>
      <c r="G546" s="47"/>
      <c r="H546" s="47"/>
      <c r="I546" s="48"/>
      <c r="J546" s="47"/>
      <c r="K546" s="48"/>
      <c r="L546" s="47"/>
      <c r="M546" s="47"/>
      <c r="N546" s="47"/>
      <c r="O546" s="47"/>
      <c r="P546" s="49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3.2">
      <c r="A547" s="47"/>
      <c r="B547" s="55"/>
      <c r="C547" s="55"/>
      <c r="D547" s="67"/>
      <c r="E547" s="12"/>
      <c r="F547" s="12"/>
      <c r="G547" s="47"/>
      <c r="H547" s="47"/>
      <c r="I547" s="48"/>
      <c r="J547" s="47"/>
      <c r="K547" s="48"/>
      <c r="L547" s="47"/>
      <c r="M547" s="47"/>
      <c r="N547" s="47"/>
      <c r="O547" s="47"/>
      <c r="P547" s="49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3.2">
      <c r="A548" s="47"/>
      <c r="B548" s="55"/>
      <c r="C548" s="55"/>
      <c r="D548" s="67"/>
      <c r="E548" s="12"/>
      <c r="F548" s="12"/>
      <c r="G548" s="47"/>
      <c r="H548" s="47"/>
      <c r="I548" s="48"/>
      <c r="J548" s="47"/>
      <c r="K548" s="48"/>
      <c r="L548" s="47"/>
      <c r="M548" s="47"/>
      <c r="N548" s="47"/>
      <c r="O548" s="47"/>
      <c r="P548" s="49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3.2">
      <c r="A549" s="47"/>
      <c r="B549" s="55"/>
      <c r="C549" s="55"/>
      <c r="D549" s="67"/>
      <c r="E549" s="12"/>
      <c r="F549" s="12"/>
      <c r="G549" s="47"/>
      <c r="H549" s="47"/>
      <c r="I549" s="48"/>
      <c r="J549" s="47"/>
      <c r="K549" s="48"/>
      <c r="L549" s="47"/>
      <c r="M549" s="47"/>
      <c r="N549" s="47"/>
      <c r="O549" s="47"/>
      <c r="P549" s="49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3.2">
      <c r="A550" s="47"/>
      <c r="B550" s="55"/>
      <c r="C550" s="55"/>
      <c r="D550" s="67"/>
      <c r="E550" s="12"/>
      <c r="F550" s="12"/>
      <c r="G550" s="47"/>
      <c r="H550" s="47"/>
      <c r="I550" s="48"/>
      <c r="J550" s="47"/>
      <c r="K550" s="48"/>
      <c r="L550" s="47"/>
      <c r="M550" s="47"/>
      <c r="N550" s="47"/>
      <c r="O550" s="47"/>
      <c r="P550" s="49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3.2">
      <c r="A551" s="47"/>
      <c r="B551" s="55"/>
      <c r="C551" s="55"/>
      <c r="D551" s="67"/>
      <c r="E551" s="12"/>
      <c r="F551" s="12"/>
      <c r="G551" s="47"/>
      <c r="H551" s="47"/>
      <c r="I551" s="48"/>
      <c r="J551" s="47"/>
      <c r="K551" s="48"/>
      <c r="L551" s="47"/>
      <c r="M551" s="47"/>
      <c r="N551" s="47"/>
      <c r="O551" s="47"/>
      <c r="P551" s="49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3.2">
      <c r="A552" s="47"/>
      <c r="B552" s="55"/>
      <c r="C552" s="55"/>
      <c r="D552" s="67"/>
      <c r="E552" s="12"/>
      <c r="F552" s="12"/>
      <c r="G552" s="47"/>
      <c r="H552" s="47"/>
      <c r="I552" s="48"/>
      <c r="J552" s="47"/>
      <c r="K552" s="48"/>
      <c r="L552" s="47"/>
      <c r="M552" s="47"/>
      <c r="N552" s="47"/>
      <c r="O552" s="47"/>
      <c r="P552" s="49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3.2">
      <c r="A553" s="47"/>
      <c r="B553" s="55"/>
      <c r="C553" s="55"/>
      <c r="D553" s="67"/>
      <c r="E553" s="12"/>
      <c r="F553" s="12"/>
      <c r="G553" s="47"/>
      <c r="H553" s="47"/>
      <c r="I553" s="48"/>
      <c r="J553" s="47"/>
      <c r="K553" s="48"/>
      <c r="L553" s="47"/>
      <c r="M553" s="47"/>
      <c r="N553" s="47"/>
      <c r="O553" s="47"/>
      <c r="P553" s="49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3.2">
      <c r="A554" s="47"/>
      <c r="B554" s="55"/>
      <c r="C554" s="55"/>
      <c r="D554" s="67"/>
      <c r="E554" s="12"/>
      <c r="F554" s="12"/>
      <c r="G554" s="47"/>
      <c r="H554" s="47"/>
      <c r="I554" s="48"/>
      <c r="J554" s="47"/>
      <c r="K554" s="48"/>
      <c r="L554" s="47"/>
      <c r="M554" s="47"/>
      <c r="N554" s="47"/>
      <c r="O554" s="47"/>
      <c r="P554" s="49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3.2">
      <c r="A555" s="47"/>
      <c r="B555" s="55"/>
      <c r="C555" s="55"/>
      <c r="D555" s="67"/>
      <c r="E555" s="12"/>
      <c r="F555" s="12"/>
      <c r="G555" s="47"/>
      <c r="H555" s="47"/>
      <c r="I555" s="48"/>
      <c r="J555" s="47"/>
      <c r="K555" s="48"/>
      <c r="L555" s="47"/>
      <c r="M555" s="47"/>
      <c r="N555" s="47"/>
      <c r="O555" s="47"/>
      <c r="P555" s="49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3.2">
      <c r="A556" s="47"/>
      <c r="B556" s="55"/>
      <c r="C556" s="55"/>
      <c r="D556" s="67"/>
      <c r="E556" s="12"/>
      <c r="F556" s="12"/>
      <c r="G556" s="47"/>
      <c r="H556" s="47"/>
      <c r="I556" s="48"/>
      <c r="J556" s="47"/>
      <c r="K556" s="48"/>
      <c r="L556" s="47"/>
      <c r="M556" s="47"/>
      <c r="N556" s="47"/>
      <c r="O556" s="47"/>
      <c r="P556" s="49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3.2">
      <c r="A557" s="47"/>
      <c r="B557" s="55"/>
      <c r="C557" s="55"/>
      <c r="D557" s="67"/>
      <c r="E557" s="12"/>
      <c r="F557" s="12"/>
      <c r="G557" s="47"/>
      <c r="H557" s="47"/>
      <c r="I557" s="48"/>
      <c r="J557" s="47"/>
      <c r="K557" s="48"/>
      <c r="L557" s="47"/>
      <c r="M557" s="47"/>
      <c r="N557" s="47"/>
      <c r="O557" s="47"/>
      <c r="P557" s="49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3.2">
      <c r="A558" s="47"/>
      <c r="B558" s="55"/>
      <c r="C558" s="55"/>
      <c r="D558" s="67"/>
      <c r="E558" s="12"/>
      <c r="F558" s="12"/>
      <c r="G558" s="47"/>
      <c r="H558" s="47"/>
      <c r="I558" s="48"/>
      <c r="J558" s="47"/>
      <c r="K558" s="48"/>
      <c r="L558" s="47"/>
      <c r="M558" s="47"/>
      <c r="N558" s="47"/>
      <c r="O558" s="47"/>
      <c r="P558" s="49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3.2">
      <c r="A559" s="47"/>
      <c r="B559" s="55"/>
      <c r="C559" s="55"/>
      <c r="D559" s="67"/>
      <c r="E559" s="12"/>
      <c r="F559" s="12"/>
      <c r="G559" s="47"/>
      <c r="H559" s="47"/>
      <c r="I559" s="48"/>
      <c r="J559" s="47"/>
      <c r="K559" s="48"/>
      <c r="L559" s="47"/>
      <c r="M559" s="47"/>
      <c r="N559" s="47"/>
      <c r="O559" s="47"/>
      <c r="P559" s="49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3.2">
      <c r="A560" s="47"/>
      <c r="B560" s="55"/>
      <c r="C560" s="55"/>
      <c r="D560" s="67"/>
      <c r="E560" s="12"/>
      <c r="F560" s="12"/>
      <c r="G560" s="47"/>
      <c r="H560" s="47"/>
      <c r="I560" s="48"/>
      <c r="J560" s="47"/>
      <c r="K560" s="48"/>
      <c r="L560" s="47"/>
      <c r="M560" s="47"/>
      <c r="N560" s="47"/>
      <c r="O560" s="47"/>
      <c r="P560" s="49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26.4">
      <c r="A561" s="45" t="s">
        <v>84</v>
      </c>
      <c r="B561" s="5">
        <v>0</v>
      </c>
      <c r="C561" s="5">
        <v>0</v>
      </c>
      <c r="D561" s="9">
        <v>42992</v>
      </c>
      <c r="E561" s="10">
        <v>341.1</v>
      </c>
      <c r="F561" s="12" t="s">
        <v>21</v>
      </c>
      <c r="G561" s="46">
        <f>AVERAGE(F562:F577)</f>
        <v>7.2357142857142929</v>
      </c>
      <c r="H561" s="47"/>
      <c r="I561" s="13">
        <v>128.6</v>
      </c>
      <c r="J561" s="47"/>
      <c r="K561" s="13">
        <v>24.6</v>
      </c>
      <c r="L561" s="47"/>
      <c r="M561" s="47"/>
      <c r="N561" s="47"/>
      <c r="O561" s="47"/>
      <c r="P561" s="49">
        <f>SUM(O561:O571)-104.4</f>
        <v>332.80000000000007</v>
      </c>
      <c r="Q561" s="7"/>
      <c r="R561" s="7"/>
      <c r="S561" s="73">
        <f>I565-I575</f>
        <v>82.9</v>
      </c>
      <c r="T561" s="7">
        <f>SUM(S561:S566)*3.1</f>
        <v>968.13000000000011</v>
      </c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3.2">
      <c r="A562" s="50" t="s">
        <v>23</v>
      </c>
      <c r="B562" s="5">
        <v>0</v>
      </c>
      <c r="C562" s="5">
        <v>0</v>
      </c>
      <c r="D562" s="9">
        <v>42993</v>
      </c>
      <c r="E562" s="10">
        <v>329</v>
      </c>
      <c r="F562" s="12">
        <f>E561-E562</f>
        <v>12.100000000000023</v>
      </c>
      <c r="G562" s="47"/>
      <c r="H562" s="47"/>
      <c r="I562" s="13">
        <v>124.4</v>
      </c>
      <c r="J562" s="51">
        <f t="shared" ref="J562:J571" si="124">(I561-I562)/(D562-D561)</f>
        <v>4.1999999999999886</v>
      </c>
      <c r="K562" s="13">
        <v>24.1</v>
      </c>
      <c r="L562" s="47"/>
      <c r="M562" s="47"/>
      <c r="N562" s="47"/>
      <c r="O562" s="46">
        <f>396.1-E571</f>
        <v>81.900000000000034</v>
      </c>
      <c r="P562" s="49"/>
      <c r="Q562" s="7"/>
      <c r="R562" s="7"/>
      <c r="S562" s="73">
        <f>43.5-I581</f>
        <v>27.7</v>
      </c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3.2">
      <c r="A563" s="47"/>
      <c r="B563" s="5">
        <v>0</v>
      </c>
      <c r="C563" s="5">
        <v>0</v>
      </c>
      <c r="D563" s="9">
        <v>42996</v>
      </c>
      <c r="E563" s="10">
        <v>305.10000000000002</v>
      </c>
      <c r="F563" s="12">
        <f t="shared" ref="F563:F565" si="125">(E562-E563)/(D563-D562)</f>
        <v>7.9666666666666588</v>
      </c>
      <c r="G563" s="47"/>
      <c r="H563" s="47"/>
      <c r="I563" s="13">
        <v>116.6</v>
      </c>
      <c r="J563" s="51">
        <f t="shared" si="124"/>
        <v>2.6000000000000036</v>
      </c>
      <c r="K563" s="13">
        <v>24.4</v>
      </c>
      <c r="L563" s="47"/>
      <c r="M563" s="47"/>
      <c r="N563" s="47"/>
      <c r="O563" s="46">
        <f>E572-E575</f>
        <v>35.600000000000023</v>
      </c>
      <c r="P563" s="49"/>
      <c r="Q563" s="7"/>
      <c r="R563" s="7"/>
      <c r="S563" s="73">
        <f>90.2-I586</f>
        <v>41.900000000000006</v>
      </c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3.2">
      <c r="A564" s="47"/>
      <c r="B564" s="5">
        <v>0</v>
      </c>
      <c r="C564" s="5">
        <v>0</v>
      </c>
      <c r="D564" s="9">
        <v>42998</v>
      </c>
      <c r="E564" s="10">
        <v>291.2</v>
      </c>
      <c r="F564" s="12">
        <f t="shared" si="125"/>
        <v>6.9500000000000171</v>
      </c>
      <c r="G564" s="47"/>
      <c r="H564" s="47"/>
      <c r="I564" s="13">
        <v>103.3</v>
      </c>
      <c r="J564" s="51">
        <f t="shared" si="124"/>
        <v>6.6499999999999986</v>
      </c>
      <c r="K564" s="13">
        <v>24.6</v>
      </c>
      <c r="L564" s="47"/>
      <c r="M564" s="47"/>
      <c r="N564" s="47"/>
      <c r="O564" s="46">
        <f>E576-E579</f>
        <v>41.600000000000023</v>
      </c>
      <c r="P564" s="49"/>
      <c r="Q564" s="7"/>
      <c r="R564" s="7"/>
      <c r="S564" s="73">
        <f>89.9-I594</f>
        <v>56.300000000000004</v>
      </c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3.2">
      <c r="A565" s="47"/>
      <c r="B565" s="5">
        <v>0.5</v>
      </c>
      <c r="C565" s="5">
        <v>0</v>
      </c>
      <c r="D565" s="9">
        <v>42999</v>
      </c>
      <c r="E565" s="10">
        <v>281.7</v>
      </c>
      <c r="F565" s="12">
        <f t="shared" si="125"/>
        <v>9.5</v>
      </c>
      <c r="G565" s="47"/>
      <c r="H565" s="47"/>
      <c r="I565" s="13">
        <v>98.9</v>
      </c>
      <c r="J565" s="51">
        <f t="shared" si="124"/>
        <v>4.3999999999999915</v>
      </c>
      <c r="K565" s="13">
        <v>25.3</v>
      </c>
      <c r="L565" s="47"/>
      <c r="M565" s="47"/>
      <c r="N565" s="47"/>
      <c r="O565" s="46">
        <f>E580-E583</f>
        <v>39.899999999999977</v>
      </c>
      <c r="P565" s="49"/>
      <c r="Q565" s="7"/>
      <c r="R565" s="7"/>
      <c r="S565" s="73">
        <f>I595-I603</f>
        <v>51.100000000000009</v>
      </c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3.2">
      <c r="A566" s="47"/>
      <c r="B566" s="5">
        <v>0.5</v>
      </c>
      <c r="C566" s="5">
        <f t="shared" ref="C566:C567" si="126">D566-$D565</f>
        <v>1</v>
      </c>
      <c r="D566" s="9">
        <v>43000</v>
      </c>
      <c r="E566" s="10">
        <v>391.4</v>
      </c>
      <c r="F566" s="12">
        <f>(396.1-E566)/(D566-D565)</f>
        <v>4.7000000000000455</v>
      </c>
      <c r="G566" s="47"/>
      <c r="H566" s="47"/>
      <c r="I566" s="13">
        <v>94.3</v>
      </c>
      <c r="J566" s="51">
        <f t="shared" si="124"/>
        <v>4.6000000000000085</v>
      </c>
      <c r="K566" s="13">
        <v>25.1</v>
      </c>
      <c r="L566" s="47"/>
      <c r="M566" s="47"/>
      <c r="N566" s="47"/>
      <c r="O566" s="46">
        <f>E584-E587</f>
        <v>37.5</v>
      </c>
      <c r="P566" s="49"/>
      <c r="Q566" s="7"/>
      <c r="R566" s="7"/>
      <c r="S566" s="73">
        <f>101-I611</f>
        <v>52.4</v>
      </c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3.2">
      <c r="A567" s="47"/>
      <c r="B567" s="5">
        <v>0.5</v>
      </c>
      <c r="C567" s="5">
        <f t="shared" si="126"/>
        <v>3</v>
      </c>
      <c r="D567" s="9">
        <v>43003</v>
      </c>
      <c r="E567" s="10">
        <v>372.8</v>
      </c>
      <c r="F567" s="12">
        <f t="shared" ref="F567:F571" si="127">(E566-E567)/(D567-D566)</f>
        <v>6.1999999999999886</v>
      </c>
      <c r="G567" s="47"/>
      <c r="H567" s="47"/>
      <c r="I567" s="13">
        <v>81.2</v>
      </c>
      <c r="J567" s="51">
        <f t="shared" si="124"/>
        <v>4.3666666666666645</v>
      </c>
      <c r="K567" s="13">
        <v>25.3</v>
      </c>
      <c r="L567" s="47"/>
      <c r="M567" s="47"/>
      <c r="N567" s="47"/>
      <c r="O567" s="46">
        <f>E588-E591</f>
        <v>37.199999999999989</v>
      </c>
      <c r="P567" s="49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3.2">
      <c r="A568" s="47"/>
      <c r="B568" s="5">
        <v>1</v>
      </c>
      <c r="C568" s="5">
        <f>D568-$D565</f>
        <v>6</v>
      </c>
      <c r="D568" s="9">
        <v>43005</v>
      </c>
      <c r="E568" s="10">
        <v>362.6</v>
      </c>
      <c r="F568" s="12">
        <f t="shared" si="127"/>
        <v>5.0999999999999943</v>
      </c>
      <c r="G568" s="47"/>
      <c r="H568" s="47"/>
      <c r="I568" s="13">
        <v>63</v>
      </c>
      <c r="J568" s="51">
        <f t="shared" si="124"/>
        <v>9.1000000000000014</v>
      </c>
      <c r="K568" s="18">
        <v>25.1</v>
      </c>
      <c r="L568" s="47"/>
      <c r="M568" s="47"/>
      <c r="N568" s="47"/>
      <c r="O568" s="46">
        <f>E592-E595</f>
        <v>40</v>
      </c>
      <c r="P568" s="49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3.2">
      <c r="A569" s="47"/>
      <c r="B569" s="5">
        <v>1</v>
      </c>
      <c r="C569" s="5">
        <f>D569-D565</f>
        <v>8</v>
      </c>
      <c r="D569" s="9">
        <v>43007</v>
      </c>
      <c r="E569" s="10">
        <v>351.1</v>
      </c>
      <c r="F569" s="12">
        <f t="shared" si="127"/>
        <v>5.75</v>
      </c>
      <c r="G569" s="47"/>
      <c r="H569" s="47"/>
      <c r="I569" s="13">
        <v>64.3</v>
      </c>
      <c r="J569" s="51">
        <f t="shared" si="124"/>
        <v>-0.64999999999999858</v>
      </c>
      <c r="K569" s="13">
        <v>25.7</v>
      </c>
      <c r="L569" s="47"/>
      <c r="M569" s="47"/>
      <c r="N569" s="47"/>
      <c r="O569" s="46">
        <f>E596-E603</f>
        <v>57.5</v>
      </c>
      <c r="P569" s="49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3.2">
      <c r="A570" s="47"/>
      <c r="B570" s="5">
        <v>1</v>
      </c>
      <c r="C570" s="5">
        <f>D570-D565</f>
        <v>11</v>
      </c>
      <c r="D570" s="19">
        <v>43010</v>
      </c>
      <c r="E570" s="11">
        <v>331.4</v>
      </c>
      <c r="F570" s="12">
        <f t="shared" si="127"/>
        <v>6.5666666666666815</v>
      </c>
      <c r="G570" s="47"/>
      <c r="H570" s="47"/>
      <c r="I570" s="13">
        <v>52.1</v>
      </c>
      <c r="J570" s="51">
        <f t="shared" si="124"/>
        <v>4.0666666666666655</v>
      </c>
      <c r="K570" s="13">
        <v>25.9</v>
      </c>
      <c r="L570" s="47"/>
      <c r="M570" s="47"/>
      <c r="N570" s="47"/>
      <c r="O570" s="46">
        <f>E604-E607</f>
        <v>33.899999999999977</v>
      </c>
      <c r="P570" s="49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3.2">
      <c r="A571" s="47"/>
      <c r="B571" s="5">
        <v>1</v>
      </c>
      <c r="C571" s="5">
        <f>D571-D565</f>
        <v>13</v>
      </c>
      <c r="D571" s="19">
        <v>43012</v>
      </c>
      <c r="E571" s="11">
        <v>314.2</v>
      </c>
      <c r="F571" s="12">
        <f t="shared" si="127"/>
        <v>8.5999999999999943</v>
      </c>
      <c r="G571" s="47"/>
      <c r="H571" s="47"/>
      <c r="I571" s="13">
        <v>44.5</v>
      </c>
      <c r="J571" s="51">
        <f t="shared" si="124"/>
        <v>3.8000000000000007</v>
      </c>
      <c r="K571" s="13">
        <v>25.8</v>
      </c>
      <c r="L571" s="47"/>
      <c r="M571" s="47"/>
      <c r="N571" s="47"/>
      <c r="O571" s="46">
        <f>E608-E611</f>
        <v>32.100000000000023</v>
      </c>
      <c r="P571" s="49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3.2">
      <c r="A572" s="47"/>
      <c r="B572" s="5">
        <v>2</v>
      </c>
      <c r="C572" s="5">
        <f>D572-D565</f>
        <v>14</v>
      </c>
      <c r="D572" s="19">
        <v>43013</v>
      </c>
      <c r="E572" s="11">
        <v>397.8</v>
      </c>
      <c r="F572" s="12"/>
      <c r="G572" s="47"/>
      <c r="H572" s="47"/>
      <c r="I572" s="15" t="s">
        <v>24</v>
      </c>
      <c r="J572" s="47"/>
      <c r="K572" s="15"/>
      <c r="L572" s="47"/>
      <c r="M572" s="47"/>
      <c r="N572" s="47"/>
      <c r="O572" s="47"/>
      <c r="P572" s="49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3.2">
      <c r="A573" s="47"/>
      <c r="B573" s="5">
        <v>2</v>
      </c>
      <c r="C573" s="5">
        <f>D573-$D565</f>
        <v>15</v>
      </c>
      <c r="D573" s="19">
        <v>43014</v>
      </c>
      <c r="E573" s="11">
        <v>391.2</v>
      </c>
      <c r="F573" s="12">
        <f t="shared" ref="F573:F575" si="128">(E572-E573)/(D573-D572)</f>
        <v>6.6000000000000227</v>
      </c>
      <c r="G573" s="47"/>
      <c r="H573" s="47"/>
      <c r="I573" s="13">
        <v>36.299999999999997</v>
      </c>
      <c r="J573" s="47">
        <f>(81.9-I573)/(D573-D572)</f>
        <v>45.600000000000009</v>
      </c>
      <c r="K573" s="13">
        <v>26.3</v>
      </c>
      <c r="L573" s="47"/>
      <c r="M573" s="47"/>
      <c r="N573" s="47"/>
      <c r="O573" s="47"/>
      <c r="P573" s="49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3.2">
      <c r="A574" s="47"/>
      <c r="B574" s="5">
        <v>2</v>
      </c>
      <c r="C574" s="5">
        <f t="shared" ref="C574:C615" si="129">D574-$D$6</f>
        <v>18</v>
      </c>
      <c r="D574" s="19">
        <v>43017</v>
      </c>
      <c r="E574" s="11">
        <v>376</v>
      </c>
      <c r="F574" s="12">
        <f t="shared" si="128"/>
        <v>5.0666666666666629</v>
      </c>
      <c r="G574" s="47"/>
      <c r="H574" s="47"/>
      <c r="I574" s="13">
        <v>24.2</v>
      </c>
      <c r="J574" s="51">
        <f t="shared" ref="J574:J575" si="130">(I573-I574)/(D574-D573)</f>
        <v>4.0333333333333323</v>
      </c>
      <c r="K574" s="13">
        <v>26.5</v>
      </c>
      <c r="L574" s="47"/>
      <c r="M574" s="47"/>
      <c r="N574" s="47"/>
      <c r="O574" s="47"/>
      <c r="P574" s="49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3.2">
      <c r="A575" s="47"/>
      <c r="B575" s="5">
        <v>2</v>
      </c>
      <c r="C575" s="5">
        <f t="shared" si="129"/>
        <v>20</v>
      </c>
      <c r="D575" s="19">
        <v>43019</v>
      </c>
      <c r="E575" s="11">
        <v>362.2</v>
      </c>
      <c r="F575" s="12">
        <f t="shared" si="128"/>
        <v>6.9000000000000057</v>
      </c>
      <c r="G575" s="47"/>
      <c r="H575" s="47"/>
      <c r="I575" s="13">
        <v>16</v>
      </c>
      <c r="J575" s="51">
        <f t="shared" si="130"/>
        <v>4.0999999999999996</v>
      </c>
      <c r="K575" s="13">
        <v>26.3</v>
      </c>
      <c r="L575" s="47"/>
      <c r="M575" s="47"/>
      <c r="N575" s="47"/>
      <c r="O575" s="47"/>
      <c r="P575" s="49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3.2">
      <c r="A576" s="47"/>
      <c r="B576" s="5">
        <v>3</v>
      </c>
      <c r="C576" s="5">
        <f t="shared" si="129"/>
        <v>21</v>
      </c>
      <c r="D576" s="19">
        <v>43020</v>
      </c>
      <c r="E576" s="11">
        <v>393.3</v>
      </c>
      <c r="F576" s="12"/>
      <c r="G576" s="47"/>
      <c r="H576" s="47"/>
      <c r="I576" s="15"/>
      <c r="J576" s="47"/>
      <c r="K576" s="15"/>
      <c r="L576" s="47"/>
      <c r="M576" s="47"/>
      <c r="N576" s="47"/>
      <c r="O576" s="47"/>
      <c r="P576" s="49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3.2">
      <c r="A577" s="47"/>
      <c r="B577" s="5">
        <v>3</v>
      </c>
      <c r="C577" s="5">
        <f t="shared" si="129"/>
        <v>22</v>
      </c>
      <c r="D577" s="19">
        <f>D575+2</f>
        <v>43021</v>
      </c>
      <c r="E577" s="11">
        <v>384</v>
      </c>
      <c r="F577" s="12">
        <f t="shared" ref="F577:F579" si="131">(E576-E577)/(D577-D576)</f>
        <v>9.3000000000000114</v>
      </c>
      <c r="G577" s="47"/>
      <c r="H577" s="47"/>
      <c r="I577" s="13">
        <v>35.5</v>
      </c>
      <c r="J577" s="51">
        <f>(43.5-I577)/(D577-D575)</f>
        <v>4</v>
      </c>
      <c r="K577" s="13">
        <v>26.3</v>
      </c>
      <c r="L577" s="47"/>
      <c r="M577" s="47"/>
      <c r="N577" s="47"/>
      <c r="O577" s="47"/>
      <c r="P577" s="49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3.2">
      <c r="A578" s="47"/>
      <c r="B578" s="5">
        <v>3</v>
      </c>
      <c r="C578" s="5">
        <f t="shared" si="129"/>
        <v>25</v>
      </c>
      <c r="D578" s="19">
        <f>D577+3</f>
        <v>43024</v>
      </c>
      <c r="E578" s="11">
        <v>366.4</v>
      </c>
      <c r="F578" s="12">
        <f t="shared" si="131"/>
        <v>5.8666666666666742</v>
      </c>
      <c r="G578" s="47"/>
      <c r="H578" s="47"/>
      <c r="I578" s="18">
        <v>33.799999999999997</v>
      </c>
      <c r="J578" s="51">
        <f t="shared" ref="J578:J579" si="132">(46-I578)/(D578-D577)</f>
        <v>4.0666666666666673</v>
      </c>
      <c r="K578" s="18">
        <v>26.9</v>
      </c>
      <c r="L578" s="47"/>
      <c r="M578" s="47"/>
      <c r="N578" s="47"/>
      <c r="O578" s="47"/>
      <c r="P578" s="49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3.2">
      <c r="A579" s="47"/>
      <c r="B579" s="5">
        <v>3</v>
      </c>
      <c r="C579" s="5">
        <f t="shared" si="129"/>
        <v>27</v>
      </c>
      <c r="D579" s="19">
        <f>D578+2</f>
        <v>43026</v>
      </c>
      <c r="E579" s="11">
        <v>351.7</v>
      </c>
      <c r="F579" s="12">
        <f t="shared" si="131"/>
        <v>7.3499999999999943</v>
      </c>
      <c r="G579" s="47"/>
      <c r="H579" s="47"/>
      <c r="I579" s="18">
        <v>26.1</v>
      </c>
      <c r="J579" s="47">
        <f t="shared" si="132"/>
        <v>9.9499999999999993</v>
      </c>
      <c r="K579" s="18">
        <v>26.9</v>
      </c>
      <c r="L579" s="47"/>
      <c r="M579" s="47"/>
      <c r="N579" s="47"/>
      <c r="O579" s="47"/>
      <c r="P579" s="49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3.2">
      <c r="A580" s="47"/>
      <c r="B580" s="5">
        <v>4</v>
      </c>
      <c r="C580" s="5">
        <f t="shared" si="129"/>
        <v>28</v>
      </c>
      <c r="D580" s="20">
        <v>43027</v>
      </c>
      <c r="E580" s="11">
        <v>395.5</v>
      </c>
      <c r="F580" s="12"/>
      <c r="G580" s="47"/>
      <c r="H580" s="47"/>
      <c r="I580" s="48"/>
      <c r="J580" s="47"/>
      <c r="K580" s="48"/>
      <c r="L580" s="47"/>
      <c r="M580" s="47"/>
      <c r="N580" s="47"/>
      <c r="O580" s="47"/>
      <c r="P580" s="49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3.2">
      <c r="A581" s="47"/>
      <c r="B581" s="5">
        <v>4</v>
      </c>
      <c r="C581" s="5">
        <f t="shared" si="129"/>
        <v>29</v>
      </c>
      <c r="D581" s="19">
        <f>D579+2</f>
        <v>43028</v>
      </c>
      <c r="E581" s="11">
        <v>386</v>
      </c>
      <c r="F581" s="12">
        <f t="shared" ref="F581:F583" si="133">(E580-E581)/(D581-D580)</f>
        <v>9.5</v>
      </c>
      <c r="G581" s="47"/>
      <c r="H581" s="47"/>
      <c r="I581" s="18">
        <v>15.8</v>
      </c>
      <c r="J581" s="47">
        <f>(I579-I581)/(D581-D579)</f>
        <v>5.15</v>
      </c>
      <c r="K581" s="18">
        <v>26.5</v>
      </c>
      <c r="L581" s="47"/>
      <c r="M581" s="47"/>
      <c r="N581" s="47"/>
      <c r="O581" s="47"/>
      <c r="P581" s="49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3.2">
      <c r="A582" s="47"/>
      <c r="B582" s="5">
        <v>4</v>
      </c>
      <c r="C582" s="5">
        <f t="shared" si="129"/>
        <v>32</v>
      </c>
      <c r="D582" s="19">
        <v>43031</v>
      </c>
      <c r="E582" s="11">
        <v>368.6</v>
      </c>
      <c r="F582" s="12">
        <f t="shared" si="133"/>
        <v>5.7999999999999927</v>
      </c>
      <c r="G582" s="47"/>
      <c r="H582" s="47"/>
      <c r="I582" s="18">
        <v>75.2</v>
      </c>
      <c r="J582" s="47">
        <f>(90.2-I582)/(D582-D581)</f>
        <v>5</v>
      </c>
      <c r="K582" s="18">
        <v>27.5</v>
      </c>
      <c r="L582" s="47"/>
      <c r="M582" s="47"/>
      <c r="N582" s="47"/>
      <c r="O582" s="47"/>
      <c r="P582" s="49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3.2">
      <c r="A583" s="47"/>
      <c r="B583" s="5">
        <v>4</v>
      </c>
      <c r="C583" s="5">
        <f t="shared" si="129"/>
        <v>34</v>
      </c>
      <c r="D583" s="19">
        <v>43033</v>
      </c>
      <c r="E583" s="11">
        <v>355.6</v>
      </c>
      <c r="F583" s="12">
        <f t="shared" si="133"/>
        <v>6.5</v>
      </c>
      <c r="G583" s="47"/>
      <c r="H583" s="47"/>
      <c r="I583" s="18">
        <v>67.3</v>
      </c>
      <c r="J583" s="47">
        <f>(I582-I583)/(D583-D582)</f>
        <v>3.9500000000000028</v>
      </c>
      <c r="K583" s="18">
        <v>27.2</v>
      </c>
      <c r="L583" s="47"/>
      <c r="M583" s="47"/>
      <c r="N583" s="47"/>
      <c r="O583" s="47"/>
      <c r="P583" s="49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3.2">
      <c r="A584" s="47"/>
      <c r="B584" s="5">
        <v>5</v>
      </c>
      <c r="C584" s="5">
        <f t="shared" si="129"/>
        <v>35</v>
      </c>
      <c r="D584" s="20">
        <v>43034</v>
      </c>
      <c r="E584" s="11">
        <v>374.9</v>
      </c>
      <c r="F584" s="12"/>
      <c r="G584" s="47"/>
      <c r="H584" s="47"/>
      <c r="I584" s="48"/>
      <c r="J584" s="47"/>
      <c r="K584" s="48"/>
      <c r="L584" s="47"/>
      <c r="M584" s="47"/>
      <c r="N584" s="47"/>
      <c r="O584" s="47"/>
      <c r="P584" s="49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3.2">
      <c r="A585" s="47"/>
      <c r="B585" s="5">
        <v>5</v>
      </c>
      <c r="C585" s="5">
        <f t="shared" si="129"/>
        <v>36</v>
      </c>
      <c r="D585" s="19">
        <v>43035</v>
      </c>
      <c r="E585" s="11">
        <v>367.8</v>
      </c>
      <c r="F585" s="12">
        <f t="shared" ref="F585:F587" si="134">(E584-E585)/(D585-D584)</f>
        <v>7.0999999999999659</v>
      </c>
      <c r="G585" s="47"/>
      <c r="H585" s="47"/>
      <c r="I585" s="18">
        <v>59.1</v>
      </c>
      <c r="J585" s="47">
        <f>(I583-I585)/(D585-D583)</f>
        <v>4.0999999999999979</v>
      </c>
      <c r="K585" s="18">
        <v>27.8</v>
      </c>
      <c r="L585" s="47"/>
      <c r="M585" s="47"/>
      <c r="N585" s="47"/>
      <c r="O585" s="47"/>
      <c r="P585" s="49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3.2">
      <c r="A586" s="47"/>
      <c r="B586" s="5">
        <v>5</v>
      </c>
      <c r="C586" s="5">
        <f t="shared" si="129"/>
        <v>39</v>
      </c>
      <c r="D586" s="19">
        <v>43038</v>
      </c>
      <c r="E586" s="11">
        <v>349.4</v>
      </c>
      <c r="F586" s="12">
        <f t="shared" si="134"/>
        <v>6.1333333333333444</v>
      </c>
      <c r="G586" s="47"/>
      <c r="H586" s="47"/>
      <c r="I586" s="18">
        <v>48.3</v>
      </c>
      <c r="J586" s="47">
        <f>(I585-I586)/(D586-D585)</f>
        <v>3.6000000000000014</v>
      </c>
      <c r="K586" s="18">
        <v>27.1</v>
      </c>
      <c r="L586" s="47"/>
      <c r="M586" s="47"/>
      <c r="N586" s="47"/>
      <c r="O586" s="47"/>
      <c r="P586" s="49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3.2">
      <c r="A587" s="47"/>
      <c r="B587" s="5">
        <v>5</v>
      </c>
      <c r="C587" s="5">
        <f t="shared" si="129"/>
        <v>41</v>
      </c>
      <c r="D587" s="19">
        <v>43040</v>
      </c>
      <c r="E587" s="11">
        <v>337.4</v>
      </c>
      <c r="F587" s="12">
        <f t="shared" si="134"/>
        <v>6</v>
      </c>
      <c r="G587" s="47"/>
      <c r="H587" s="47"/>
      <c r="I587" s="18">
        <v>80</v>
      </c>
      <c r="J587" s="47">
        <f>(89.9-I587)/(D587-D586)</f>
        <v>4.9500000000000028</v>
      </c>
      <c r="K587" s="18">
        <v>28.1</v>
      </c>
      <c r="L587" s="47"/>
      <c r="M587" s="47"/>
      <c r="N587" s="47"/>
      <c r="O587" s="47"/>
      <c r="P587" s="49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3.2">
      <c r="A588" s="47"/>
      <c r="B588" s="5">
        <v>6</v>
      </c>
      <c r="C588" s="5">
        <f t="shared" si="129"/>
        <v>42</v>
      </c>
      <c r="D588" s="20">
        <v>43041</v>
      </c>
      <c r="E588" s="11">
        <v>361.4</v>
      </c>
      <c r="F588" s="12"/>
      <c r="G588" s="47"/>
      <c r="H588" s="47"/>
      <c r="I588" s="48"/>
      <c r="J588" s="47"/>
      <c r="K588" s="48"/>
      <c r="L588" s="47"/>
      <c r="M588" s="47"/>
      <c r="N588" s="47"/>
      <c r="O588" s="47"/>
      <c r="P588" s="49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3.2">
      <c r="A589" s="47"/>
      <c r="B589" s="5">
        <v>6</v>
      </c>
      <c r="C589" s="5">
        <f t="shared" si="129"/>
        <v>43</v>
      </c>
      <c r="D589" s="19">
        <v>43042</v>
      </c>
      <c r="E589" s="11">
        <v>353.6</v>
      </c>
      <c r="F589" s="12">
        <f t="shared" ref="F589:F591" si="135">(E588-E589)/(D589-D588)</f>
        <v>7.7999999999999545</v>
      </c>
      <c r="G589" s="47"/>
      <c r="H589" s="47"/>
      <c r="I589" s="18">
        <v>73.3</v>
      </c>
      <c r="J589" s="47">
        <f>(I587-I589)/(D589-D587)</f>
        <v>3.3500000000000014</v>
      </c>
      <c r="K589" s="18">
        <v>28.3</v>
      </c>
      <c r="L589" s="47"/>
      <c r="M589" s="47"/>
      <c r="N589" s="47"/>
      <c r="O589" s="47"/>
      <c r="P589" s="49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3.2">
      <c r="A590" s="47"/>
      <c r="B590" s="5">
        <v>6</v>
      </c>
      <c r="C590" s="5">
        <f t="shared" si="129"/>
        <v>46</v>
      </c>
      <c r="D590" s="19">
        <v>43045</v>
      </c>
      <c r="E590" s="11">
        <v>335.9</v>
      </c>
      <c r="F590" s="12">
        <f t="shared" si="135"/>
        <v>5.9000000000000155</v>
      </c>
      <c r="G590" s="47"/>
      <c r="H590" s="47"/>
      <c r="I590" s="18">
        <v>61</v>
      </c>
      <c r="J590" s="47">
        <f t="shared" ref="J590:J591" si="136">(I589-I590)/(D590-D589)</f>
        <v>4.0999999999999988</v>
      </c>
      <c r="K590" s="18">
        <v>28.4</v>
      </c>
      <c r="L590" s="47"/>
      <c r="M590" s="47"/>
      <c r="N590" s="47"/>
      <c r="O590" s="47"/>
      <c r="P590" s="49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3.2">
      <c r="A591" s="47"/>
      <c r="B591" s="5">
        <v>6</v>
      </c>
      <c r="C591" s="5">
        <f t="shared" si="129"/>
        <v>48</v>
      </c>
      <c r="D591" s="19">
        <v>43047</v>
      </c>
      <c r="E591" s="11">
        <v>324.2</v>
      </c>
      <c r="F591" s="12">
        <f t="shared" si="135"/>
        <v>5.8499999999999943</v>
      </c>
      <c r="G591" s="47"/>
      <c r="H591" s="47"/>
      <c r="I591" s="18">
        <v>52.5</v>
      </c>
      <c r="J591" s="47">
        <f t="shared" si="136"/>
        <v>4.25</v>
      </c>
      <c r="K591" s="18">
        <v>28.5</v>
      </c>
      <c r="L591" s="47"/>
      <c r="M591" s="47"/>
      <c r="N591" s="47"/>
      <c r="O591" s="47"/>
      <c r="P591" s="49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3.2">
      <c r="A592" s="47"/>
      <c r="B592" s="5">
        <v>7</v>
      </c>
      <c r="C592" s="5">
        <f t="shared" si="129"/>
        <v>49</v>
      </c>
      <c r="D592" s="20">
        <v>43048</v>
      </c>
      <c r="E592" s="11">
        <v>390.5</v>
      </c>
      <c r="F592" s="12"/>
      <c r="G592" s="47"/>
      <c r="H592" s="47"/>
      <c r="I592" s="48"/>
      <c r="J592" s="47"/>
      <c r="K592" s="48"/>
      <c r="L592" s="47"/>
      <c r="M592" s="47"/>
      <c r="N592" s="47"/>
      <c r="O592" s="47"/>
      <c r="P592" s="49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3.2">
      <c r="A593" s="47"/>
      <c r="B593" s="5">
        <v>7</v>
      </c>
      <c r="C593" s="5">
        <f t="shared" si="129"/>
        <v>50</v>
      </c>
      <c r="D593" s="19">
        <v>43049</v>
      </c>
      <c r="E593" s="11">
        <v>384.1</v>
      </c>
      <c r="F593" s="12">
        <f t="shared" ref="F593:F595" si="137">(E592-E593)/(D593-D592)</f>
        <v>6.3999999999999773</v>
      </c>
      <c r="G593" s="47"/>
      <c r="H593" s="47"/>
      <c r="I593" s="18">
        <v>44.7</v>
      </c>
      <c r="J593" s="47">
        <f>(I591-I593)/(D593-D591)</f>
        <v>3.8999999999999986</v>
      </c>
      <c r="K593" s="18">
        <v>28.8</v>
      </c>
      <c r="L593" s="47"/>
      <c r="M593" s="47"/>
      <c r="N593" s="47"/>
      <c r="O593" s="47"/>
      <c r="P593" s="49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3.2">
      <c r="A594" s="47"/>
      <c r="B594" s="5">
        <v>7</v>
      </c>
      <c r="C594" s="5">
        <f t="shared" si="129"/>
        <v>53</v>
      </c>
      <c r="D594" s="19">
        <v>43052</v>
      </c>
      <c r="E594" s="11">
        <v>371.2</v>
      </c>
      <c r="F594" s="12">
        <f t="shared" si="137"/>
        <v>4.3000000000000114</v>
      </c>
      <c r="G594" s="47"/>
      <c r="H594" s="47"/>
      <c r="I594" s="18">
        <v>33.6</v>
      </c>
      <c r="J594" s="47">
        <f>(I593-I594)/(D594-D593)</f>
        <v>3.7000000000000006</v>
      </c>
      <c r="K594" s="18">
        <v>28.4</v>
      </c>
      <c r="L594" s="47"/>
      <c r="M594" s="47"/>
      <c r="N594" s="47"/>
      <c r="O594" s="47"/>
      <c r="P594" s="49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3.2">
      <c r="A595" s="47"/>
      <c r="B595" s="5">
        <v>7</v>
      </c>
      <c r="C595" s="5">
        <f t="shared" si="129"/>
        <v>55</v>
      </c>
      <c r="D595" s="19">
        <v>43054</v>
      </c>
      <c r="E595" s="11">
        <v>350.5</v>
      </c>
      <c r="F595" s="12">
        <f t="shared" si="137"/>
        <v>10.349999999999994</v>
      </c>
      <c r="G595" s="47"/>
      <c r="H595" s="47"/>
      <c r="I595" s="18">
        <v>88.9</v>
      </c>
      <c r="J595" s="48"/>
      <c r="K595" s="18">
        <v>28.4</v>
      </c>
      <c r="L595" s="47"/>
      <c r="M595" s="47"/>
      <c r="N595" s="47"/>
      <c r="O595" s="47"/>
      <c r="P595" s="49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3.2">
      <c r="A596" s="47"/>
      <c r="B596" s="5">
        <v>8</v>
      </c>
      <c r="C596" s="5">
        <f t="shared" si="129"/>
        <v>56</v>
      </c>
      <c r="D596" s="20">
        <v>43055</v>
      </c>
      <c r="E596" s="11">
        <v>395</v>
      </c>
      <c r="F596" s="12"/>
      <c r="G596" s="47"/>
      <c r="H596" s="47"/>
      <c r="I596" s="48"/>
      <c r="J596" s="47"/>
      <c r="K596" s="48"/>
      <c r="L596" s="47"/>
      <c r="M596" s="47"/>
      <c r="N596" s="47"/>
      <c r="O596" s="47"/>
      <c r="P596" s="49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3.2">
      <c r="A597" s="47"/>
      <c r="B597" s="5">
        <v>8</v>
      </c>
      <c r="C597" s="5">
        <f t="shared" si="129"/>
        <v>57</v>
      </c>
      <c r="D597" s="20">
        <v>43056</v>
      </c>
      <c r="E597" s="11">
        <v>387.1</v>
      </c>
      <c r="F597" s="12">
        <f t="shared" ref="F597:F598" si="138">(E596-E597)/(D597-D596)</f>
        <v>7.8999999999999773</v>
      </c>
      <c r="G597" s="47"/>
      <c r="H597" s="47"/>
      <c r="I597" s="18">
        <v>81.400000000000006</v>
      </c>
      <c r="J597" s="47">
        <f>(I595-I597)/(D597-D595)</f>
        <v>3.75</v>
      </c>
      <c r="K597" s="18">
        <v>29.3</v>
      </c>
      <c r="L597" s="47"/>
      <c r="M597" s="47"/>
      <c r="N597" s="47"/>
      <c r="O597" s="47"/>
      <c r="P597" s="49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3.2">
      <c r="A598" s="47"/>
      <c r="B598" s="5">
        <v>8</v>
      </c>
      <c r="C598" s="5">
        <f t="shared" si="129"/>
        <v>60</v>
      </c>
      <c r="D598" s="20">
        <v>43059</v>
      </c>
      <c r="E598" s="11">
        <v>372.9</v>
      </c>
      <c r="F598" s="12">
        <f t="shared" si="138"/>
        <v>4.7333333333333485</v>
      </c>
      <c r="G598" s="47"/>
      <c r="H598" s="47"/>
      <c r="I598" s="18">
        <v>70.7</v>
      </c>
      <c r="J598" s="48">
        <f>(I597-I598)/(D598-D597)</f>
        <v>3.5666666666666678</v>
      </c>
      <c r="K598" s="18">
        <v>29.1</v>
      </c>
      <c r="L598" s="47"/>
      <c r="M598" s="47"/>
      <c r="N598" s="47"/>
      <c r="O598" s="47"/>
      <c r="P598" s="49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3.2">
      <c r="A599" s="47"/>
      <c r="B599" s="5">
        <v>8</v>
      </c>
      <c r="C599" s="5">
        <f t="shared" si="129"/>
        <v>61</v>
      </c>
      <c r="D599" s="20">
        <v>43060</v>
      </c>
      <c r="E599" s="11">
        <v>377.1</v>
      </c>
      <c r="F599" s="12"/>
      <c r="G599" s="47"/>
      <c r="H599" s="47"/>
      <c r="I599" s="48"/>
      <c r="J599" s="47"/>
      <c r="K599" s="48"/>
      <c r="L599" s="47"/>
      <c r="M599" s="47"/>
      <c r="N599" s="47"/>
      <c r="O599" s="47"/>
      <c r="P599" s="49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3.2">
      <c r="A600" s="47"/>
      <c r="B600" s="5">
        <v>8</v>
      </c>
      <c r="C600" s="5">
        <f t="shared" si="129"/>
        <v>62</v>
      </c>
      <c r="D600" s="20">
        <v>43061</v>
      </c>
      <c r="E600" s="11">
        <v>371.9</v>
      </c>
      <c r="F600" s="12">
        <f t="shared" ref="F600:F603" si="139">(E599-E600)/(D600-D599)</f>
        <v>5.2000000000000455</v>
      </c>
      <c r="G600" s="47"/>
      <c r="H600" s="47"/>
      <c r="I600" s="18">
        <v>62.7</v>
      </c>
      <c r="J600" s="48">
        <f>(I598-I600)/(D600-D598)</f>
        <v>4</v>
      </c>
      <c r="K600" s="18">
        <v>29.1</v>
      </c>
      <c r="L600" s="47"/>
      <c r="M600" s="47"/>
      <c r="N600" s="47"/>
      <c r="O600" s="47"/>
      <c r="P600" s="49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3.2">
      <c r="A601" s="47"/>
      <c r="B601" s="5">
        <v>9</v>
      </c>
      <c r="C601" s="5">
        <f t="shared" si="129"/>
        <v>64</v>
      </c>
      <c r="D601" s="20">
        <v>43063</v>
      </c>
      <c r="E601" s="11">
        <v>361.2</v>
      </c>
      <c r="F601" s="12">
        <f t="shared" si="139"/>
        <v>5.3499999999999943</v>
      </c>
      <c r="G601" s="47"/>
      <c r="H601" s="47"/>
      <c r="I601" s="18">
        <v>54.9</v>
      </c>
      <c r="J601" s="48">
        <f t="shared" ref="J601:J603" si="140">(I600-I601)/(D601-D600)</f>
        <v>3.9000000000000021</v>
      </c>
      <c r="K601" s="18">
        <v>29.6</v>
      </c>
      <c r="L601" s="47"/>
      <c r="M601" s="47"/>
      <c r="N601" s="47"/>
      <c r="O601" s="47"/>
      <c r="P601" s="49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3.2">
      <c r="A602" s="47"/>
      <c r="B602" s="5">
        <v>9</v>
      </c>
      <c r="C602" s="5">
        <f t="shared" si="129"/>
        <v>67</v>
      </c>
      <c r="D602" s="23">
        <v>43066</v>
      </c>
      <c r="E602" s="11">
        <v>347</v>
      </c>
      <c r="F602" s="12">
        <f t="shared" si="139"/>
        <v>4.7333333333333298</v>
      </c>
      <c r="G602" s="47"/>
      <c r="H602" s="47"/>
      <c r="I602" s="18">
        <v>44.2</v>
      </c>
      <c r="J602" s="48">
        <f t="shared" si="140"/>
        <v>3.5666666666666651</v>
      </c>
      <c r="K602" s="18">
        <v>29.8</v>
      </c>
      <c r="L602" s="47"/>
      <c r="M602" s="47"/>
      <c r="N602" s="47"/>
      <c r="O602" s="47"/>
      <c r="P602" s="49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3.2">
      <c r="A603" s="47"/>
      <c r="B603" s="5">
        <v>9</v>
      </c>
      <c r="C603" s="5">
        <f t="shared" si="129"/>
        <v>69</v>
      </c>
      <c r="D603" s="23">
        <v>43068</v>
      </c>
      <c r="E603" s="11">
        <v>337.5</v>
      </c>
      <c r="F603" s="12">
        <f t="shared" si="139"/>
        <v>4.75</v>
      </c>
      <c r="G603" s="47"/>
      <c r="H603" s="47"/>
      <c r="I603" s="18">
        <v>37.799999999999997</v>
      </c>
      <c r="J603" s="48">
        <f t="shared" si="140"/>
        <v>3.2000000000000028</v>
      </c>
      <c r="K603" s="18">
        <v>29</v>
      </c>
      <c r="L603" s="47"/>
      <c r="M603" s="47"/>
      <c r="N603" s="47"/>
      <c r="O603" s="47"/>
      <c r="P603" s="49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3.2">
      <c r="A604" s="47"/>
      <c r="B604" s="5">
        <v>9</v>
      </c>
      <c r="C604" s="5">
        <f t="shared" si="129"/>
        <v>70</v>
      </c>
      <c r="D604" s="23">
        <v>43069</v>
      </c>
      <c r="E604" s="11">
        <v>373.5</v>
      </c>
      <c r="F604" s="12"/>
      <c r="G604" s="47"/>
      <c r="H604" s="47"/>
      <c r="I604" s="48"/>
      <c r="J604" s="47"/>
      <c r="K604" s="48"/>
      <c r="L604" s="47"/>
      <c r="M604" s="47"/>
      <c r="N604" s="47"/>
      <c r="O604" s="47"/>
      <c r="P604" s="49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3.2">
      <c r="A605" s="47"/>
      <c r="B605" s="5">
        <v>10</v>
      </c>
      <c r="C605" s="5">
        <f t="shared" si="129"/>
        <v>71</v>
      </c>
      <c r="D605" s="23">
        <v>43070</v>
      </c>
      <c r="E605" s="11">
        <v>364.8</v>
      </c>
      <c r="F605" s="12">
        <f t="shared" ref="F605:F607" si="141">(E604-E605)/(D605-D604)</f>
        <v>8.6999999999999886</v>
      </c>
      <c r="G605" s="47"/>
      <c r="H605" s="47"/>
      <c r="I605" s="18">
        <v>91.8</v>
      </c>
      <c r="J605" s="47">
        <f>(101-I605)/(D605-D603)</f>
        <v>4.6000000000000014</v>
      </c>
      <c r="K605" s="18">
        <v>29.9</v>
      </c>
      <c r="L605" s="47"/>
      <c r="M605" s="47"/>
      <c r="N605" s="47"/>
      <c r="O605" s="47"/>
      <c r="P605" s="49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3.2">
      <c r="A606" s="47"/>
      <c r="B606" s="5">
        <v>10</v>
      </c>
      <c r="C606" s="5">
        <f t="shared" si="129"/>
        <v>74</v>
      </c>
      <c r="D606" s="23">
        <v>43073</v>
      </c>
      <c r="E606" s="11">
        <v>352</v>
      </c>
      <c r="F606" s="12">
        <f t="shared" si="141"/>
        <v>4.2666666666666702</v>
      </c>
      <c r="G606" s="47"/>
      <c r="H606" s="47"/>
      <c r="I606" s="18">
        <v>79.7</v>
      </c>
      <c r="J606" s="48">
        <f t="shared" ref="J606:J607" si="142">(I605-I606)/(D606-D605)</f>
        <v>4.0333333333333314</v>
      </c>
      <c r="K606" s="18">
        <v>30.4</v>
      </c>
      <c r="L606" s="47"/>
      <c r="M606" s="47"/>
      <c r="N606" s="47"/>
      <c r="O606" s="47"/>
      <c r="P606" s="49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3.2">
      <c r="A607" s="47"/>
      <c r="B607" s="5">
        <v>10</v>
      </c>
      <c r="C607" s="5">
        <f t="shared" si="129"/>
        <v>76</v>
      </c>
      <c r="D607" s="23">
        <v>43075</v>
      </c>
      <c r="E607" s="11">
        <v>339.6</v>
      </c>
      <c r="F607" s="12">
        <f t="shared" si="141"/>
        <v>6.1999999999999886</v>
      </c>
      <c r="G607" s="47"/>
      <c r="H607" s="47"/>
      <c r="I607" s="18">
        <v>72.400000000000006</v>
      </c>
      <c r="J607" s="48">
        <f t="shared" si="142"/>
        <v>3.6499999999999986</v>
      </c>
      <c r="K607" s="18">
        <v>30.4</v>
      </c>
      <c r="L607" s="47"/>
      <c r="M607" s="47"/>
      <c r="N607" s="47"/>
      <c r="O607" s="47"/>
      <c r="P607" s="49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3.2">
      <c r="A608" s="47"/>
      <c r="B608" s="5">
        <v>10</v>
      </c>
      <c r="C608" s="5">
        <f t="shared" si="129"/>
        <v>77</v>
      </c>
      <c r="D608" s="24">
        <v>43076</v>
      </c>
      <c r="E608" s="11">
        <v>377.5</v>
      </c>
      <c r="F608" s="12"/>
      <c r="G608" s="47"/>
      <c r="H608" s="47"/>
      <c r="I608" s="48"/>
      <c r="J608" s="47"/>
      <c r="K608" s="48"/>
      <c r="L608" s="47"/>
      <c r="M608" s="47"/>
      <c r="N608" s="47"/>
      <c r="O608" s="47"/>
      <c r="P608" s="49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3.2">
      <c r="A609" s="47"/>
      <c r="B609" s="5">
        <v>11</v>
      </c>
      <c r="C609" s="5">
        <f t="shared" si="129"/>
        <v>78</v>
      </c>
      <c r="D609" s="24">
        <v>43077</v>
      </c>
      <c r="E609" s="11">
        <v>371.3</v>
      </c>
      <c r="F609" s="12">
        <f t="shared" ref="F609:F611" si="143">(E608-E609)/(D609-D608)</f>
        <v>6.1999999999999886</v>
      </c>
      <c r="G609" s="47"/>
      <c r="H609" s="47"/>
      <c r="I609" s="18">
        <v>65.599999999999994</v>
      </c>
      <c r="J609" s="48">
        <f>(I607-I609)/(D609-D607)</f>
        <v>3.4000000000000057</v>
      </c>
      <c r="K609" s="18">
        <v>30.1</v>
      </c>
      <c r="L609" s="47"/>
      <c r="M609" s="47"/>
      <c r="N609" s="47"/>
      <c r="O609" s="47"/>
      <c r="P609" s="49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3.2">
      <c r="A610" s="47"/>
      <c r="B610" s="5">
        <v>11</v>
      </c>
      <c r="C610" s="5">
        <f t="shared" si="129"/>
        <v>81</v>
      </c>
      <c r="D610" s="24">
        <v>43080</v>
      </c>
      <c r="E610" s="11">
        <v>358.3</v>
      </c>
      <c r="F610" s="12">
        <f t="shared" si="143"/>
        <v>4.333333333333333</v>
      </c>
      <c r="G610" s="47"/>
      <c r="H610" s="47"/>
      <c r="I610" s="18">
        <v>55.5</v>
      </c>
      <c r="J610" s="48">
        <f t="shared" ref="J610:J611" si="144">(I609-I610)/(D610-D609)</f>
        <v>3.3666666666666649</v>
      </c>
      <c r="K610" s="18">
        <v>29.6</v>
      </c>
      <c r="L610" s="47"/>
      <c r="M610" s="47"/>
      <c r="N610" s="47"/>
      <c r="O610" s="47"/>
      <c r="P610" s="49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3.2">
      <c r="A611" s="50" t="s">
        <v>46</v>
      </c>
      <c r="B611" s="5">
        <v>11</v>
      </c>
      <c r="C611" s="5">
        <f t="shared" si="129"/>
        <v>83</v>
      </c>
      <c r="D611" s="25">
        <v>43082</v>
      </c>
      <c r="E611" s="11">
        <v>345.4</v>
      </c>
      <c r="F611" s="12">
        <f t="shared" si="143"/>
        <v>6.4500000000000171</v>
      </c>
      <c r="G611" s="47"/>
      <c r="H611" s="47"/>
      <c r="I611" s="18">
        <v>48.6</v>
      </c>
      <c r="J611" s="48">
        <f t="shared" si="144"/>
        <v>3.4499999999999993</v>
      </c>
      <c r="K611" s="18">
        <v>29.5</v>
      </c>
      <c r="L611" s="47"/>
      <c r="M611" s="47"/>
      <c r="N611" s="47"/>
      <c r="O611" s="47"/>
      <c r="P611" s="49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3.2">
      <c r="A612" s="57" t="s">
        <v>28</v>
      </c>
      <c r="B612" s="59">
        <v>11</v>
      </c>
      <c r="C612" s="59">
        <f t="shared" si="129"/>
        <v>85</v>
      </c>
      <c r="D612" s="60">
        <v>43084</v>
      </c>
      <c r="E612" s="61"/>
      <c r="F612" s="61"/>
      <c r="G612" s="62"/>
      <c r="H612" s="62"/>
      <c r="I612" s="63"/>
      <c r="J612" s="62"/>
      <c r="K612" s="64">
        <v>30</v>
      </c>
      <c r="L612" s="62"/>
      <c r="M612" s="62"/>
      <c r="N612" s="62"/>
      <c r="O612" s="62"/>
      <c r="P612" s="65"/>
      <c r="Q612" s="66"/>
      <c r="R612" s="66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3.2">
      <c r="A613" s="47"/>
      <c r="B613" s="50"/>
      <c r="C613" s="5">
        <f t="shared" si="129"/>
        <v>98</v>
      </c>
      <c r="D613" s="32">
        <v>43097</v>
      </c>
      <c r="E613" s="12"/>
      <c r="F613" s="12"/>
      <c r="G613" s="47"/>
      <c r="H613" s="47"/>
      <c r="I613" s="33">
        <v>186.8</v>
      </c>
      <c r="J613" s="47"/>
      <c r="K613" s="33">
        <v>31.1</v>
      </c>
      <c r="L613" s="47"/>
      <c r="M613" s="47"/>
      <c r="N613" s="47"/>
      <c r="O613" s="47"/>
      <c r="P613" s="49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3.2">
      <c r="A614" s="47"/>
      <c r="B614" s="50"/>
      <c r="C614" s="5">
        <f t="shared" si="129"/>
        <v>105</v>
      </c>
      <c r="D614" s="32">
        <v>43104</v>
      </c>
      <c r="E614" s="12"/>
      <c r="F614" s="12"/>
      <c r="G614" s="47"/>
      <c r="H614" s="47"/>
      <c r="I614" s="33">
        <v>158.80000000000001</v>
      </c>
      <c r="J614" s="47"/>
      <c r="K614" s="33">
        <v>30.8</v>
      </c>
      <c r="L614" s="47"/>
      <c r="M614" s="47"/>
      <c r="N614" s="47"/>
      <c r="O614" s="47"/>
      <c r="P614" s="49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3.2">
      <c r="A615" s="47"/>
      <c r="B615" s="50"/>
      <c r="C615" s="5">
        <f t="shared" si="129"/>
        <v>112</v>
      </c>
      <c r="D615" s="32">
        <v>43111</v>
      </c>
      <c r="E615" s="12"/>
      <c r="F615" s="12"/>
      <c r="G615" s="47"/>
      <c r="H615" s="47"/>
      <c r="I615" s="33">
        <v>131.4</v>
      </c>
      <c r="J615" s="47"/>
      <c r="K615" s="33">
        <v>31.4</v>
      </c>
      <c r="L615" s="47"/>
      <c r="M615" s="47"/>
      <c r="N615" s="47"/>
      <c r="O615" s="47"/>
      <c r="P615" s="49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3.2">
      <c r="A616" s="47"/>
      <c r="B616" s="50"/>
      <c r="C616" s="5">
        <v>116</v>
      </c>
      <c r="D616" s="32">
        <v>42750</v>
      </c>
      <c r="E616" s="12"/>
      <c r="F616" s="12"/>
      <c r="G616" s="47"/>
      <c r="H616" s="47"/>
      <c r="I616" s="33"/>
      <c r="J616" s="47"/>
      <c r="K616" s="33"/>
      <c r="L616" s="47"/>
      <c r="M616" s="47"/>
      <c r="N616" s="47"/>
      <c r="O616" s="47"/>
      <c r="P616" s="49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3.2">
      <c r="A617" s="47"/>
      <c r="B617" s="50"/>
      <c r="C617" s="5">
        <v>117</v>
      </c>
      <c r="D617" s="32">
        <v>43116</v>
      </c>
      <c r="E617" s="12"/>
      <c r="F617" s="12"/>
      <c r="G617" s="47"/>
      <c r="H617" s="47"/>
      <c r="I617" s="33">
        <v>111.9</v>
      </c>
      <c r="J617" s="47"/>
      <c r="K617" s="33">
        <v>30.9</v>
      </c>
      <c r="L617" s="47"/>
      <c r="M617" s="47"/>
      <c r="N617" s="47"/>
      <c r="O617" s="47"/>
      <c r="P617" s="49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3.2">
      <c r="A618" s="47"/>
      <c r="B618" s="55"/>
      <c r="C618" s="50">
        <v>124</v>
      </c>
      <c r="D618" s="32">
        <v>43123</v>
      </c>
      <c r="E618" s="12"/>
      <c r="F618" s="12"/>
      <c r="G618" s="47"/>
      <c r="H618" s="47"/>
      <c r="I618" s="33">
        <v>86.1</v>
      </c>
      <c r="J618" s="47"/>
      <c r="K618" s="33">
        <v>30.8</v>
      </c>
      <c r="L618" s="47"/>
      <c r="M618" s="47"/>
      <c r="N618" s="47"/>
      <c r="O618" s="47"/>
      <c r="P618" s="49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3.2">
      <c r="A619" s="47"/>
      <c r="B619" s="55"/>
      <c r="C619" s="50">
        <v>131</v>
      </c>
      <c r="D619" s="24">
        <v>43130</v>
      </c>
      <c r="E619" s="12"/>
      <c r="F619" s="12"/>
      <c r="G619" s="47"/>
      <c r="H619" s="47"/>
      <c r="I619" s="36">
        <v>61.4</v>
      </c>
      <c r="J619" s="47"/>
      <c r="K619" s="36">
        <v>30.4</v>
      </c>
      <c r="L619" s="47"/>
      <c r="M619" s="47"/>
      <c r="N619" s="47"/>
      <c r="O619" s="47"/>
      <c r="P619" s="49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3.2">
      <c r="A620" s="47"/>
      <c r="B620" s="55"/>
      <c r="C620" s="50">
        <v>138</v>
      </c>
      <c r="D620" s="24">
        <v>43137</v>
      </c>
      <c r="E620" s="12"/>
      <c r="F620" s="12"/>
      <c r="G620" s="47"/>
      <c r="H620" s="47"/>
      <c r="I620" s="33">
        <v>35.5</v>
      </c>
      <c r="J620" s="37"/>
      <c r="K620" s="33">
        <v>30.4</v>
      </c>
      <c r="L620" s="47"/>
      <c r="M620" s="47"/>
      <c r="N620" s="47"/>
      <c r="O620" s="47"/>
      <c r="P620" s="49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3.2">
      <c r="A621" s="47"/>
      <c r="B621" s="55"/>
      <c r="C621" s="5">
        <v>145</v>
      </c>
      <c r="D621" s="20">
        <v>43144</v>
      </c>
      <c r="E621" s="12"/>
      <c r="F621" s="12"/>
      <c r="G621" s="47"/>
      <c r="H621" s="47"/>
      <c r="I621" s="18">
        <v>53.6</v>
      </c>
      <c r="J621" s="47"/>
      <c r="K621" s="18">
        <v>31.2</v>
      </c>
      <c r="L621" s="47"/>
      <c r="M621" s="47"/>
      <c r="N621" s="47"/>
      <c r="O621" s="47"/>
      <c r="P621" s="49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3.2">
      <c r="A622" s="47"/>
      <c r="B622" s="55"/>
      <c r="C622" s="55">
        <f t="shared" ref="C622:C625" si="145">C621+7</f>
        <v>152</v>
      </c>
      <c r="D622" s="24">
        <v>43151</v>
      </c>
      <c r="E622" s="12"/>
      <c r="F622" s="12"/>
      <c r="G622" s="47"/>
      <c r="H622" s="47"/>
      <c r="I622" s="18">
        <v>30.6</v>
      </c>
      <c r="J622" s="47"/>
      <c r="K622" s="18">
        <v>30.3</v>
      </c>
      <c r="L622" s="47"/>
      <c r="M622" s="47"/>
      <c r="N622" s="47"/>
      <c r="O622" s="47"/>
      <c r="P622" s="49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3.2">
      <c r="A623" s="47"/>
      <c r="B623" s="55"/>
      <c r="C623" s="55">
        <f t="shared" si="145"/>
        <v>159</v>
      </c>
      <c r="D623" s="24">
        <v>43158</v>
      </c>
      <c r="E623" s="12"/>
      <c r="F623" s="12"/>
      <c r="G623" s="47"/>
      <c r="H623" s="47"/>
      <c r="I623" s="18">
        <v>52.3</v>
      </c>
      <c r="J623" s="47"/>
      <c r="K623" s="18">
        <v>30.5</v>
      </c>
      <c r="L623" s="47"/>
      <c r="M623" s="47"/>
      <c r="N623" s="47"/>
      <c r="O623" s="47"/>
      <c r="P623" s="49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3.2">
      <c r="A624" s="47"/>
      <c r="B624" s="55"/>
      <c r="C624" s="55">
        <f t="shared" si="145"/>
        <v>166</v>
      </c>
      <c r="D624" s="24">
        <v>43165</v>
      </c>
      <c r="E624" s="12"/>
      <c r="F624" s="12"/>
      <c r="G624" s="47"/>
      <c r="H624" s="47"/>
      <c r="I624" s="18">
        <v>28.8</v>
      </c>
      <c r="J624" s="47"/>
      <c r="K624" s="18">
        <v>30.8</v>
      </c>
      <c r="L624" s="47"/>
      <c r="M624" s="47"/>
      <c r="N624" s="47"/>
      <c r="O624" s="47"/>
      <c r="P624" s="49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3.2">
      <c r="A625" s="47"/>
      <c r="B625" s="55"/>
      <c r="C625" s="55">
        <f t="shared" si="145"/>
        <v>173</v>
      </c>
      <c r="D625" s="24">
        <v>43172</v>
      </c>
      <c r="E625" s="12"/>
      <c r="F625" s="12"/>
      <c r="G625" s="47"/>
      <c r="H625" s="47"/>
      <c r="I625" s="18">
        <v>61.9</v>
      </c>
      <c r="J625" s="47"/>
      <c r="K625" s="18">
        <v>30.8</v>
      </c>
      <c r="L625" s="47"/>
      <c r="M625" s="47"/>
      <c r="N625" s="47"/>
      <c r="O625" s="47"/>
      <c r="P625" s="49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3.2">
      <c r="A626" s="47"/>
      <c r="B626" s="55"/>
      <c r="C626" s="55"/>
      <c r="D626" s="67"/>
      <c r="E626" s="12"/>
      <c r="F626" s="12"/>
      <c r="G626" s="47"/>
      <c r="H626" s="47"/>
      <c r="I626" s="48"/>
      <c r="J626" s="47"/>
      <c r="K626" s="48"/>
      <c r="L626" s="47"/>
      <c r="M626" s="47"/>
      <c r="N626" s="47"/>
      <c r="O626" s="47"/>
      <c r="P626" s="49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3.2">
      <c r="A627" s="47"/>
      <c r="B627" s="55"/>
      <c r="C627" s="55"/>
      <c r="D627" s="67"/>
      <c r="E627" s="12"/>
      <c r="F627" s="12"/>
      <c r="G627" s="47"/>
      <c r="H627" s="47"/>
      <c r="I627" s="48"/>
      <c r="J627" s="47"/>
      <c r="K627" s="48"/>
      <c r="L627" s="47"/>
      <c r="M627" s="47"/>
      <c r="N627" s="47"/>
      <c r="O627" s="47"/>
      <c r="P627" s="49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3.2">
      <c r="A628" s="47"/>
      <c r="B628" s="55"/>
      <c r="C628" s="55"/>
      <c r="D628" s="67"/>
      <c r="E628" s="12"/>
      <c r="F628" s="12"/>
      <c r="G628" s="47"/>
      <c r="H628" s="47"/>
      <c r="I628" s="48"/>
      <c r="J628" s="47"/>
      <c r="K628" s="48"/>
      <c r="L628" s="47"/>
      <c r="M628" s="47"/>
      <c r="N628" s="47"/>
      <c r="O628" s="47"/>
      <c r="P628" s="49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3.2">
      <c r="A629" s="47"/>
      <c r="B629" s="55"/>
      <c r="C629" s="55"/>
      <c r="D629" s="67"/>
      <c r="E629" s="12"/>
      <c r="F629" s="12"/>
      <c r="G629" s="47"/>
      <c r="H629" s="47"/>
      <c r="I629" s="48"/>
      <c r="J629" s="47"/>
      <c r="K629" s="48"/>
      <c r="L629" s="47"/>
      <c r="M629" s="47"/>
      <c r="N629" s="47"/>
      <c r="O629" s="47"/>
      <c r="P629" s="49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3.2">
      <c r="A630" s="47"/>
      <c r="B630" s="55"/>
      <c r="C630" s="55"/>
      <c r="D630" s="67"/>
      <c r="E630" s="12"/>
      <c r="F630" s="12"/>
      <c r="G630" s="47"/>
      <c r="H630" s="47"/>
      <c r="I630" s="48"/>
      <c r="J630" s="47"/>
      <c r="K630" s="48"/>
      <c r="L630" s="47"/>
      <c r="M630" s="47"/>
      <c r="N630" s="47"/>
      <c r="O630" s="47"/>
      <c r="P630" s="49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3.2">
      <c r="A631" s="47"/>
      <c r="B631" s="55"/>
      <c r="C631" s="55"/>
      <c r="D631" s="67"/>
      <c r="E631" s="12"/>
      <c r="F631" s="12"/>
      <c r="G631" s="47"/>
      <c r="H631" s="47"/>
      <c r="I631" s="48"/>
      <c r="J631" s="47"/>
      <c r="K631" s="48"/>
      <c r="L631" s="47"/>
      <c r="M631" s="47"/>
      <c r="N631" s="47"/>
      <c r="O631" s="47"/>
      <c r="P631" s="49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3.2">
      <c r="A632" s="47"/>
      <c r="B632" s="55"/>
      <c r="C632" s="55"/>
      <c r="D632" s="67"/>
      <c r="E632" s="12"/>
      <c r="F632" s="12"/>
      <c r="G632" s="47"/>
      <c r="H632" s="47"/>
      <c r="I632" s="48"/>
      <c r="J632" s="47"/>
      <c r="K632" s="48"/>
      <c r="L632" s="47"/>
      <c r="M632" s="47"/>
      <c r="N632" s="47"/>
      <c r="O632" s="47"/>
      <c r="P632" s="49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3.2">
      <c r="A633" s="47"/>
      <c r="B633" s="55"/>
      <c r="C633" s="55"/>
      <c r="D633" s="67"/>
      <c r="E633" s="12"/>
      <c r="F633" s="12"/>
      <c r="G633" s="47"/>
      <c r="H633" s="47"/>
      <c r="I633" s="48"/>
      <c r="J633" s="47"/>
      <c r="K633" s="48"/>
      <c r="L633" s="47"/>
      <c r="M633" s="47"/>
      <c r="N633" s="47"/>
      <c r="O633" s="47"/>
      <c r="P633" s="49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3.2">
      <c r="A634" s="47"/>
      <c r="B634" s="55"/>
      <c r="C634" s="55"/>
      <c r="D634" s="67"/>
      <c r="E634" s="12"/>
      <c r="F634" s="12"/>
      <c r="G634" s="47"/>
      <c r="H634" s="47"/>
      <c r="I634" s="48"/>
      <c r="J634" s="47"/>
      <c r="K634" s="48"/>
      <c r="L634" s="47"/>
      <c r="M634" s="47"/>
      <c r="N634" s="47"/>
      <c r="O634" s="47"/>
      <c r="P634" s="49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3.2">
      <c r="A635" s="47"/>
      <c r="B635" s="55"/>
      <c r="C635" s="55"/>
      <c r="D635" s="67"/>
      <c r="E635" s="12"/>
      <c r="F635" s="12"/>
      <c r="G635" s="47"/>
      <c r="H635" s="47"/>
      <c r="I635" s="48"/>
      <c r="J635" s="47"/>
      <c r="K635" s="48"/>
      <c r="L635" s="47"/>
      <c r="M635" s="47"/>
      <c r="N635" s="47"/>
      <c r="O635" s="47"/>
      <c r="P635" s="49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3.2">
      <c r="A636" s="47"/>
      <c r="B636" s="55"/>
      <c r="C636" s="55"/>
      <c r="D636" s="67"/>
      <c r="E636" s="12"/>
      <c r="F636" s="12"/>
      <c r="G636" s="47"/>
      <c r="H636" s="47"/>
      <c r="I636" s="48"/>
      <c r="J636" s="47"/>
      <c r="K636" s="48"/>
      <c r="L636" s="47"/>
      <c r="M636" s="47"/>
      <c r="N636" s="47"/>
      <c r="O636" s="47"/>
      <c r="P636" s="49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3.2">
      <c r="A637" s="47"/>
      <c r="B637" s="55"/>
      <c r="C637" s="55"/>
      <c r="D637" s="67"/>
      <c r="E637" s="12"/>
      <c r="F637" s="12"/>
      <c r="G637" s="47"/>
      <c r="H637" s="47"/>
      <c r="I637" s="48"/>
      <c r="J637" s="47"/>
      <c r="K637" s="48"/>
      <c r="L637" s="47"/>
      <c r="M637" s="47"/>
      <c r="N637" s="47"/>
      <c r="O637" s="47"/>
      <c r="P637" s="49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3.2">
      <c r="A638" s="47"/>
      <c r="B638" s="55"/>
      <c r="C638" s="55"/>
      <c r="D638" s="67"/>
      <c r="E638" s="12"/>
      <c r="F638" s="12"/>
      <c r="G638" s="47"/>
      <c r="H638" s="47"/>
      <c r="I638" s="48"/>
      <c r="J638" s="47"/>
      <c r="K638" s="48"/>
      <c r="L638" s="47"/>
      <c r="M638" s="47"/>
      <c r="N638" s="47"/>
      <c r="O638" s="47"/>
      <c r="P638" s="49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3.2">
      <c r="A639" s="47"/>
      <c r="B639" s="55"/>
      <c r="C639" s="55"/>
      <c r="D639" s="67"/>
      <c r="E639" s="12"/>
      <c r="F639" s="12"/>
      <c r="G639" s="47"/>
      <c r="H639" s="47"/>
      <c r="I639" s="48"/>
      <c r="J639" s="47"/>
      <c r="K639" s="48"/>
      <c r="L639" s="47"/>
      <c r="M639" s="47"/>
      <c r="N639" s="47"/>
      <c r="O639" s="47"/>
      <c r="P639" s="49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3.2">
      <c r="A640" s="47"/>
      <c r="B640" s="55"/>
      <c r="C640" s="55"/>
      <c r="D640" s="67"/>
      <c r="E640" s="12"/>
      <c r="F640" s="12"/>
      <c r="G640" s="47"/>
      <c r="H640" s="47"/>
      <c r="I640" s="48"/>
      <c r="J640" s="47"/>
      <c r="K640" s="48"/>
      <c r="L640" s="47"/>
      <c r="M640" s="47"/>
      <c r="N640" s="47"/>
      <c r="O640" s="47"/>
      <c r="P640" s="49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3.2">
      <c r="A641" s="47"/>
      <c r="B641" s="55"/>
      <c r="C641" s="55"/>
      <c r="D641" s="67"/>
      <c r="E641" s="12"/>
      <c r="F641" s="12"/>
      <c r="G641" s="47"/>
      <c r="H641" s="47"/>
      <c r="I641" s="48"/>
      <c r="J641" s="47"/>
      <c r="K641" s="48"/>
      <c r="L641" s="47"/>
      <c r="M641" s="47"/>
      <c r="N641" s="47"/>
      <c r="O641" s="47"/>
      <c r="P641" s="49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26.4">
      <c r="A642" s="45" t="s">
        <v>89</v>
      </c>
      <c r="B642" s="5">
        <v>0</v>
      </c>
      <c r="C642" s="5">
        <v>0</v>
      </c>
      <c r="D642" s="9">
        <v>42992</v>
      </c>
      <c r="E642" s="10">
        <v>372.6</v>
      </c>
      <c r="F642" s="12" t="s">
        <v>21</v>
      </c>
      <c r="G642" s="46">
        <f>AVERAGE(F643:F658)</f>
        <v>6.510714285714287</v>
      </c>
      <c r="H642" s="47"/>
      <c r="I642" s="13">
        <v>103.9</v>
      </c>
      <c r="J642" s="47"/>
      <c r="K642" s="13">
        <v>16.899999999999999</v>
      </c>
      <c r="L642" s="47"/>
      <c r="M642" s="47"/>
      <c r="N642" s="47"/>
      <c r="O642" s="47"/>
      <c r="P642" s="49">
        <f>SUM(O642:O653)-104.4</f>
        <v>336.79999999999984</v>
      </c>
      <c r="Q642" s="7"/>
      <c r="R642" s="7"/>
      <c r="S642" s="73">
        <f>I646-I652</f>
        <v>45.7</v>
      </c>
      <c r="T642" s="7">
        <f>SUM(S642:S652)*3.1</f>
        <v>989.51999999999987</v>
      </c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3.2">
      <c r="A643" s="50" t="s">
        <v>30</v>
      </c>
      <c r="B643" s="5">
        <v>0</v>
      </c>
      <c r="C643" s="5">
        <v>0</v>
      </c>
      <c r="D643" s="9">
        <v>42993</v>
      </c>
      <c r="E643" s="10">
        <v>362.9</v>
      </c>
      <c r="F643" s="12">
        <f>E642-E643</f>
        <v>9.7000000000000455</v>
      </c>
      <c r="G643" s="47"/>
      <c r="H643" s="47"/>
      <c r="I643" s="13">
        <v>99.2</v>
      </c>
      <c r="J643" s="47">
        <f t="shared" ref="J643:J652" si="146">(I642-I643)/(D643-D642)</f>
        <v>4.7000000000000028</v>
      </c>
      <c r="K643" s="13">
        <v>17.600000000000001</v>
      </c>
      <c r="L643" s="47"/>
      <c r="M643" s="47"/>
      <c r="N643" s="47"/>
      <c r="O643" s="46">
        <f>381.2-E652</f>
        <v>76.899999999999977</v>
      </c>
      <c r="P643" s="49"/>
      <c r="Q643" s="7"/>
      <c r="R643" s="7"/>
      <c r="S643" s="73">
        <f>73.1-I658</f>
        <v>36.499999999999993</v>
      </c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3.2">
      <c r="A644" s="47"/>
      <c r="B644" s="5">
        <v>0</v>
      </c>
      <c r="C644" s="5">
        <v>0</v>
      </c>
      <c r="D644" s="9">
        <v>42996</v>
      </c>
      <c r="E644" s="10">
        <v>347.3</v>
      </c>
      <c r="F644" s="12">
        <f t="shared" ref="F644:F646" si="147">(E643-E644)/(D644-D643)</f>
        <v>5.1999999999999886</v>
      </c>
      <c r="G644" s="47"/>
      <c r="H644" s="47"/>
      <c r="I644" s="13">
        <v>88.3</v>
      </c>
      <c r="J644" s="51">
        <f t="shared" si="146"/>
        <v>3.6333333333333351</v>
      </c>
      <c r="K644" s="13">
        <v>17.7</v>
      </c>
      <c r="L644" s="47"/>
      <c r="M644" s="47"/>
      <c r="N644" s="47"/>
      <c r="O644" s="46">
        <f>E653-E656</f>
        <v>37.399999999999977</v>
      </c>
      <c r="P644" s="49"/>
      <c r="Q644" s="7"/>
      <c r="R644" s="7"/>
      <c r="S644" s="73">
        <f>I659-I662</f>
        <v>20.200000000000003</v>
      </c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3.2">
      <c r="A645" s="47"/>
      <c r="B645" s="5">
        <v>0</v>
      </c>
      <c r="C645" s="5">
        <v>0</v>
      </c>
      <c r="D645" s="9">
        <v>42998</v>
      </c>
      <c r="E645" s="10">
        <v>336.8</v>
      </c>
      <c r="F645" s="12">
        <f t="shared" si="147"/>
        <v>5.25</v>
      </c>
      <c r="G645" s="47"/>
      <c r="H645" s="47"/>
      <c r="I645" s="13">
        <v>82</v>
      </c>
      <c r="J645" s="47">
        <f t="shared" si="146"/>
        <v>3.1499999999999986</v>
      </c>
      <c r="K645" s="13">
        <v>17.5</v>
      </c>
      <c r="L645" s="47"/>
      <c r="M645" s="47"/>
      <c r="N645" s="47"/>
      <c r="O645" s="46">
        <f>E657-E660</f>
        <v>42.699999999999989</v>
      </c>
      <c r="P645" s="49"/>
      <c r="Q645" s="7"/>
      <c r="R645" s="7"/>
      <c r="S645" s="73">
        <f>73.1-I658</f>
        <v>36.499999999999993</v>
      </c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3.2">
      <c r="A646" s="47"/>
      <c r="B646" s="5">
        <v>0.5</v>
      </c>
      <c r="C646" s="5">
        <v>0</v>
      </c>
      <c r="D646" s="9">
        <v>42999</v>
      </c>
      <c r="E646" s="10">
        <v>329.7</v>
      </c>
      <c r="F646" s="12">
        <f t="shared" si="147"/>
        <v>7.1000000000000227</v>
      </c>
      <c r="G646" s="47"/>
      <c r="H646" s="47"/>
      <c r="I646" s="13">
        <v>79.2</v>
      </c>
      <c r="J646" s="47">
        <f t="shared" si="146"/>
        <v>2.7999999999999972</v>
      </c>
      <c r="K646" s="13">
        <v>17.399999999999999</v>
      </c>
      <c r="L646" s="47"/>
      <c r="M646" s="47"/>
      <c r="N646" s="47"/>
      <c r="O646" s="46">
        <f>E661-E664</f>
        <v>41.199999999999989</v>
      </c>
      <c r="P646" s="49"/>
      <c r="Q646" s="7"/>
      <c r="R646" s="7"/>
      <c r="S646" s="73">
        <f>I659-I662</f>
        <v>20.200000000000003</v>
      </c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3.2">
      <c r="A647" s="47"/>
      <c r="B647" s="5">
        <v>0.5</v>
      </c>
      <c r="C647" s="5">
        <f t="shared" ref="C647:C648" si="148">D647-$D646</f>
        <v>1</v>
      </c>
      <c r="D647" s="9">
        <v>43000</v>
      </c>
      <c r="E647" s="10">
        <v>376.6</v>
      </c>
      <c r="F647" s="12">
        <f>(381.2-E647)/(D647-D646)</f>
        <v>4.5999999999999659</v>
      </c>
      <c r="G647" s="47"/>
      <c r="H647" s="47"/>
      <c r="I647" s="13">
        <v>75.3</v>
      </c>
      <c r="J647" s="47">
        <f t="shared" si="146"/>
        <v>3.9000000000000057</v>
      </c>
      <c r="K647" s="13">
        <v>17.100000000000001</v>
      </c>
      <c r="L647" s="47"/>
      <c r="M647" s="47"/>
      <c r="N647" s="47"/>
      <c r="O647" s="46">
        <f>E665-E668</f>
        <v>38.600000000000023</v>
      </c>
      <c r="P647" s="49"/>
      <c r="Q647" s="7"/>
      <c r="R647" s="7"/>
      <c r="S647" s="73">
        <f>58.9-I666</f>
        <v>23</v>
      </c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3.2">
      <c r="A648" s="47"/>
      <c r="B648" s="5">
        <v>0.5</v>
      </c>
      <c r="C648" s="5">
        <f t="shared" si="148"/>
        <v>3</v>
      </c>
      <c r="D648" s="9">
        <v>43003</v>
      </c>
      <c r="E648" s="10">
        <v>360.7</v>
      </c>
      <c r="F648" s="12">
        <f t="shared" ref="F648:F652" si="149">(E647-E648)/(D648-D647)</f>
        <v>5.3000000000000114</v>
      </c>
      <c r="G648" s="47"/>
      <c r="H648" s="47"/>
      <c r="I648" s="13">
        <v>64.400000000000006</v>
      </c>
      <c r="J648" s="51">
        <f t="shared" si="146"/>
        <v>3.6333333333333306</v>
      </c>
      <c r="K648" s="13">
        <v>17.5</v>
      </c>
      <c r="L648" s="47"/>
      <c r="M648" s="47"/>
      <c r="N648" s="47"/>
      <c r="O648" s="46">
        <f>E669-E672</f>
        <v>31.899999999999977</v>
      </c>
      <c r="P648" s="49"/>
      <c r="Q648" s="7"/>
      <c r="R648" s="7"/>
      <c r="S648" s="73">
        <f>73.4-I671</f>
        <v>33.400000000000006</v>
      </c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3.2">
      <c r="A649" s="47"/>
      <c r="B649" s="5">
        <v>1</v>
      </c>
      <c r="C649" s="5">
        <f>D649-$D646</f>
        <v>6</v>
      </c>
      <c r="D649" s="9">
        <v>43005</v>
      </c>
      <c r="E649" s="10">
        <v>351.2</v>
      </c>
      <c r="F649" s="12">
        <f t="shared" si="149"/>
        <v>4.75</v>
      </c>
      <c r="G649" s="47"/>
      <c r="H649" s="47"/>
      <c r="I649" s="13">
        <v>57.4</v>
      </c>
      <c r="J649" s="47">
        <f t="shared" si="146"/>
        <v>3.5000000000000036</v>
      </c>
      <c r="K649" s="18">
        <v>17.600000000000001</v>
      </c>
      <c r="L649" s="47"/>
      <c r="M649" s="47"/>
      <c r="N649" s="47"/>
      <c r="O649" s="46">
        <f>E673-E676</f>
        <v>38.699999999999989</v>
      </c>
      <c r="P649" s="49"/>
      <c r="Q649" s="7"/>
      <c r="R649" s="7"/>
      <c r="S649" s="73">
        <f>I672-I679</f>
        <v>39.799999999999997</v>
      </c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3.2">
      <c r="A650" s="47"/>
      <c r="B650" s="5">
        <v>1</v>
      </c>
      <c r="C650" s="5">
        <f>D650-D646</f>
        <v>8</v>
      </c>
      <c r="D650" s="9">
        <v>43007</v>
      </c>
      <c r="E650" s="10">
        <v>340</v>
      </c>
      <c r="F650" s="12">
        <f t="shared" si="149"/>
        <v>5.5999999999999943</v>
      </c>
      <c r="G650" s="47"/>
      <c r="H650" s="47"/>
      <c r="I650" s="13">
        <v>50.3</v>
      </c>
      <c r="J650" s="47">
        <f t="shared" si="146"/>
        <v>3.5500000000000007</v>
      </c>
      <c r="K650" s="13">
        <v>18</v>
      </c>
      <c r="L650" s="47"/>
      <c r="M650" s="47"/>
      <c r="N650" s="47"/>
      <c r="O650" s="46">
        <f>E677-E679</f>
        <v>21.199999999999989</v>
      </c>
      <c r="P650" s="49"/>
      <c r="Q650" s="7"/>
      <c r="R650" s="7"/>
      <c r="S650" s="73">
        <f>I681-I690</f>
        <v>47.7</v>
      </c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3.2">
      <c r="A651" s="47"/>
      <c r="B651" s="5">
        <v>1</v>
      </c>
      <c r="C651" s="5">
        <f>D651-D646</f>
        <v>11</v>
      </c>
      <c r="D651" s="19">
        <v>43010</v>
      </c>
      <c r="E651" s="11">
        <v>321.8</v>
      </c>
      <c r="F651" s="12">
        <f t="shared" si="149"/>
        <v>6.0666666666666629</v>
      </c>
      <c r="G651" s="47"/>
      <c r="H651" s="47"/>
      <c r="I651" s="13">
        <v>40.200000000000003</v>
      </c>
      <c r="J651" s="16">
        <f t="shared" si="146"/>
        <v>3.3666666666666649</v>
      </c>
      <c r="K651" s="13">
        <v>18.3</v>
      </c>
      <c r="L651" s="47"/>
      <c r="M651" s="47"/>
      <c r="N651" s="47"/>
      <c r="O651" s="46">
        <f>E680-E684</f>
        <v>40.799999999999955</v>
      </c>
      <c r="P651" s="49"/>
      <c r="Q651" s="7"/>
      <c r="R651" s="7"/>
      <c r="S651" s="73">
        <f>51.1-I691</f>
        <v>9.5</v>
      </c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3.2">
      <c r="A652" s="47"/>
      <c r="B652" s="5">
        <v>1</v>
      </c>
      <c r="C652" s="5">
        <f>D652-D646</f>
        <v>13</v>
      </c>
      <c r="D652" s="19">
        <v>43012</v>
      </c>
      <c r="E652" s="11">
        <v>304.3</v>
      </c>
      <c r="F652" s="12">
        <f t="shared" si="149"/>
        <v>8.75</v>
      </c>
      <c r="G652" s="47"/>
      <c r="H652" s="47"/>
      <c r="I652" s="13">
        <v>33.5</v>
      </c>
      <c r="J652" s="47">
        <f t="shared" si="146"/>
        <v>3.3500000000000014</v>
      </c>
      <c r="K652" s="13">
        <v>18.8</v>
      </c>
      <c r="L652" s="47"/>
      <c r="M652" s="47"/>
      <c r="N652" s="47"/>
      <c r="O652" s="46">
        <f>E685-E688</f>
        <v>38.099999999999966</v>
      </c>
      <c r="P652" s="49"/>
      <c r="Q652" s="7"/>
      <c r="R652" s="7"/>
      <c r="S652" s="73">
        <f>99.1-I692</f>
        <v>6.6999999999999886</v>
      </c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3.2">
      <c r="A653" s="47"/>
      <c r="B653" s="5">
        <v>2</v>
      </c>
      <c r="C653" s="5">
        <f>D653-D646</f>
        <v>14</v>
      </c>
      <c r="D653" s="19">
        <v>43013</v>
      </c>
      <c r="E653" s="11">
        <v>375</v>
      </c>
      <c r="F653" s="12"/>
      <c r="G653" s="47"/>
      <c r="H653" s="47"/>
      <c r="I653" s="15" t="s">
        <v>24</v>
      </c>
      <c r="J653" s="47"/>
      <c r="K653" s="15"/>
      <c r="L653" s="47"/>
      <c r="M653" s="47"/>
      <c r="N653" s="47"/>
      <c r="O653" s="46">
        <f>E689-E692</f>
        <v>33.699999999999989</v>
      </c>
      <c r="P653" s="49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3.2">
      <c r="A654" s="47"/>
      <c r="B654" s="5">
        <v>2</v>
      </c>
      <c r="C654" s="5">
        <f>D654-$D646</f>
        <v>15</v>
      </c>
      <c r="D654" s="19">
        <v>43014</v>
      </c>
      <c r="E654" s="11">
        <v>368.2</v>
      </c>
      <c r="F654" s="12">
        <f t="shared" ref="F654:F656" si="150">(E653-E654)/(D654-D653)</f>
        <v>6.8000000000000114</v>
      </c>
      <c r="G654" s="47"/>
      <c r="H654" s="47"/>
      <c r="I654" s="13">
        <v>65.8</v>
      </c>
      <c r="J654" s="47">
        <f>(73.1-I654)/(D654-D652)</f>
        <v>3.6499999999999986</v>
      </c>
      <c r="K654" s="13">
        <v>18.600000000000001</v>
      </c>
      <c r="L654" s="47"/>
      <c r="M654" s="47"/>
      <c r="N654" s="47"/>
      <c r="O654" s="47"/>
      <c r="P654" s="49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3.2">
      <c r="A655" s="47"/>
      <c r="B655" s="5">
        <v>2</v>
      </c>
      <c r="C655" s="5">
        <f t="shared" ref="C655:C696" si="151">D655-$D$6</f>
        <v>18</v>
      </c>
      <c r="D655" s="19">
        <v>43017</v>
      </c>
      <c r="E655" s="11">
        <v>351.6</v>
      </c>
      <c r="F655" s="12">
        <f t="shared" si="150"/>
        <v>5.5333333333333217</v>
      </c>
      <c r="G655" s="47"/>
      <c r="H655" s="47"/>
      <c r="I655" s="13">
        <v>53.8</v>
      </c>
      <c r="J655" s="51">
        <f t="shared" ref="J655:J656" si="152">(I654-I655)/(D655-D654)</f>
        <v>4</v>
      </c>
      <c r="K655" s="13">
        <v>19.399999999999999</v>
      </c>
      <c r="L655" s="47"/>
      <c r="M655" s="47"/>
      <c r="N655" s="47"/>
      <c r="O655" s="47"/>
      <c r="P655" s="49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3.2">
      <c r="A656" s="47"/>
      <c r="B656" s="5">
        <v>2</v>
      </c>
      <c r="C656" s="5">
        <f t="shared" si="151"/>
        <v>20</v>
      </c>
      <c r="D656" s="19">
        <v>43019</v>
      </c>
      <c r="E656" s="11">
        <v>337.6</v>
      </c>
      <c r="F656" s="12">
        <f t="shared" si="150"/>
        <v>7</v>
      </c>
      <c r="G656" s="47"/>
      <c r="H656" s="47"/>
      <c r="I656" s="13">
        <v>46</v>
      </c>
      <c r="J656" s="51">
        <f t="shared" si="152"/>
        <v>3.8999999999999986</v>
      </c>
      <c r="K656" s="13">
        <v>19.399999999999999</v>
      </c>
      <c r="L656" s="47"/>
      <c r="M656" s="47"/>
      <c r="N656" s="47"/>
      <c r="O656" s="47"/>
      <c r="P656" s="49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3.2">
      <c r="A657" s="47"/>
      <c r="B657" s="5">
        <v>3</v>
      </c>
      <c r="C657" s="5">
        <f t="shared" si="151"/>
        <v>21</v>
      </c>
      <c r="D657" s="19">
        <v>43020</v>
      </c>
      <c r="E657" s="11">
        <v>400.9</v>
      </c>
      <c r="F657" s="12"/>
      <c r="G657" s="47"/>
      <c r="H657" s="47"/>
      <c r="I657" s="15"/>
      <c r="J657" s="47"/>
      <c r="K657" s="15"/>
      <c r="L657" s="47"/>
      <c r="M657" s="47"/>
      <c r="N657" s="47"/>
      <c r="O657" s="47"/>
      <c r="P657" s="49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3.2">
      <c r="A658" s="47"/>
      <c r="B658" s="5">
        <v>3</v>
      </c>
      <c r="C658" s="5">
        <f t="shared" si="151"/>
        <v>22</v>
      </c>
      <c r="D658" s="19">
        <f>D656+2</f>
        <v>43021</v>
      </c>
      <c r="E658" s="11">
        <v>391.4</v>
      </c>
      <c r="F658" s="12">
        <f t="shared" ref="F658:F660" si="153">(E657-E658)/(D658-D657)</f>
        <v>9.5</v>
      </c>
      <c r="G658" s="47"/>
      <c r="H658" s="47"/>
      <c r="I658" s="13">
        <v>36.6</v>
      </c>
      <c r="J658" s="47">
        <f>(43.8-I658)/(D658-D656)</f>
        <v>3.5999999999999979</v>
      </c>
      <c r="K658" s="13">
        <v>20</v>
      </c>
      <c r="L658" s="47"/>
      <c r="M658" s="47"/>
      <c r="N658" s="47"/>
      <c r="O658" s="47"/>
      <c r="P658" s="49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3.2">
      <c r="A659" s="47"/>
      <c r="B659" s="5">
        <v>3</v>
      </c>
      <c r="C659" s="5">
        <f t="shared" si="151"/>
        <v>25</v>
      </c>
      <c r="D659" s="19">
        <f>D658+3</f>
        <v>43024</v>
      </c>
      <c r="E659" s="11">
        <v>373.2</v>
      </c>
      <c r="F659" s="12">
        <f t="shared" si="153"/>
        <v>6.0666666666666629</v>
      </c>
      <c r="G659" s="47"/>
      <c r="H659" s="47"/>
      <c r="I659" s="18">
        <v>42.6</v>
      </c>
      <c r="J659" s="47">
        <f>(58.8-I659)/(D659-D658)</f>
        <v>5.3999999999999986</v>
      </c>
      <c r="K659" s="18">
        <v>20.3</v>
      </c>
      <c r="L659" s="47"/>
      <c r="M659" s="47"/>
      <c r="N659" s="47"/>
      <c r="O659" s="47"/>
      <c r="P659" s="49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3.2">
      <c r="A660" s="47"/>
      <c r="B660" s="5">
        <v>3</v>
      </c>
      <c r="C660" s="5">
        <f t="shared" si="151"/>
        <v>27</v>
      </c>
      <c r="D660" s="19">
        <f>D659+2</f>
        <v>43026</v>
      </c>
      <c r="E660" s="11">
        <v>358.2</v>
      </c>
      <c r="F660" s="12">
        <f t="shared" si="153"/>
        <v>7.5</v>
      </c>
      <c r="G660" s="47"/>
      <c r="H660" s="47"/>
      <c r="I660" s="18">
        <v>31.9</v>
      </c>
      <c r="J660" s="47">
        <f>(I659-I660)/(D660-D659)</f>
        <v>5.3500000000000014</v>
      </c>
      <c r="K660" s="18">
        <v>20.399999999999999</v>
      </c>
      <c r="L660" s="47"/>
      <c r="M660" s="47"/>
      <c r="N660" s="47"/>
      <c r="O660" s="47"/>
      <c r="P660" s="49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3.2">
      <c r="A661" s="47"/>
      <c r="B661" s="5">
        <v>4</v>
      </c>
      <c r="C661" s="5">
        <f t="shared" si="151"/>
        <v>28</v>
      </c>
      <c r="D661" s="20">
        <v>43027</v>
      </c>
      <c r="E661" s="11">
        <v>392.2</v>
      </c>
      <c r="F661" s="12"/>
      <c r="G661" s="47"/>
      <c r="H661" s="47"/>
      <c r="I661" s="48"/>
      <c r="J661" s="48"/>
      <c r="K661" s="48"/>
      <c r="L661" s="47"/>
      <c r="M661" s="47"/>
      <c r="N661" s="47"/>
      <c r="O661" s="47"/>
      <c r="P661" s="49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3.2">
      <c r="A662" s="47"/>
      <c r="B662" s="5">
        <v>4</v>
      </c>
      <c r="C662" s="5">
        <f t="shared" si="151"/>
        <v>29</v>
      </c>
      <c r="D662" s="19">
        <f>D660+2</f>
        <v>43028</v>
      </c>
      <c r="E662" s="11">
        <v>379</v>
      </c>
      <c r="F662" s="12">
        <f t="shared" ref="F662:F664" si="154">(E661-E662)/(D662-D661)</f>
        <v>13.199999999999989</v>
      </c>
      <c r="G662" s="47"/>
      <c r="H662" s="47"/>
      <c r="I662" s="18">
        <v>22.4</v>
      </c>
      <c r="J662" s="48">
        <f>(I660-I662)/(D662-D660)</f>
        <v>4.75</v>
      </c>
      <c r="K662" s="18">
        <v>20.2</v>
      </c>
      <c r="L662" s="47"/>
      <c r="M662" s="47"/>
      <c r="N662" s="47"/>
      <c r="O662" s="47"/>
      <c r="P662" s="49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3.2">
      <c r="A663" s="47"/>
      <c r="B663" s="5">
        <v>4</v>
      </c>
      <c r="C663" s="5">
        <f t="shared" si="151"/>
        <v>32</v>
      </c>
      <c r="D663" s="19">
        <v>43031</v>
      </c>
      <c r="E663" s="11">
        <v>362.9</v>
      </c>
      <c r="F663" s="12">
        <f t="shared" si="154"/>
        <v>5.3666666666666742</v>
      </c>
      <c r="G663" s="47"/>
      <c r="H663" s="47"/>
      <c r="I663" s="18">
        <v>49.2</v>
      </c>
      <c r="J663" s="48">
        <f>(58.9-I663)/(D663-D662)</f>
        <v>3.2333333333333321</v>
      </c>
      <c r="K663" s="18">
        <v>19.3</v>
      </c>
      <c r="L663" s="47"/>
      <c r="M663" s="47"/>
      <c r="N663" s="47"/>
      <c r="O663" s="47"/>
      <c r="P663" s="49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3.2">
      <c r="A664" s="47"/>
      <c r="B664" s="5">
        <v>4</v>
      </c>
      <c r="C664" s="5">
        <f t="shared" si="151"/>
        <v>34</v>
      </c>
      <c r="D664" s="19">
        <v>43033</v>
      </c>
      <c r="E664" s="11">
        <v>351</v>
      </c>
      <c r="F664" s="12">
        <f t="shared" si="154"/>
        <v>5.9499999999999886</v>
      </c>
      <c r="G664" s="47"/>
      <c r="H664" s="47"/>
      <c r="I664" s="18">
        <v>43.3</v>
      </c>
      <c r="J664" s="48">
        <f>(I663-I664)/(D664-D663)</f>
        <v>2.9500000000000028</v>
      </c>
      <c r="K664" s="18">
        <v>19.2</v>
      </c>
      <c r="L664" s="47"/>
      <c r="M664" s="47"/>
      <c r="N664" s="47"/>
      <c r="O664" s="47"/>
      <c r="P664" s="49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3.2">
      <c r="A665" s="47"/>
      <c r="B665" s="5">
        <v>5</v>
      </c>
      <c r="C665" s="5">
        <f t="shared" si="151"/>
        <v>35</v>
      </c>
      <c r="D665" s="20">
        <v>43034</v>
      </c>
      <c r="E665" s="11">
        <v>362.6</v>
      </c>
      <c r="F665" s="12"/>
      <c r="G665" s="47"/>
      <c r="H665" s="47"/>
      <c r="I665" s="48"/>
      <c r="J665" s="48"/>
      <c r="K665" s="48"/>
      <c r="L665" s="47"/>
      <c r="M665" s="47"/>
      <c r="N665" s="47"/>
      <c r="O665" s="47"/>
      <c r="P665" s="49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3.2">
      <c r="A666" s="47"/>
      <c r="B666" s="5">
        <v>5</v>
      </c>
      <c r="C666" s="5">
        <f t="shared" si="151"/>
        <v>36</v>
      </c>
      <c r="D666" s="19">
        <v>43035</v>
      </c>
      <c r="E666" s="11">
        <v>352.7</v>
      </c>
      <c r="F666" s="12">
        <f t="shared" ref="F666:F668" si="155">(E665-E666)/(D666-D665)</f>
        <v>9.9000000000000341</v>
      </c>
      <c r="G666" s="47"/>
      <c r="H666" s="47"/>
      <c r="I666" s="18">
        <v>35.9</v>
      </c>
      <c r="J666" s="48">
        <f>(I664-I666)/(D666-D664)</f>
        <v>3.6999999999999993</v>
      </c>
      <c r="K666" s="18">
        <v>19.600000000000001</v>
      </c>
      <c r="L666" s="47"/>
      <c r="M666" s="47"/>
      <c r="N666" s="47"/>
      <c r="O666" s="47"/>
      <c r="P666" s="49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3.2">
      <c r="A667" s="47"/>
      <c r="B667" s="5">
        <v>5</v>
      </c>
      <c r="C667" s="5">
        <f t="shared" si="151"/>
        <v>39</v>
      </c>
      <c r="D667" s="19">
        <v>43038</v>
      </c>
      <c r="E667" s="11">
        <v>334.7</v>
      </c>
      <c r="F667" s="12">
        <f t="shared" si="155"/>
        <v>6</v>
      </c>
      <c r="G667" s="47"/>
      <c r="H667" s="47"/>
      <c r="I667" s="18">
        <v>63.4</v>
      </c>
      <c r="J667" s="48">
        <f>(73.4-I667)/(D667-D666)</f>
        <v>3.3333333333333357</v>
      </c>
      <c r="K667" s="18">
        <v>19.7</v>
      </c>
      <c r="L667" s="47"/>
      <c r="M667" s="47"/>
      <c r="N667" s="47"/>
      <c r="O667" s="47"/>
      <c r="P667" s="49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3.2">
      <c r="A668" s="47"/>
      <c r="B668" s="5">
        <v>5</v>
      </c>
      <c r="C668" s="5">
        <f t="shared" si="151"/>
        <v>41</v>
      </c>
      <c r="D668" s="19">
        <v>43040</v>
      </c>
      <c r="E668" s="11">
        <v>324</v>
      </c>
      <c r="F668" s="12">
        <f t="shared" si="155"/>
        <v>5.3499999999999943</v>
      </c>
      <c r="G668" s="47"/>
      <c r="H668" s="47"/>
      <c r="I668" s="18">
        <v>56.1</v>
      </c>
      <c r="J668" s="48">
        <f>(I667-I668)/(D668-D667)</f>
        <v>3.6499999999999986</v>
      </c>
      <c r="K668" s="18">
        <v>19.899999999999999</v>
      </c>
      <c r="L668" s="47"/>
      <c r="M668" s="47"/>
      <c r="N668" s="47"/>
      <c r="O668" s="47"/>
      <c r="P668" s="49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3.2">
      <c r="A669" s="47"/>
      <c r="B669" s="5">
        <v>6</v>
      </c>
      <c r="C669" s="5">
        <f t="shared" si="151"/>
        <v>42</v>
      </c>
      <c r="D669" s="20">
        <v>43041</v>
      </c>
      <c r="E669" s="11">
        <v>403.7</v>
      </c>
      <c r="F669" s="12"/>
      <c r="G669" s="47"/>
      <c r="H669" s="47"/>
      <c r="I669" s="48"/>
      <c r="J669" s="47"/>
      <c r="K669" s="48"/>
      <c r="L669" s="47"/>
      <c r="M669" s="47"/>
      <c r="N669" s="47"/>
      <c r="O669" s="47"/>
      <c r="P669" s="49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3.2">
      <c r="A670" s="47"/>
      <c r="B670" s="5">
        <v>6</v>
      </c>
      <c r="C670" s="5">
        <f t="shared" si="151"/>
        <v>43</v>
      </c>
      <c r="D670" s="19">
        <v>43042</v>
      </c>
      <c r="E670" s="11">
        <v>398.9</v>
      </c>
      <c r="F670" s="12">
        <f t="shared" ref="F670:F672" si="156">(E669-E670)/(D670-D669)</f>
        <v>4.8000000000000114</v>
      </c>
      <c r="G670" s="47"/>
      <c r="H670" s="47"/>
      <c r="I670" s="18">
        <v>50.4</v>
      </c>
      <c r="J670" s="48">
        <f>(I668-I670)/(D670-D668)</f>
        <v>2.8500000000000014</v>
      </c>
      <c r="K670" s="18">
        <v>20</v>
      </c>
      <c r="L670" s="47"/>
      <c r="M670" s="47"/>
      <c r="N670" s="47"/>
      <c r="O670" s="47"/>
      <c r="P670" s="49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3.2">
      <c r="A671" s="47"/>
      <c r="B671" s="5">
        <v>6</v>
      </c>
      <c r="C671" s="5">
        <f t="shared" si="151"/>
        <v>46</v>
      </c>
      <c r="D671" s="19">
        <v>43045</v>
      </c>
      <c r="E671" s="11">
        <v>382.3</v>
      </c>
      <c r="F671" s="12">
        <f t="shared" si="156"/>
        <v>5.5333333333333217</v>
      </c>
      <c r="G671" s="47"/>
      <c r="H671" s="47"/>
      <c r="I671" s="18">
        <v>40</v>
      </c>
      <c r="J671" s="48">
        <f>(I670-I671)/(D671-D670)</f>
        <v>3.4666666666666663</v>
      </c>
      <c r="K671" s="18">
        <v>20.5</v>
      </c>
      <c r="L671" s="47"/>
      <c r="M671" s="47"/>
      <c r="N671" s="47"/>
      <c r="O671" s="47"/>
      <c r="P671" s="49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3.2">
      <c r="A672" s="47"/>
      <c r="B672" s="5">
        <v>6</v>
      </c>
      <c r="C672" s="5">
        <f t="shared" si="151"/>
        <v>48</v>
      </c>
      <c r="D672" s="19">
        <v>43047</v>
      </c>
      <c r="E672" s="11">
        <v>371.8</v>
      </c>
      <c r="F672" s="12">
        <f t="shared" si="156"/>
        <v>5.25</v>
      </c>
      <c r="G672" s="47"/>
      <c r="H672" s="47"/>
      <c r="I672" s="18">
        <v>77.099999999999994</v>
      </c>
      <c r="J672" s="47">
        <f>(85.2-I672)/(D672-D671)</f>
        <v>4.0500000000000043</v>
      </c>
      <c r="K672" s="18">
        <v>20</v>
      </c>
      <c r="L672" s="47"/>
      <c r="M672" s="47"/>
      <c r="N672" s="47"/>
      <c r="O672" s="47"/>
      <c r="P672" s="49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3.2">
      <c r="A673" s="47"/>
      <c r="B673" s="5">
        <v>7</v>
      </c>
      <c r="C673" s="5">
        <f t="shared" si="151"/>
        <v>49</v>
      </c>
      <c r="D673" s="20">
        <v>43048</v>
      </c>
      <c r="E673" s="11">
        <v>388.9</v>
      </c>
      <c r="F673" s="12"/>
      <c r="G673" s="47"/>
      <c r="H673" s="47"/>
      <c r="I673" s="48"/>
      <c r="J673" s="47"/>
      <c r="K673" s="48"/>
      <c r="L673" s="47"/>
      <c r="M673" s="47"/>
      <c r="N673" s="47"/>
      <c r="O673" s="47"/>
      <c r="P673" s="49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3.2">
      <c r="A674" s="47"/>
      <c r="B674" s="5">
        <v>7</v>
      </c>
      <c r="C674" s="5">
        <f t="shared" si="151"/>
        <v>50</v>
      </c>
      <c r="D674" s="19">
        <v>43049</v>
      </c>
      <c r="E674" s="11">
        <v>382.2</v>
      </c>
      <c r="F674" s="12">
        <f t="shared" ref="F674:F676" si="157">(E673-E674)/(D674-D673)</f>
        <v>6.6999999999999886</v>
      </c>
      <c r="G674" s="47"/>
      <c r="H674" s="47"/>
      <c r="I674" s="18">
        <v>69.3</v>
      </c>
      <c r="J674" s="48">
        <f>(I672-I674)/(D674-D672)</f>
        <v>3.8999999999999986</v>
      </c>
      <c r="K674" s="18">
        <v>21.2</v>
      </c>
      <c r="L674" s="47"/>
      <c r="M674" s="47"/>
      <c r="N674" s="47"/>
      <c r="O674" s="47"/>
      <c r="P674" s="49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3.2">
      <c r="A675" s="47"/>
      <c r="B675" s="5">
        <v>7</v>
      </c>
      <c r="C675" s="5">
        <f t="shared" si="151"/>
        <v>53</v>
      </c>
      <c r="D675" s="19">
        <v>43052</v>
      </c>
      <c r="E675" s="11">
        <v>368.7</v>
      </c>
      <c r="F675" s="12">
        <f t="shared" si="157"/>
        <v>4.5</v>
      </c>
      <c r="G675" s="47"/>
      <c r="H675" s="47"/>
      <c r="I675" s="18">
        <v>58.9</v>
      </c>
      <c r="J675" s="48">
        <f t="shared" ref="J675:J676" si="158">(I674-I675)/(D675-D674)</f>
        <v>3.4666666666666663</v>
      </c>
      <c r="K675" s="18">
        <v>20.7</v>
      </c>
      <c r="L675" s="47"/>
      <c r="M675" s="47"/>
      <c r="N675" s="47"/>
      <c r="O675" s="47"/>
      <c r="P675" s="49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3.2">
      <c r="A676" s="47"/>
      <c r="B676" s="5">
        <v>7</v>
      </c>
      <c r="C676" s="5">
        <f t="shared" si="151"/>
        <v>55</v>
      </c>
      <c r="D676" s="19">
        <v>43054</v>
      </c>
      <c r="E676" s="11">
        <v>350.2</v>
      </c>
      <c r="F676" s="12">
        <f t="shared" si="157"/>
        <v>9.25</v>
      </c>
      <c r="G676" s="47"/>
      <c r="H676" s="47"/>
      <c r="I676" s="18">
        <v>53.9</v>
      </c>
      <c r="J676" s="48">
        <f t="shared" si="158"/>
        <v>2.5</v>
      </c>
      <c r="K676" s="18">
        <v>20.6</v>
      </c>
      <c r="L676" s="47"/>
      <c r="M676" s="47"/>
      <c r="N676" s="47"/>
      <c r="O676" s="47"/>
      <c r="P676" s="49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3.2">
      <c r="A677" s="47"/>
      <c r="B677" s="5">
        <v>8</v>
      </c>
      <c r="C677" s="5">
        <f t="shared" si="151"/>
        <v>56</v>
      </c>
      <c r="D677" s="20">
        <v>43055</v>
      </c>
      <c r="E677" s="11">
        <v>374.9</v>
      </c>
      <c r="F677" s="12"/>
      <c r="G677" s="47"/>
      <c r="H677" s="47"/>
      <c r="I677" s="48"/>
      <c r="J677" s="47"/>
      <c r="K677" s="48"/>
      <c r="L677" s="47"/>
      <c r="M677" s="47"/>
      <c r="N677" s="47"/>
      <c r="O677" s="47"/>
      <c r="P677" s="49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3.2">
      <c r="A678" s="47"/>
      <c r="B678" s="5">
        <v>8</v>
      </c>
      <c r="C678" s="5">
        <f t="shared" si="151"/>
        <v>57</v>
      </c>
      <c r="D678" s="20">
        <v>43056</v>
      </c>
      <c r="E678" s="11">
        <v>368.8</v>
      </c>
      <c r="F678" s="12">
        <f t="shared" ref="F678:F679" si="159">(E677-E678)/(D678-D677)</f>
        <v>6.0999999999999659</v>
      </c>
      <c r="G678" s="47"/>
      <c r="H678" s="47"/>
      <c r="I678" s="18">
        <v>46.5</v>
      </c>
      <c r="J678" s="48">
        <f>(I676-I678)/(D678-D676)</f>
        <v>3.6999999999999993</v>
      </c>
      <c r="K678" s="18">
        <v>20.7</v>
      </c>
      <c r="L678" s="47"/>
      <c r="M678" s="47"/>
      <c r="N678" s="47"/>
      <c r="O678" s="47"/>
      <c r="P678" s="49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3.2">
      <c r="A679" s="47"/>
      <c r="B679" s="5">
        <v>8</v>
      </c>
      <c r="C679" s="5">
        <f t="shared" si="151"/>
        <v>60</v>
      </c>
      <c r="D679" s="20">
        <v>43059</v>
      </c>
      <c r="E679" s="11">
        <v>353.7</v>
      </c>
      <c r="F679" s="12">
        <f t="shared" si="159"/>
        <v>5.0333333333333412</v>
      </c>
      <c r="G679" s="47"/>
      <c r="H679" s="47"/>
      <c r="I679" s="18">
        <v>37.299999999999997</v>
      </c>
      <c r="J679" s="48">
        <f>(I678-I679)/(D679-D678)</f>
        <v>3.0666666666666678</v>
      </c>
      <c r="K679" s="18">
        <v>20.100000000000001</v>
      </c>
      <c r="L679" s="47"/>
      <c r="M679" s="47"/>
      <c r="N679" s="47"/>
      <c r="O679" s="47"/>
      <c r="P679" s="49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3.2">
      <c r="A680" s="47"/>
      <c r="B680" s="5">
        <v>8</v>
      </c>
      <c r="C680" s="5">
        <f t="shared" si="151"/>
        <v>61</v>
      </c>
      <c r="D680" s="20">
        <v>43060</v>
      </c>
      <c r="E680" s="11">
        <v>365.4</v>
      </c>
      <c r="F680" s="12"/>
      <c r="G680" s="47"/>
      <c r="H680" s="47"/>
      <c r="I680" s="48"/>
      <c r="J680" s="47"/>
      <c r="K680" s="48"/>
      <c r="L680" s="47"/>
      <c r="M680" s="47"/>
      <c r="N680" s="47"/>
      <c r="O680" s="47"/>
      <c r="P680" s="49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3.2">
      <c r="A681" s="47"/>
      <c r="B681" s="5">
        <v>8</v>
      </c>
      <c r="C681" s="5">
        <f t="shared" si="151"/>
        <v>62</v>
      </c>
      <c r="D681" s="20">
        <v>43061</v>
      </c>
      <c r="E681" s="11">
        <v>361.1</v>
      </c>
      <c r="F681" s="12">
        <f t="shared" ref="F681:F684" si="160">(E680-E681)/(D681-D680)</f>
        <v>4.2999999999999545</v>
      </c>
      <c r="G681" s="47"/>
      <c r="H681" s="47"/>
      <c r="I681" s="18">
        <v>84.7</v>
      </c>
      <c r="J681" s="47">
        <f>(101.8-I681)/(D681-D680)</f>
        <v>17.099999999999994</v>
      </c>
      <c r="K681" s="18">
        <v>20.7</v>
      </c>
      <c r="L681" s="47"/>
      <c r="M681" s="47"/>
      <c r="N681" s="47"/>
      <c r="O681" s="47"/>
      <c r="P681" s="49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3.2">
      <c r="A682" s="47"/>
      <c r="B682" s="5">
        <v>9</v>
      </c>
      <c r="C682" s="5">
        <f t="shared" si="151"/>
        <v>64</v>
      </c>
      <c r="D682" s="20">
        <v>43063</v>
      </c>
      <c r="E682" s="11">
        <v>349.8</v>
      </c>
      <c r="F682" s="12">
        <f t="shared" si="160"/>
        <v>5.6500000000000057</v>
      </c>
      <c r="G682" s="47"/>
      <c r="H682" s="47"/>
      <c r="I682" s="18">
        <v>83</v>
      </c>
      <c r="J682" s="48">
        <f t="shared" ref="J682:J684" si="161">(I681-I682)/(D682-D681)</f>
        <v>0.85000000000000142</v>
      </c>
      <c r="K682" s="18">
        <v>20.5</v>
      </c>
      <c r="L682" s="47"/>
      <c r="M682" s="47"/>
      <c r="N682" s="47"/>
      <c r="O682" s="47"/>
      <c r="P682" s="49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3.2">
      <c r="A683" s="47"/>
      <c r="B683" s="5">
        <v>9</v>
      </c>
      <c r="C683" s="5">
        <f t="shared" si="151"/>
        <v>67</v>
      </c>
      <c r="D683" s="23">
        <v>43066</v>
      </c>
      <c r="E683" s="11">
        <v>335.3</v>
      </c>
      <c r="F683" s="12">
        <f t="shared" si="160"/>
        <v>4.833333333333333</v>
      </c>
      <c r="G683" s="47"/>
      <c r="H683" s="47"/>
      <c r="I683" s="18">
        <v>73.3</v>
      </c>
      <c r="J683" s="48">
        <f t="shared" si="161"/>
        <v>3.2333333333333343</v>
      </c>
      <c r="K683" s="18">
        <v>20.6</v>
      </c>
      <c r="L683" s="47"/>
      <c r="M683" s="47"/>
      <c r="N683" s="47"/>
      <c r="O683" s="47"/>
      <c r="P683" s="49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3.2">
      <c r="A684" s="47"/>
      <c r="B684" s="5">
        <v>9</v>
      </c>
      <c r="C684" s="5">
        <f t="shared" si="151"/>
        <v>69</v>
      </c>
      <c r="D684" s="23">
        <v>43068</v>
      </c>
      <c r="E684" s="11">
        <v>324.60000000000002</v>
      </c>
      <c r="F684" s="12">
        <f t="shared" si="160"/>
        <v>5.3499999999999943</v>
      </c>
      <c r="G684" s="47"/>
      <c r="H684" s="47"/>
      <c r="I684" s="18">
        <v>66.900000000000006</v>
      </c>
      <c r="J684" s="48">
        <f t="shared" si="161"/>
        <v>3.1999999999999957</v>
      </c>
      <c r="K684" s="18">
        <v>20.399999999999999</v>
      </c>
      <c r="L684" s="47"/>
      <c r="M684" s="47"/>
      <c r="N684" s="47"/>
      <c r="O684" s="47"/>
      <c r="P684" s="49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3.2">
      <c r="A685" s="47"/>
      <c r="B685" s="5">
        <v>9</v>
      </c>
      <c r="C685" s="5">
        <f t="shared" si="151"/>
        <v>70</v>
      </c>
      <c r="D685" s="23">
        <v>43069</v>
      </c>
      <c r="E685" s="11">
        <v>360.2</v>
      </c>
      <c r="F685" s="12"/>
      <c r="G685" s="47"/>
      <c r="H685" s="47"/>
      <c r="I685" s="48"/>
      <c r="J685" s="47"/>
      <c r="K685" s="48"/>
      <c r="L685" s="47"/>
      <c r="M685" s="47"/>
      <c r="N685" s="47"/>
      <c r="O685" s="47"/>
      <c r="P685" s="49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3.2">
      <c r="A686" s="47"/>
      <c r="B686" s="5">
        <v>10</v>
      </c>
      <c r="C686" s="5">
        <f t="shared" si="151"/>
        <v>71</v>
      </c>
      <c r="D686" s="23">
        <v>43070</v>
      </c>
      <c r="E686" s="11">
        <v>350.2</v>
      </c>
      <c r="F686" s="12">
        <f t="shared" ref="F686:F688" si="162">(E685-E686)/(D686-D685)</f>
        <v>10</v>
      </c>
      <c r="G686" s="47"/>
      <c r="H686" s="47"/>
      <c r="I686" s="18">
        <v>59.9</v>
      </c>
      <c r="J686" s="48">
        <f>(I684-I686)/(D686-D684)</f>
        <v>3.5000000000000036</v>
      </c>
      <c r="K686" s="18">
        <v>21</v>
      </c>
      <c r="L686" s="47"/>
      <c r="M686" s="47"/>
      <c r="N686" s="47"/>
      <c r="O686" s="47"/>
      <c r="P686" s="49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3.2">
      <c r="A687" s="47"/>
      <c r="B687" s="5">
        <v>10</v>
      </c>
      <c r="C687" s="5">
        <f t="shared" si="151"/>
        <v>74</v>
      </c>
      <c r="D687" s="23">
        <v>43073</v>
      </c>
      <c r="E687" s="11">
        <v>336.7</v>
      </c>
      <c r="F687" s="12">
        <f t="shared" si="162"/>
        <v>4.5</v>
      </c>
      <c r="G687" s="47"/>
      <c r="H687" s="47"/>
      <c r="I687" s="18">
        <v>49.9</v>
      </c>
      <c r="J687" s="48">
        <f t="shared" ref="J687:J688" si="163">(I686-I687)/(D687-D686)</f>
        <v>3.3333333333333335</v>
      </c>
      <c r="K687" s="18">
        <v>21.4</v>
      </c>
      <c r="L687" s="47"/>
      <c r="M687" s="47"/>
      <c r="N687" s="47"/>
      <c r="O687" s="47"/>
      <c r="P687" s="49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3.2">
      <c r="A688" s="47"/>
      <c r="B688" s="5">
        <v>10</v>
      </c>
      <c r="C688" s="5">
        <f t="shared" si="151"/>
        <v>76</v>
      </c>
      <c r="D688" s="23">
        <v>43075</v>
      </c>
      <c r="E688" s="11">
        <v>322.10000000000002</v>
      </c>
      <c r="F688" s="12">
        <f t="shared" si="162"/>
        <v>7.2999999999999829</v>
      </c>
      <c r="G688" s="47"/>
      <c r="H688" s="47"/>
      <c r="I688" s="18">
        <v>44</v>
      </c>
      <c r="J688" s="48">
        <f t="shared" si="163"/>
        <v>2.9499999999999993</v>
      </c>
      <c r="K688" s="18">
        <v>20.399999999999999</v>
      </c>
      <c r="L688" s="47"/>
      <c r="M688" s="47"/>
      <c r="N688" s="47"/>
      <c r="O688" s="47"/>
      <c r="P688" s="49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3.2">
      <c r="A689" s="47"/>
      <c r="B689" s="5">
        <v>10</v>
      </c>
      <c r="C689" s="5">
        <f t="shared" si="151"/>
        <v>77</v>
      </c>
      <c r="D689" s="24">
        <v>43076</v>
      </c>
      <c r="E689" s="11">
        <v>381.7</v>
      </c>
      <c r="F689" s="12"/>
      <c r="G689" s="47"/>
      <c r="H689" s="47"/>
      <c r="I689" s="48"/>
      <c r="J689" s="47"/>
      <c r="K689" s="48"/>
      <c r="L689" s="47"/>
      <c r="M689" s="47"/>
      <c r="N689" s="47"/>
      <c r="O689" s="47"/>
      <c r="P689" s="49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3.2">
      <c r="A690" s="47"/>
      <c r="B690" s="5">
        <v>11</v>
      </c>
      <c r="C690" s="5">
        <f t="shared" si="151"/>
        <v>78</v>
      </c>
      <c r="D690" s="24">
        <v>43077</v>
      </c>
      <c r="E690" s="11">
        <v>375.5</v>
      </c>
      <c r="F690" s="12">
        <f t="shared" ref="F690:F692" si="164">(E689-E690)/(D690-D689)</f>
        <v>6.1999999999999886</v>
      </c>
      <c r="G690" s="47"/>
      <c r="H690" s="47"/>
      <c r="I690" s="18">
        <v>37</v>
      </c>
      <c r="J690" s="48">
        <f>(I688-I690)/(D690-D688)</f>
        <v>3.5</v>
      </c>
      <c r="K690" s="18">
        <v>20.9</v>
      </c>
      <c r="L690" s="47"/>
      <c r="M690" s="47"/>
      <c r="N690" s="47"/>
      <c r="O690" s="47"/>
      <c r="P690" s="49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3.2">
      <c r="A691" s="47"/>
      <c r="B691" s="5">
        <v>11</v>
      </c>
      <c r="C691" s="5">
        <f t="shared" si="151"/>
        <v>81</v>
      </c>
      <c r="D691" s="24">
        <v>43080</v>
      </c>
      <c r="E691" s="11">
        <v>361.1</v>
      </c>
      <c r="F691" s="12">
        <f t="shared" si="164"/>
        <v>4.7999999999999927</v>
      </c>
      <c r="G691" s="47"/>
      <c r="H691" s="47"/>
      <c r="I691" s="18">
        <v>41.6</v>
      </c>
      <c r="J691" s="47">
        <f>(51.5-I691)/(D691-D690)</f>
        <v>3.2999999999999994</v>
      </c>
      <c r="K691" s="18">
        <v>20.9</v>
      </c>
      <c r="L691" s="47"/>
      <c r="M691" s="47"/>
      <c r="N691" s="47"/>
      <c r="O691" s="47"/>
      <c r="P691" s="49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3.2">
      <c r="A692" s="50" t="s">
        <v>46</v>
      </c>
      <c r="B692" s="5">
        <v>11</v>
      </c>
      <c r="C692" s="5">
        <f t="shared" si="151"/>
        <v>83</v>
      </c>
      <c r="D692" s="25">
        <v>43082</v>
      </c>
      <c r="E692" s="11">
        <v>348</v>
      </c>
      <c r="F692" s="12">
        <f t="shared" si="164"/>
        <v>6.5500000000000114</v>
      </c>
      <c r="G692" s="47"/>
      <c r="H692" s="47"/>
      <c r="I692" s="18">
        <v>92.4</v>
      </c>
      <c r="J692" s="47">
        <f>(99.1-I692)/(D692-D691)</f>
        <v>3.3499999999999943</v>
      </c>
      <c r="K692" s="18">
        <v>20.9</v>
      </c>
      <c r="L692" s="47"/>
      <c r="M692" s="47"/>
      <c r="N692" s="47"/>
      <c r="O692" s="47"/>
      <c r="P692" s="49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3.2">
      <c r="A693" s="57" t="s">
        <v>28</v>
      </c>
      <c r="B693" s="59">
        <v>11</v>
      </c>
      <c r="C693" s="59">
        <f t="shared" si="151"/>
        <v>85</v>
      </c>
      <c r="D693" s="60">
        <v>43084</v>
      </c>
      <c r="E693" s="61"/>
      <c r="F693" s="61"/>
      <c r="G693" s="62"/>
      <c r="H693" s="62"/>
      <c r="I693" s="63"/>
      <c r="J693" s="62"/>
      <c r="K693" s="64">
        <v>20</v>
      </c>
      <c r="L693" s="62"/>
      <c r="M693" s="62"/>
      <c r="N693" s="62"/>
      <c r="O693" s="62"/>
      <c r="P693" s="65"/>
      <c r="Q693" s="66"/>
      <c r="R693" s="66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3.2">
      <c r="A694" s="47"/>
      <c r="B694" s="50"/>
      <c r="C694" s="5">
        <f t="shared" si="151"/>
        <v>98</v>
      </c>
      <c r="D694" s="32">
        <v>43097</v>
      </c>
      <c r="E694" s="12"/>
      <c r="F694" s="12"/>
      <c r="G694" s="47"/>
      <c r="H694" s="47"/>
      <c r="I694" s="33">
        <v>102.1</v>
      </c>
      <c r="J694" s="47"/>
      <c r="K694" s="33">
        <v>21.4</v>
      </c>
      <c r="L694" s="47"/>
      <c r="M694" s="47"/>
      <c r="N694" s="47"/>
      <c r="O694" s="47"/>
      <c r="P694" s="49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3.2">
      <c r="A695" s="47"/>
      <c r="B695" s="50"/>
      <c r="C695" s="5">
        <f t="shared" si="151"/>
        <v>105</v>
      </c>
      <c r="D695" s="32">
        <v>43104</v>
      </c>
      <c r="E695" s="12"/>
      <c r="F695" s="12"/>
      <c r="G695" s="47"/>
      <c r="H695" s="47"/>
      <c r="I695" s="33">
        <v>76</v>
      </c>
      <c r="J695" s="47"/>
      <c r="K695" s="33">
        <v>21.7</v>
      </c>
      <c r="L695" s="47"/>
      <c r="M695" s="47"/>
      <c r="N695" s="47"/>
      <c r="O695" s="47"/>
      <c r="P695" s="49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3.2">
      <c r="A696" s="47"/>
      <c r="B696" s="50"/>
      <c r="C696" s="5">
        <f t="shared" si="151"/>
        <v>112</v>
      </c>
      <c r="D696" s="32">
        <v>43111</v>
      </c>
      <c r="E696" s="12"/>
      <c r="F696" s="12"/>
      <c r="G696" s="47"/>
      <c r="H696" s="47"/>
      <c r="I696" s="33">
        <v>49.4</v>
      </c>
      <c r="J696" s="47"/>
      <c r="K696" s="33">
        <v>22.1</v>
      </c>
      <c r="L696" s="47"/>
      <c r="M696" s="47"/>
      <c r="N696" s="47"/>
      <c r="O696" s="47"/>
      <c r="P696" s="49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3.2">
      <c r="A697" s="1"/>
      <c r="B697" s="50"/>
      <c r="C697" s="5">
        <v>116</v>
      </c>
      <c r="D697" s="94">
        <v>43115</v>
      </c>
      <c r="E697" s="10"/>
      <c r="F697" s="12"/>
      <c r="G697" s="46"/>
      <c r="H697" s="47"/>
      <c r="I697" s="33"/>
      <c r="J697" s="47"/>
      <c r="K697" s="33"/>
      <c r="L697" s="47"/>
      <c r="M697" s="47"/>
      <c r="N697" s="47"/>
      <c r="O697" s="47"/>
      <c r="P697" s="49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3.2">
      <c r="A698" s="1"/>
      <c r="B698" s="50"/>
      <c r="C698" s="5">
        <v>117</v>
      </c>
      <c r="D698" s="32">
        <v>43116</v>
      </c>
      <c r="E698" s="10"/>
      <c r="F698" s="12"/>
      <c r="G698" s="46"/>
      <c r="H698" s="47"/>
      <c r="I698" s="33">
        <v>29</v>
      </c>
      <c r="J698" s="47"/>
      <c r="K698" s="33">
        <v>22</v>
      </c>
      <c r="L698" s="47"/>
      <c r="M698" s="47"/>
      <c r="N698" s="47"/>
      <c r="O698" s="47"/>
      <c r="P698" s="49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3.2">
      <c r="A699" s="1"/>
      <c r="B699" s="5"/>
      <c r="C699" s="5">
        <v>118</v>
      </c>
      <c r="D699" s="32">
        <v>43117</v>
      </c>
      <c r="E699" s="10"/>
      <c r="F699" s="12"/>
      <c r="G699" s="46"/>
      <c r="H699" s="47"/>
      <c r="I699" s="33">
        <v>63.3</v>
      </c>
      <c r="J699" s="47"/>
      <c r="K699" s="33">
        <v>22.3</v>
      </c>
      <c r="L699" s="47"/>
      <c r="M699" s="47"/>
      <c r="N699" s="47"/>
      <c r="O699" s="47"/>
      <c r="P699" s="49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3.2">
      <c r="A700" s="1"/>
      <c r="B700" s="5"/>
      <c r="C700" s="5">
        <v>119</v>
      </c>
      <c r="D700" s="32">
        <v>43118</v>
      </c>
      <c r="E700" s="10"/>
      <c r="F700" s="12"/>
      <c r="G700" s="46"/>
      <c r="H700" s="47"/>
      <c r="I700" s="33">
        <v>59.8</v>
      </c>
      <c r="J700" s="47"/>
      <c r="K700" s="33">
        <v>22</v>
      </c>
      <c r="L700" s="47"/>
      <c r="M700" s="47"/>
      <c r="N700" s="47"/>
      <c r="O700" s="47"/>
      <c r="P700" s="49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3.2">
      <c r="A701" s="1"/>
      <c r="B701" s="5"/>
      <c r="C701" s="5">
        <v>120</v>
      </c>
      <c r="D701" s="32">
        <v>43119</v>
      </c>
      <c r="E701" s="10"/>
      <c r="F701" s="12"/>
      <c r="G701" s="46"/>
      <c r="H701" s="47"/>
      <c r="I701" s="33">
        <v>57.1</v>
      </c>
      <c r="J701" s="47"/>
      <c r="K701" s="33">
        <v>22.1</v>
      </c>
      <c r="L701" s="47"/>
      <c r="M701" s="47"/>
      <c r="N701" s="47"/>
      <c r="O701" s="47"/>
      <c r="P701" s="49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3.2">
      <c r="A702" s="1"/>
      <c r="B702" s="5"/>
      <c r="C702" s="5">
        <v>121</v>
      </c>
      <c r="D702" s="32">
        <v>43120</v>
      </c>
      <c r="E702" s="10"/>
      <c r="F702" s="12"/>
      <c r="G702" s="46"/>
      <c r="H702" s="47"/>
      <c r="I702" s="33">
        <v>53.5</v>
      </c>
      <c r="J702" s="47"/>
      <c r="K702" s="33">
        <v>22.4</v>
      </c>
      <c r="L702" s="47"/>
      <c r="M702" s="47"/>
      <c r="N702" s="47"/>
      <c r="O702" s="47"/>
      <c r="P702" s="49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3.2">
      <c r="A703" s="1"/>
      <c r="B703" s="5"/>
      <c r="C703" s="5">
        <v>122</v>
      </c>
      <c r="D703" s="32">
        <v>43121</v>
      </c>
      <c r="E703" s="10"/>
      <c r="F703" s="12"/>
      <c r="G703" s="46"/>
      <c r="H703" s="47"/>
      <c r="I703" s="33">
        <v>49.5</v>
      </c>
      <c r="J703" s="47"/>
      <c r="K703" s="33">
        <v>22.7</v>
      </c>
      <c r="L703" s="47"/>
      <c r="M703" s="47"/>
      <c r="N703" s="47"/>
      <c r="O703" s="47"/>
      <c r="P703" s="49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3.2">
      <c r="A704" s="1"/>
      <c r="B704" s="5"/>
      <c r="C704" s="5">
        <v>123</v>
      </c>
      <c r="D704" s="32">
        <v>43122</v>
      </c>
      <c r="E704" s="10"/>
      <c r="F704" s="12"/>
      <c r="G704" s="46"/>
      <c r="H704" s="47"/>
      <c r="I704" s="33">
        <v>45.2</v>
      </c>
      <c r="J704" s="47"/>
      <c r="K704" s="33">
        <v>22.6</v>
      </c>
      <c r="L704" s="47"/>
      <c r="M704" s="47"/>
      <c r="N704" s="47"/>
      <c r="O704" s="47"/>
      <c r="P704" s="49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3.2">
      <c r="A705" s="1"/>
      <c r="B705" s="5"/>
      <c r="C705" s="5">
        <v>124</v>
      </c>
      <c r="D705" s="32">
        <v>43123</v>
      </c>
      <c r="E705" s="10"/>
      <c r="F705" s="12"/>
      <c r="G705" s="46"/>
      <c r="H705" s="47"/>
      <c r="I705" s="33">
        <v>41.3</v>
      </c>
      <c r="J705" s="47"/>
      <c r="K705" s="33">
        <v>22.7</v>
      </c>
      <c r="L705" s="47"/>
      <c r="M705" s="47"/>
      <c r="N705" s="47"/>
      <c r="O705" s="47"/>
      <c r="P705" s="49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3.2">
      <c r="A706" s="1"/>
      <c r="B706" s="5"/>
      <c r="C706" s="5">
        <v>125</v>
      </c>
      <c r="D706" s="52">
        <v>43124</v>
      </c>
      <c r="E706" s="10"/>
      <c r="F706" s="12"/>
      <c r="G706" s="46"/>
      <c r="H706" s="47"/>
      <c r="I706" s="33">
        <v>38.200000000000003</v>
      </c>
      <c r="J706" s="47"/>
      <c r="K706" s="33">
        <v>22.5</v>
      </c>
      <c r="L706" s="47"/>
      <c r="M706" s="47"/>
      <c r="N706" s="47"/>
      <c r="O706" s="47"/>
      <c r="P706" s="49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3.2">
      <c r="A707" s="1"/>
      <c r="B707" s="5"/>
      <c r="C707" s="5">
        <v>126</v>
      </c>
      <c r="D707" s="52">
        <v>43125</v>
      </c>
      <c r="E707" s="10"/>
      <c r="F707" s="12"/>
      <c r="G707" s="46"/>
      <c r="H707" s="47"/>
      <c r="I707" s="33">
        <v>34.700000000000003</v>
      </c>
      <c r="J707" s="47"/>
      <c r="K707" s="33">
        <v>22.1</v>
      </c>
      <c r="L707" s="47"/>
      <c r="M707" s="47"/>
      <c r="N707" s="47"/>
      <c r="O707" s="47"/>
      <c r="P707" s="49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3.2">
      <c r="A708" s="1"/>
      <c r="B708" s="5"/>
      <c r="C708" s="5">
        <v>127</v>
      </c>
      <c r="D708" s="52">
        <v>43126</v>
      </c>
      <c r="E708" s="10"/>
      <c r="F708" s="12"/>
      <c r="G708" s="46"/>
      <c r="H708" s="47"/>
      <c r="I708" s="33">
        <v>71.900000000000006</v>
      </c>
      <c r="J708" s="47"/>
      <c r="K708" s="33">
        <v>22.2</v>
      </c>
      <c r="L708" s="47"/>
      <c r="M708" s="47"/>
      <c r="N708" s="47"/>
      <c r="O708" s="47"/>
      <c r="P708" s="49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3.2">
      <c r="A709" s="1"/>
      <c r="B709" s="5"/>
      <c r="C709" s="5">
        <v>128</v>
      </c>
      <c r="D709" s="52">
        <v>43127</v>
      </c>
      <c r="E709" s="10"/>
      <c r="F709" s="12"/>
      <c r="G709" s="46"/>
      <c r="H709" s="47"/>
      <c r="I709" s="33">
        <v>69.3</v>
      </c>
      <c r="J709" s="47"/>
      <c r="K709" s="33">
        <v>21.6</v>
      </c>
      <c r="L709" s="47"/>
      <c r="M709" s="47"/>
      <c r="N709" s="47"/>
      <c r="O709" s="47"/>
      <c r="P709" s="49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3.2">
      <c r="A710" s="1"/>
      <c r="B710" s="5"/>
      <c r="C710" s="5">
        <v>129</v>
      </c>
      <c r="D710" s="52">
        <v>43128</v>
      </c>
      <c r="E710" s="10"/>
      <c r="F710" s="12"/>
      <c r="G710" s="46"/>
      <c r="H710" s="47"/>
      <c r="I710" s="33">
        <v>66</v>
      </c>
      <c r="J710" s="47"/>
      <c r="K710" s="33">
        <v>21.3</v>
      </c>
      <c r="L710" s="47"/>
      <c r="M710" s="47"/>
      <c r="N710" s="47"/>
      <c r="O710" s="47"/>
      <c r="P710" s="49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3.2">
      <c r="A711" s="1"/>
      <c r="B711" s="5"/>
      <c r="C711" s="5">
        <v>130</v>
      </c>
      <c r="D711" s="52">
        <v>43129</v>
      </c>
      <c r="E711" s="10"/>
      <c r="F711" s="12"/>
      <c r="G711" s="46"/>
      <c r="H711" s="47"/>
      <c r="I711" s="33">
        <v>63.4</v>
      </c>
      <c r="J711" s="47"/>
      <c r="K711" s="33">
        <v>21.3</v>
      </c>
      <c r="L711" s="47"/>
      <c r="M711" s="47"/>
      <c r="N711" s="47"/>
      <c r="O711" s="47"/>
      <c r="P711" s="49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3.2">
      <c r="A712" s="1"/>
      <c r="B712" s="5"/>
      <c r="C712" s="5">
        <v>131</v>
      </c>
      <c r="D712" s="52">
        <v>43130</v>
      </c>
      <c r="E712" s="10"/>
      <c r="F712" s="12"/>
      <c r="G712" s="46"/>
      <c r="H712" s="47"/>
      <c r="I712" s="33">
        <v>60.4</v>
      </c>
      <c r="J712" s="47"/>
      <c r="K712" s="33">
        <v>21.4</v>
      </c>
      <c r="L712" s="47"/>
      <c r="M712" s="47"/>
      <c r="N712" s="47"/>
      <c r="O712" s="47"/>
      <c r="P712" s="49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3.2">
      <c r="A713" s="1"/>
      <c r="B713" s="5"/>
      <c r="C713" s="5">
        <v>132</v>
      </c>
      <c r="D713" s="53">
        <v>43131</v>
      </c>
      <c r="E713" s="10"/>
      <c r="F713" s="12"/>
      <c r="G713" s="46"/>
      <c r="H713" s="47"/>
      <c r="I713" s="33">
        <v>57.4</v>
      </c>
      <c r="J713" s="47"/>
      <c r="K713" s="33">
        <v>21.4</v>
      </c>
      <c r="L713" s="47"/>
      <c r="M713" s="47"/>
      <c r="N713" s="47"/>
      <c r="O713" s="47"/>
      <c r="P713" s="49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3.2">
      <c r="A714" s="1"/>
      <c r="B714" s="5"/>
      <c r="C714" s="5">
        <v>133</v>
      </c>
      <c r="D714" s="32">
        <v>43132</v>
      </c>
      <c r="E714" s="10"/>
      <c r="F714" s="12"/>
      <c r="G714" s="46"/>
      <c r="H714" s="47"/>
      <c r="I714" s="33">
        <v>54.4</v>
      </c>
      <c r="J714" s="37"/>
      <c r="K714" s="33">
        <v>21.6</v>
      </c>
      <c r="L714" s="47"/>
      <c r="M714" s="47"/>
      <c r="N714" s="47"/>
      <c r="O714" s="47"/>
      <c r="P714" s="49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3.2">
      <c r="A715" s="1"/>
      <c r="B715" s="5"/>
      <c r="C715" s="5">
        <v>134</v>
      </c>
      <c r="D715" s="32">
        <v>43133</v>
      </c>
      <c r="E715" s="10"/>
      <c r="F715" s="12"/>
      <c r="G715" s="46"/>
      <c r="H715" s="47"/>
      <c r="I715" s="33">
        <v>57.5</v>
      </c>
      <c r="J715" s="37"/>
      <c r="K715" s="33">
        <v>21.5</v>
      </c>
      <c r="L715" s="47"/>
      <c r="M715" s="47"/>
      <c r="N715" s="47"/>
      <c r="O715" s="47"/>
      <c r="P715" s="49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3.2">
      <c r="A716" s="1"/>
      <c r="B716" s="5"/>
      <c r="C716" s="5">
        <v>135</v>
      </c>
      <c r="D716" s="32">
        <v>43134</v>
      </c>
      <c r="E716" s="10"/>
      <c r="F716" s="12"/>
      <c r="G716" s="46"/>
      <c r="H716" s="47"/>
      <c r="I716" s="33">
        <v>47.5</v>
      </c>
      <c r="J716" s="37"/>
      <c r="K716" s="33">
        <v>21.9</v>
      </c>
      <c r="L716" s="47"/>
      <c r="M716" s="47"/>
      <c r="N716" s="47"/>
      <c r="O716" s="47"/>
      <c r="P716" s="49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3.2">
      <c r="A717" s="1"/>
      <c r="B717" s="5"/>
      <c r="C717" s="5">
        <v>136</v>
      </c>
      <c r="D717" s="32">
        <v>43135</v>
      </c>
      <c r="E717" s="10"/>
      <c r="F717" s="12"/>
      <c r="G717" s="46"/>
      <c r="H717" s="47"/>
      <c r="I717" s="33">
        <v>44.8</v>
      </c>
      <c r="J717" s="37"/>
      <c r="K717" s="33">
        <v>21.4</v>
      </c>
      <c r="L717" s="47"/>
      <c r="M717" s="47"/>
      <c r="N717" s="47"/>
      <c r="O717" s="47"/>
      <c r="P717" s="49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3.2">
      <c r="A718" s="1"/>
      <c r="B718" s="5"/>
      <c r="C718" s="5">
        <v>137</v>
      </c>
      <c r="D718" s="32">
        <v>43136</v>
      </c>
      <c r="E718" s="10"/>
      <c r="F718" s="12"/>
      <c r="G718" s="46"/>
      <c r="H718" s="47"/>
      <c r="I718" s="33">
        <v>41.3</v>
      </c>
      <c r="J718" s="37"/>
      <c r="K718" s="33">
        <v>22.1</v>
      </c>
      <c r="L718" s="47"/>
      <c r="M718" s="47"/>
      <c r="N718" s="47"/>
      <c r="O718" s="47"/>
      <c r="P718" s="49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3.2">
      <c r="A719" s="1"/>
      <c r="B719" s="5"/>
      <c r="C719" s="5">
        <v>138</v>
      </c>
      <c r="D719" s="32">
        <v>43137</v>
      </c>
      <c r="E719" s="10"/>
      <c r="F719" s="12"/>
      <c r="G719" s="46"/>
      <c r="H719" s="47"/>
      <c r="I719" s="33">
        <v>38.5</v>
      </c>
      <c r="J719" s="37"/>
      <c r="K719" s="33">
        <v>21.8</v>
      </c>
      <c r="L719" s="47"/>
      <c r="M719" s="47"/>
      <c r="N719" s="47"/>
      <c r="O719" s="47"/>
      <c r="P719" s="49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3.2">
      <c r="A720" s="1"/>
      <c r="B720" s="5"/>
      <c r="C720" s="5">
        <v>139</v>
      </c>
      <c r="D720" s="20">
        <v>43138</v>
      </c>
      <c r="E720" s="10"/>
      <c r="F720" s="12"/>
      <c r="G720" s="46"/>
      <c r="H720" s="47"/>
      <c r="I720" s="13">
        <v>86.2</v>
      </c>
      <c r="J720" s="47"/>
      <c r="K720" s="13">
        <v>22</v>
      </c>
      <c r="L720" s="47"/>
      <c r="M720" s="47"/>
      <c r="N720" s="47"/>
      <c r="O720" s="47"/>
      <c r="P720" s="49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3.2">
      <c r="A721" s="1"/>
      <c r="B721" s="5"/>
      <c r="C721" s="5">
        <v>140</v>
      </c>
      <c r="D721" s="20">
        <v>43139</v>
      </c>
      <c r="E721" s="10"/>
      <c r="F721" s="12"/>
      <c r="G721" s="46"/>
      <c r="H721" s="47"/>
      <c r="I721" s="13">
        <v>83.5</v>
      </c>
      <c r="J721" s="47"/>
      <c r="K721" s="13">
        <v>21.4</v>
      </c>
      <c r="L721" s="47"/>
      <c r="M721" s="47"/>
      <c r="N721" s="47"/>
      <c r="O721" s="47"/>
      <c r="P721" s="49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3.2">
      <c r="A722" s="1"/>
      <c r="B722" s="5"/>
      <c r="C722" s="5">
        <v>141</v>
      </c>
      <c r="D722" s="20">
        <v>43140</v>
      </c>
      <c r="E722" s="10"/>
      <c r="F722" s="12"/>
      <c r="G722" s="46"/>
      <c r="H722" s="47"/>
      <c r="I722" s="13">
        <v>80.2</v>
      </c>
      <c r="J722" s="47"/>
      <c r="K722" s="13">
        <v>22</v>
      </c>
      <c r="L722" s="47"/>
      <c r="M722" s="47"/>
      <c r="N722" s="47"/>
      <c r="O722" s="47"/>
      <c r="P722" s="49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3.2">
      <c r="A723" s="1"/>
      <c r="B723" s="5"/>
      <c r="C723" s="5">
        <v>142</v>
      </c>
      <c r="D723" s="20">
        <v>43141</v>
      </c>
      <c r="E723" s="10"/>
      <c r="F723" s="12"/>
      <c r="G723" s="46"/>
      <c r="H723" s="47"/>
      <c r="I723" s="13">
        <v>77.099999999999994</v>
      </c>
      <c r="J723" s="47"/>
      <c r="K723" s="13">
        <v>22</v>
      </c>
      <c r="L723" s="47"/>
      <c r="M723" s="47"/>
      <c r="N723" s="47"/>
      <c r="O723" s="47"/>
      <c r="P723" s="49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3.2">
      <c r="A724" s="1"/>
      <c r="B724" s="5"/>
      <c r="C724" s="5">
        <v>143</v>
      </c>
      <c r="D724" s="20">
        <v>43142</v>
      </c>
      <c r="E724" s="10"/>
      <c r="F724" s="12"/>
      <c r="G724" s="46"/>
      <c r="H724" s="47"/>
      <c r="I724" s="13">
        <v>74.2</v>
      </c>
      <c r="J724" s="47"/>
      <c r="K724" s="13">
        <v>22</v>
      </c>
      <c r="L724" s="47"/>
      <c r="M724" s="47"/>
      <c r="N724" s="47"/>
      <c r="O724" s="47"/>
      <c r="P724" s="49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3.2">
      <c r="A725" s="1"/>
      <c r="B725" s="5"/>
      <c r="C725" s="5">
        <v>144</v>
      </c>
      <c r="D725" s="20">
        <v>43143</v>
      </c>
      <c r="E725" s="10"/>
      <c r="F725" s="12"/>
      <c r="G725" s="46"/>
      <c r="H725" s="47"/>
      <c r="I725" s="13">
        <v>71.099999999999994</v>
      </c>
      <c r="J725" s="47"/>
      <c r="K725" s="13">
        <v>22</v>
      </c>
      <c r="L725" s="47"/>
      <c r="M725" s="47"/>
      <c r="N725" s="47"/>
      <c r="O725" s="47"/>
      <c r="P725" s="49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3.2">
      <c r="A726" s="1"/>
      <c r="B726" s="5"/>
      <c r="C726" s="5">
        <v>145</v>
      </c>
      <c r="D726" s="20">
        <v>43144</v>
      </c>
      <c r="E726" s="10"/>
      <c r="F726" s="12"/>
      <c r="G726" s="46"/>
      <c r="H726" s="47"/>
      <c r="I726" s="13">
        <v>67.8</v>
      </c>
      <c r="J726" s="47"/>
      <c r="K726" s="13">
        <v>22.5</v>
      </c>
      <c r="L726" s="47"/>
      <c r="M726" s="47"/>
      <c r="N726" s="47"/>
      <c r="O726" s="47"/>
      <c r="P726" s="49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3.2">
      <c r="A727" s="1"/>
      <c r="B727" s="5"/>
      <c r="C727" s="5">
        <v>146</v>
      </c>
      <c r="D727" s="20">
        <v>43145</v>
      </c>
      <c r="E727" s="10"/>
      <c r="F727" s="12"/>
      <c r="G727" s="46"/>
      <c r="H727" s="47"/>
      <c r="I727" s="13">
        <v>64.599999999999994</v>
      </c>
      <c r="J727" s="47"/>
      <c r="K727" s="13">
        <v>22.7</v>
      </c>
      <c r="L727" s="47"/>
      <c r="M727" s="47"/>
      <c r="N727" s="47"/>
      <c r="O727" s="47"/>
      <c r="P727" s="49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3.2">
      <c r="A728" s="1"/>
      <c r="B728" s="5"/>
      <c r="C728" s="5">
        <v>147</v>
      </c>
      <c r="D728" s="20">
        <v>43146</v>
      </c>
      <c r="E728" s="10"/>
      <c r="F728" s="12"/>
      <c r="G728" s="46"/>
      <c r="H728" s="47"/>
      <c r="I728" s="13">
        <v>61.7</v>
      </c>
      <c r="J728" s="47"/>
      <c r="K728" s="13">
        <v>22.6</v>
      </c>
      <c r="L728" s="47"/>
      <c r="M728" s="47"/>
      <c r="N728" s="47"/>
      <c r="O728" s="47"/>
      <c r="P728" s="49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3.2">
      <c r="A729" s="1"/>
      <c r="B729" s="5"/>
      <c r="C729" s="5">
        <v>148</v>
      </c>
      <c r="D729" s="20">
        <v>43147</v>
      </c>
      <c r="E729" s="10"/>
      <c r="F729" s="12"/>
      <c r="G729" s="46"/>
      <c r="H729" s="47"/>
      <c r="I729" s="13">
        <v>58.6</v>
      </c>
      <c r="J729" s="47"/>
      <c r="K729" s="13">
        <v>22.4</v>
      </c>
      <c r="L729" s="47"/>
      <c r="M729" s="47"/>
      <c r="N729" s="47"/>
      <c r="O729" s="47"/>
      <c r="P729" s="49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3.2">
      <c r="A730" s="1"/>
      <c r="B730" s="5"/>
      <c r="C730" s="5">
        <v>149</v>
      </c>
      <c r="D730" s="20">
        <v>43148</v>
      </c>
      <c r="E730" s="10"/>
      <c r="F730" s="12"/>
      <c r="G730" s="46"/>
      <c r="H730" s="47"/>
      <c r="I730" s="13">
        <v>55.6</v>
      </c>
      <c r="J730" s="47"/>
      <c r="K730" s="13">
        <v>22.7</v>
      </c>
      <c r="L730" s="47"/>
      <c r="M730" s="47"/>
      <c r="N730" s="47"/>
      <c r="O730" s="47"/>
      <c r="P730" s="49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3.2">
      <c r="A731" s="1"/>
      <c r="B731" s="5"/>
      <c r="C731" s="5">
        <f t="shared" ref="C731:C740" si="165">C730+1</f>
        <v>150</v>
      </c>
      <c r="D731" s="9">
        <f t="shared" ref="D731:D740" si="166">D730+DATE(0,1,0)</f>
        <v>43148</v>
      </c>
      <c r="E731" s="10"/>
      <c r="F731" s="12"/>
      <c r="G731" s="46"/>
      <c r="H731" s="47"/>
      <c r="I731" s="13">
        <v>53.2</v>
      </c>
      <c r="J731" s="47"/>
      <c r="K731" s="13">
        <v>22.3</v>
      </c>
      <c r="L731" s="47"/>
      <c r="M731" s="47"/>
      <c r="N731" s="47"/>
      <c r="O731" s="47"/>
      <c r="P731" s="49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3.2">
      <c r="A732" s="1"/>
      <c r="B732" s="5"/>
      <c r="C732" s="5">
        <f t="shared" si="165"/>
        <v>151</v>
      </c>
      <c r="D732" s="9">
        <f t="shared" si="166"/>
        <v>43148</v>
      </c>
      <c r="E732" s="10"/>
      <c r="F732" s="12"/>
      <c r="G732" s="46"/>
      <c r="H732" s="47"/>
      <c r="I732" s="13">
        <v>49.9</v>
      </c>
      <c r="J732" s="47"/>
      <c r="K732" s="13">
        <v>22.6</v>
      </c>
      <c r="L732" s="47"/>
      <c r="M732" s="47"/>
      <c r="N732" s="47"/>
      <c r="O732" s="47"/>
      <c r="P732" s="49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3.2">
      <c r="A733" s="1"/>
      <c r="B733" s="5"/>
      <c r="C733" s="5">
        <f t="shared" si="165"/>
        <v>152</v>
      </c>
      <c r="D733" s="9">
        <f t="shared" si="166"/>
        <v>43148</v>
      </c>
      <c r="E733" s="10"/>
      <c r="F733" s="12"/>
      <c r="G733" s="46"/>
      <c r="H733" s="47"/>
      <c r="I733" s="13">
        <v>46.6</v>
      </c>
      <c r="J733" s="47"/>
      <c r="K733" s="13">
        <v>22.5</v>
      </c>
      <c r="L733" s="47"/>
      <c r="M733" s="47"/>
      <c r="N733" s="47"/>
      <c r="O733" s="47"/>
      <c r="P733" s="49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3.2">
      <c r="A734" s="1"/>
      <c r="B734" s="5"/>
      <c r="C734" s="5">
        <f t="shared" si="165"/>
        <v>153</v>
      </c>
      <c r="D734" s="9">
        <f t="shared" si="166"/>
        <v>43148</v>
      </c>
      <c r="E734" s="10"/>
      <c r="F734" s="12"/>
      <c r="G734" s="46"/>
      <c r="H734" s="47"/>
      <c r="I734" s="13">
        <v>43.7</v>
      </c>
      <c r="J734" s="47"/>
      <c r="K734" s="13">
        <v>22.5</v>
      </c>
      <c r="L734" s="47"/>
      <c r="M734" s="47"/>
      <c r="N734" s="47"/>
      <c r="O734" s="47"/>
      <c r="P734" s="49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3.2">
      <c r="A735" s="1"/>
      <c r="B735" s="5"/>
      <c r="C735" s="5">
        <f t="shared" si="165"/>
        <v>154</v>
      </c>
      <c r="D735" s="9">
        <f t="shared" si="166"/>
        <v>43148</v>
      </c>
      <c r="E735" s="10"/>
      <c r="F735" s="12"/>
      <c r="G735" s="46"/>
      <c r="H735" s="47"/>
      <c r="I735" s="13">
        <v>39.9</v>
      </c>
      <c r="J735" s="47"/>
      <c r="K735" s="13">
        <v>23</v>
      </c>
      <c r="L735" s="47"/>
      <c r="M735" s="47"/>
      <c r="N735" s="47"/>
      <c r="O735" s="47"/>
      <c r="P735" s="49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3.2">
      <c r="A736" s="1"/>
      <c r="B736" s="5"/>
      <c r="C736" s="5">
        <f t="shared" si="165"/>
        <v>155</v>
      </c>
      <c r="D736" s="9">
        <f t="shared" si="166"/>
        <v>43148</v>
      </c>
      <c r="E736" s="10"/>
      <c r="F736" s="12"/>
      <c r="G736" s="46"/>
      <c r="H736" s="47"/>
      <c r="I736" s="13">
        <v>101.3</v>
      </c>
      <c r="J736" s="47"/>
      <c r="K736" s="13">
        <v>22.5</v>
      </c>
      <c r="L736" s="47"/>
      <c r="M736" s="47"/>
      <c r="N736" s="47"/>
      <c r="O736" s="47"/>
      <c r="P736" s="49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3.2">
      <c r="A737" s="1"/>
      <c r="B737" s="5"/>
      <c r="C737" s="5">
        <f t="shared" si="165"/>
        <v>156</v>
      </c>
      <c r="D737" s="9">
        <f t="shared" si="166"/>
        <v>43148</v>
      </c>
      <c r="E737" s="10"/>
      <c r="F737" s="12"/>
      <c r="G737" s="46"/>
      <c r="H737" s="47"/>
      <c r="I737" s="13">
        <v>98.2</v>
      </c>
      <c r="J737" s="47"/>
      <c r="K737" s="13">
        <v>22.4</v>
      </c>
      <c r="L737" s="47"/>
      <c r="M737" s="47"/>
      <c r="N737" s="47"/>
      <c r="O737" s="47"/>
      <c r="P737" s="49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3.2">
      <c r="A738" s="1"/>
      <c r="B738" s="5"/>
      <c r="C738" s="5">
        <f t="shared" si="165"/>
        <v>157</v>
      </c>
      <c r="D738" s="9">
        <f t="shared" si="166"/>
        <v>43148</v>
      </c>
      <c r="E738" s="10"/>
      <c r="F738" s="12"/>
      <c r="G738" s="46"/>
      <c r="H738" s="47"/>
      <c r="I738" s="13">
        <v>95.1</v>
      </c>
      <c r="J738" s="47"/>
      <c r="K738" s="13">
        <v>22.3</v>
      </c>
      <c r="L738" s="47"/>
      <c r="M738" s="47"/>
      <c r="N738" s="47"/>
      <c r="O738" s="47"/>
      <c r="P738" s="49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3.2">
      <c r="A739" s="1"/>
      <c r="B739" s="5"/>
      <c r="C739" s="5">
        <f t="shared" si="165"/>
        <v>158</v>
      </c>
      <c r="D739" s="9">
        <f t="shared" si="166"/>
        <v>43148</v>
      </c>
      <c r="E739" s="10"/>
      <c r="F739" s="12"/>
      <c r="G739" s="46"/>
      <c r="H739" s="47"/>
      <c r="I739" s="13">
        <v>92.4</v>
      </c>
      <c r="J739" s="47"/>
      <c r="K739" s="13">
        <v>22.6</v>
      </c>
      <c r="L739" s="47"/>
      <c r="M739" s="47"/>
      <c r="N739" s="47"/>
      <c r="O739" s="47"/>
      <c r="P739" s="49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3.2">
      <c r="A740" s="1"/>
      <c r="B740" s="5"/>
      <c r="C740" s="5">
        <f t="shared" si="165"/>
        <v>159</v>
      </c>
      <c r="D740" s="9">
        <f t="shared" si="166"/>
        <v>43148</v>
      </c>
      <c r="E740" s="10"/>
      <c r="F740" s="12"/>
      <c r="G740" s="46"/>
      <c r="H740" s="47"/>
      <c r="I740" s="13">
        <v>89.3</v>
      </c>
      <c r="J740" s="47"/>
      <c r="K740" s="13">
        <v>22.6</v>
      </c>
      <c r="L740" s="47"/>
      <c r="M740" s="47"/>
      <c r="N740" s="47"/>
      <c r="O740" s="47"/>
      <c r="P740" s="49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3.2">
      <c r="A741" s="1"/>
      <c r="B741" s="5"/>
      <c r="C741" s="5">
        <v>166</v>
      </c>
      <c r="D741" s="24">
        <v>43165</v>
      </c>
      <c r="E741" s="10"/>
      <c r="F741" s="12"/>
      <c r="G741" s="46"/>
      <c r="H741" s="47"/>
      <c r="I741" s="13">
        <v>66.8</v>
      </c>
      <c r="J741" s="47"/>
      <c r="K741" s="13">
        <v>22.5</v>
      </c>
      <c r="L741" s="47"/>
      <c r="M741" s="47"/>
      <c r="N741" s="47"/>
      <c r="O741" s="47"/>
      <c r="P741" s="49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3.2">
      <c r="A742" s="1"/>
      <c r="B742" s="5"/>
      <c r="C742" s="50">
        <v>173</v>
      </c>
      <c r="D742" s="24">
        <v>43172</v>
      </c>
      <c r="E742" s="10"/>
      <c r="F742" s="12"/>
      <c r="G742" s="46"/>
      <c r="H742" s="47"/>
      <c r="I742" s="13">
        <v>43.7</v>
      </c>
      <c r="J742" s="47"/>
      <c r="K742" s="13">
        <v>22.5</v>
      </c>
      <c r="L742" s="47"/>
      <c r="M742" s="47"/>
      <c r="N742" s="47"/>
      <c r="O742" s="47"/>
      <c r="P742" s="49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3.2">
      <c r="A743" s="1"/>
      <c r="B743" s="5"/>
      <c r="C743" s="5"/>
      <c r="D743" s="9"/>
      <c r="E743" s="10"/>
      <c r="F743" s="12"/>
      <c r="G743" s="46"/>
      <c r="H743" s="47"/>
      <c r="I743" s="13"/>
      <c r="J743" s="47"/>
      <c r="K743" s="13"/>
      <c r="L743" s="47"/>
      <c r="M743" s="47"/>
      <c r="N743" s="47"/>
      <c r="O743" s="47"/>
      <c r="P743" s="49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3.2">
      <c r="A744" s="1"/>
      <c r="B744" s="5"/>
      <c r="C744" s="5"/>
      <c r="D744" s="9"/>
      <c r="E744" s="10"/>
      <c r="F744" s="12"/>
      <c r="G744" s="46"/>
      <c r="H744" s="47"/>
      <c r="I744" s="13"/>
      <c r="J744" s="47"/>
      <c r="K744" s="13"/>
      <c r="L744" s="47"/>
      <c r="M744" s="47"/>
      <c r="N744" s="47"/>
      <c r="O744" s="47"/>
      <c r="P744" s="49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3.2">
      <c r="A745" s="1"/>
      <c r="B745" s="5"/>
      <c r="C745" s="5"/>
      <c r="D745" s="9"/>
      <c r="E745" s="10"/>
      <c r="F745" s="12"/>
      <c r="G745" s="46"/>
      <c r="H745" s="47"/>
      <c r="I745" s="13"/>
      <c r="J745" s="47"/>
      <c r="K745" s="13"/>
      <c r="L745" s="47"/>
      <c r="M745" s="47"/>
      <c r="N745" s="47"/>
      <c r="O745" s="47"/>
      <c r="P745" s="49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3.2">
      <c r="A746" s="1"/>
      <c r="B746" s="5"/>
      <c r="C746" s="5"/>
      <c r="D746" s="9"/>
      <c r="E746" s="10"/>
      <c r="F746" s="12"/>
      <c r="G746" s="46"/>
      <c r="H746" s="47"/>
      <c r="I746" s="13"/>
      <c r="J746" s="47"/>
      <c r="K746" s="13"/>
      <c r="L746" s="47"/>
      <c r="M746" s="47"/>
      <c r="N746" s="47"/>
      <c r="O746" s="47"/>
      <c r="P746" s="49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3.2">
      <c r="A747" s="1"/>
      <c r="B747" s="5"/>
      <c r="C747" s="5"/>
      <c r="D747" s="9"/>
      <c r="E747" s="10"/>
      <c r="F747" s="12"/>
      <c r="G747" s="46"/>
      <c r="H747" s="47"/>
      <c r="I747" s="13"/>
      <c r="J747" s="47"/>
      <c r="K747" s="13"/>
      <c r="L747" s="47"/>
      <c r="M747" s="47"/>
      <c r="N747" s="47"/>
      <c r="O747" s="47"/>
      <c r="P747" s="49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3.2">
      <c r="A748" s="1"/>
      <c r="B748" s="5"/>
      <c r="C748" s="5"/>
      <c r="D748" s="9"/>
      <c r="E748" s="10"/>
      <c r="F748" s="12"/>
      <c r="G748" s="46"/>
      <c r="H748" s="47"/>
      <c r="I748" s="13"/>
      <c r="J748" s="47"/>
      <c r="K748" s="13"/>
      <c r="L748" s="47"/>
      <c r="M748" s="47"/>
      <c r="N748" s="47"/>
      <c r="O748" s="47"/>
      <c r="P748" s="49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3.2">
      <c r="A749" s="1"/>
      <c r="B749" s="5"/>
      <c r="C749" s="5"/>
      <c r="D749" s="9"/>
      <c r="E749" s="10"/>
      <c r="F749" s="12"/>
      <c r="G749" s="46"/>
      <c r="H749" s="47"/>
      <c r="I749" s="13"/>
      <c r="J749" s="47"/>
      <c r="K749" s="13"/>
      <c r="L749" s="47"/>
      <c r="M749" s="47"/>
      <c r="N749" s="47"/>
      <c r="O749" s="47"/>
      <c r="P749" s="49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3.2">
      <c r="A750" s="1"/>
      <c r="B750" s="5"/>
      <c r="C750" s="5"/>
      <c r="D750" s="9"/>
      <c r="E750" s="10"/>
      <c r="F750" s="12"/>
      <c r="G750" s="46"/>
      <c r="H750" s="47"/>
      <c r="I750" s="13"/>
      <c r="J750" s="47"/>
      <c r="K750" s="13"/>
      <c r="L750" s="47"/>
      <c r="M750" s="47"/>
      <c r="N750" s="47"/>
      <c r="O750" s="47"/>
      <c r="P750" s="49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26.4">
      <c r="A751" s="45" t="s">
        <v>95</v>
      </c>
      <c r="B751" s="5">
        <v>0</v>
      </c>
      <c r="C751" s="5">
        <v>0</v>
      </c>
      <c r="D751" s="9">
        <v>42992</v>
      </c>
      <c r="E751" s="10">
        <v>387.6</v>
      </c>
      <c r="F751" s="12" t="s">
        <v>21</v>
      </c>
      <c r="G751" s="46">
        <f>AVERAGE(F752:F767)</f>
        <v>7.8345238095238114</v>
      </c>
      <c r="H751" s="47"/>
      <c r="I751" s="13">
        <v>114.2</v>
      </c>
      <c r="J751" s="47"/>
      <c r="K751" s="13">
        <v>22.1</v>
      </c>
      <c r="L751" s="47"/>
      <c r="M751" s="47"/>
      <c r="N751" s="47"/>
      <c r="O751" s="47"/>
      <c r="P751" s="49">
        <f>SUM(O751:O760)-104.4</f>
        <v>362.29999999999995</v>
      </c>
      <c r="Q751" s="7"/>
      <c r="R751" s="7"/>
      <c r="S751" s="73">
        <f>I755-I761</f>
        <v>53.399999999999991</v>
      </c>
      <c r="T751" s="7">
        <f>SUM(S751:S758)*3.1</f>
        <v>985.80000000000007</v>
      </c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3.2">
      <c r="A752" s="50" t="s">
        <v>23</v>
      </c>
      <c r="B752" s="5">
        <v>0</v>
      </c>
      <c r="C752" s="5">
        <v>0</v>
      </c>
      <c r="D752" s="9">
        <v>42993</v>
      </c>
      <c r="E752" s="10">
        <v>379.9</v>
      </c>
      <c r="F752" s="12">
        <f>E751-E752</f>
        <v>7.7000000000000455</v>
      </c>
      <c r="G752" s="47"/>
      <c r="H752" s="47"/>
      <c r="I752" s="13">
        <v>110.5</v>
      </c>
      <c r="J752" s="51">
        <f t="shared" ref="J752:J761" si="167">(I751-I752)/(D752-D751)</f>
        <v>3.7000000000000028</v>
      </c>
      <c r="K752" s="13">
        <v>22.3</v>
      </c>
      <c r="L752" s="47"/>
      <c r="M752" s="47"/>
      <c r="N752" s="47"/>
      <c r="O752" s="46">
        <f>383.1-E761</f>
        <v>103.80000000000001</v>
      </c>
      <c r="P752" s="49"/>
      <c r="Q752" s="7"/>
      <c r="R752" s="7"/>
      <c r="S752" s="73">
        <f>57.8-I765</f>
        <v>28.4</v>
      </c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3.2">
      <c r="A753" s="47"/>
      <c r="B753" s="5">
        <v>0</v>
      </c>
      <c r="C753" s="5">
        <v>0</v>
      </c>
      <c r="D753" s="9">
        <v>42996</v>
      </c>
      <c r="E753" s="10">
        <v>362.6</v>
      </c>
      <c r="F753" s="12">
        <f t="shared" ref="F753:F755" si="168">(E752-E753)/(D753-D752)</f>
        <v>5.7666666666666515</v>
      </c>
      <c r="G753" s="47"/>
      <c r="H753" s="47"/>
      <c r="I753" s="13">
        <v>98.1</v>
      </c>
      <c r="J753" s="51">
        <f t="shared" si="167"/>
        <v>4.1333333333333355</v>
      </c>
      <c r="K753" s="13">
        <v>24.2</v>
      </c>
      <c r="L753" s="47"/>
      <c r="M753" s="47"/>
      <c r="N753" s="47"/>
      <c r="O753" s="46">
        <f>E762-E765</f>
        <v>42.099999999999966</v>
      </c>
      <c r="P753" s="49"/>
      <c r="Q753" s="7"/>
      <c r="R753" s="7"/>
      <c r="S753" s="73">
        <f>49.2-I771</f>
        <v>35.400000000000006</v>
      </c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3.2">
      <c r="A754" s="47"/>
      <c r="B754" s="5">
        <v>0</v>
      </c>
      <c r="C754" s="5">
        <v>0</v>
      </c>
      <c r="D754" s="9">
        <v>42998</v>
      </c>
      <c r="E754" s="10">
        <v>350.6</v>
      </c>
      <c r="F754" s="12">
        <f t="shared" si="168"/>
        <v>6</v>
      </c>
      <c r="G754" s="47"/>
      <c r="H754" s="47"/>
      <c r="I754" s="13">
        <v>90.2</v>
      </c>
      <c r="J754" s="51">
        <f t="shared" si="167"/>
        <v>3.9499999999999957</v>
      </c>
      <c r="K754" s="13">
        <v>24.8</v>
      </c>
      <c r="L754" s="47"/>
      <c r="M754" s="47"/>
      <c r="N754" s="47"/>
      <c r="O754" s="46">
        <f>E766-E769</f>
        <v>43</v>
      </c>
      <c r="P754" s="49"/>
      <c r="Q754" s="7"/>
      <c r="R754" s="7"/>
      <c r="S754" s="73">
        <f>49.3-I772</f>
        <v>13.5</v>
      </c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3.2">
      <c r="A755" s="47"/>
      <c r="B755" s="5">
        <v>0.5</v>
      </c>
      <c r="C755" s="5">
        <v>0</v>
      </c>
      <c r="D755" s="9">
        <v>42999</v>
      </c>
      <c r="E755" s="10">
        <v>342.5</v>
      </c>
      <c r="F755" s="12">
        <f t="shared" si="168"/>
        <v>8.1000000000000227</v>
      </c>
      <c r="G755" s="47"/>
      <c r="H755" s="47"/>
      <c r="I755" s="13">
        <v>86.6</v>
      </c>
      <c r="J755" s="51">
        <f t="shared" si="167"/>
        <v>3.6000000000000085</v>
      </c>
      <c r="K755" s="13">
        <v>24.7</v>
      </c>
      <c r="L755" s="47"/>
      <c r="M755" s="47"/>
      <c r="N755" s="47"/>
      <c r="O755" s="46">
        <f>E770-E777</f>
        <v>71.199999999999989</v>
      </c>
      <c r="P755" s="49"/>
      <c r="Q755" s="7"/>
      <c r="R755" s="7"/>
      <c r="S755" s="73">
        <f>84.8-I780</f>
        <v>51.3</v>
      </c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3.2">
      <c r="A756" s="47"/>
      <c r="B756" s="5">
        <v>0.5</v>
      </c>
      <c r="C756" s="5">
        <f t="shared" ref="C756:C757" si="169">D756-$D755</f>
        <v>1</v>
      </c>
      <c r="D756" s="9">
        <v>43000</v>
      </c>
      <c r="E756" s="10">
        <v>374</v>
      </c>
      <c r="F756" s="12">
        <f>(383.1-E756)/(D756-D755)</f>
        <v>9.1000000000000227</v>
      </c>
      <c r="G756" s="47"/>
      <c r="H756" s="47"/>
      <c r="I756" s="13">
        <v>81.900000000000006</v>
      </c>
      <c r="J756" s="51">
        <f t="shared" si="167"/>
        <v>4.6999999999999886</v>
      </c>
      <c r="K756" s="13">
        <v>25</v>
      </c>
      <c r="L756" s="47"/>
      <c r="M756" s="47"/>
      <c r="N756" s="47"/>
      <c r="O756" s="46">
        <f>E778-E781</f>
        <v>33.699999999999989</v>
      </c>
      <c r="P756" s="49"/>
      <c r="Q756" s="7"/>
      <c r="R756" s="7"/>
      <c r="S756" s="73">
        <f>84.8-I788</f>
        <v>55.4</v>
      </c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3.2">
      <c r="A757" s="47"/>
      <c r="B757" s="5">
        <v>0.5</v>
      </c>
      <c r="C757" s="5">
        <f t="shared" si="169"/>
        <v>3</v>
      </c>
      <c r="D757" s="9">
        <v>43003</v>
      </c>
      <c r="E757" s="10">
        <v>350.9</v>
      </c>
      <c r="F757" s="12">
        <f t="shared" ref="F757:F761" si="170">(E756-E757)/(D757-D756)</f>
        <v>7.7000000000000073</v>
      </c>
      <c r="G757" s="47"/>
      <c r="H757" s="47"/>
      <c r="I757" s="13">
        <v>69.2</v>
      </c>
      <c r="J757" s="51">
        <f t="shared" si="167"/>
        <v>4.2333333333333343</v>
      </c>
      <c r="K757" s="13">
        <v>25.4</v>
      </c>
      <c r="L757" s="47"/>
      <c r="M757" s="47"/>
      <c r="N757" s="47"/>
      <c r="O757" s="46">
        <f>E782-E785</f>
        <v>43.100000000000023</v>
      </c>
      <c r="P757" s="49"/>
      <c r="Q757" s="7"/>
      <c r="R757" s="7"/>
      <c r="S757" s="73">
        <f>83.9-I796</f>
        <v>48.900000000000006</v>
      </c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3.2">
      <c r="A758" s="47"/>
      <c r="B758" s="5">
        <v>1</v>
      </c>
      <c r="C758" s="5">
        <f>D758-$D755</f>
        <v>6</v>
      </c>
      <c r="D758" s="9">
        <v>43005</v>
      </c>
      <c r="E758" s="10">
        <v>336.8</v>
      </c>
      <c r="F758" s="12">
        <f t="shared" si="170"/>
        <v>7.0499999999999829</v>
      </c>
      <c r="G758" s="47"/>
      <c r="H758" s="47"/>
      <c r="I758" s="13">
        <v>61.2</v>
      </c>
      <c r="J758" s="51">
        <f t="shared" si="167"/>
        <v>4</v>
      </c>
      <c r="K758" s="18">
        <v>25.4</v>
      </c>
      <c r="L758" s="47"/>
      <c r="M758" s="47"/>
      <c r="N758" s="47"/>
      <c r="O758" s="46">
        <f>E786-E793</f>
        <v>63.899999999999977</v>
      </c>
      <c r="P758" s="49"/>
      <c r="Q758" s="7"/>
      <c r="R758" s="7"/>
      <c r="S758" s="73">
        <f>82.7-I801</f>
        <v>31.700000000000003</v>
      </c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3.2">
      <c r="A759" s="47"/>
      <c r="B759" s="5">
        <v>1</v>
      </c>
      <c r="C759" s="5">
        <f>D759-D755</f>
        <v>8</v>
      </c>
      <c r="D759" s="9">
        <v>43007</v>
      </c>
      <c r="E759" s="10">
        <v>320.89999999999998</v>
      </c>
      <c r="F759" s="12">
        <f t="shared" si="170"/>
        <v>7.9500000000000171</v>
      </c>
      <c r="G759" s="47"/>
      <c r="H759" s="47"/>
      <c r="I759" s="13">
        <v>52.3</v>
      </c>
      <c r="J759" s="47">
        <f t="shared" si="167"/>
        <v>4.4500000000000028</v>
      </c>
      <c r="K759" s="13">
        <v>25.7</v>
      </c>
      <c r="L759" s="47"/>
      <c r="M759" s="47"/>
      <c r="N759" s="47"/>
      <c r="O759" s="46">
        <f>E794-E797</f>
        <v>32.5</v>
      </c>
      <c r="P759" s="49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3.2">
      <c r="A760" s="47"/>
      <c r="B760" s="5">
        <v>1</v>
      </c>
      <c r="C760" s="5">
        <f>D760-D755</f>
        <v>11</v>
      </c>
      <c r="D760" s="19">
        <v>43010</v>
      </c>
      <c r="E760" s="11">
        <v>299.2</v>
      </c>
      <c r="F760" s="12">
        <f t="shared" si="170"/>
        <v>7.2333333333333298</v>
      </c>
      <c r="G760" s="47"/>
      <c r="H760" s="47"/>
      <c r="I760" s="13">
        <v>40.700000000000003</v>
      </c>
      <c r="J760" s="16">
        <f t="shared" si="167"/>
        <v>3.8666666666666649</v>
      </c>
      <c r="K760" s="13">
        <v>25.6</v>
      </c>
      <c r="L760" s="47"/>
      <c r="M760" s="47"/>
      <c r="N760" s="47"/>
      <c r="O760" s="46">
        <f>E798-E801</f>
        <v>33.400000000000034</v>
      </c>
      <c r="P760" s="49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3.2">
      <c r="A761" s="47"/>
      <c r="B761" s="5">
        <v>1</v>
      </c>
      <c r="C761" s="5">
        <f>D761-D755</f>
        <v>13</v>
      </c>
      <c r="D761" s="19">
        <v>43012</v>
      </c>
      <c r="E761" s="11">
        <v>279.3</v>
      </c>
      <c r="F761" s="12">
        <f t="shared" si="170"/>
        <v>9.9499999999999886</v>
      </c>
      <c r="G761" s="47"/>
      <c r="H761" s="47"/>
      <c r="I761" s="13">
        <v>33.200000000000003</v>
      </c>
      <c r="J761" s="47">
        <f t="shared" si="167"/>
        <v>3.75</v>
      </c>
      <c r="K761" s="13">
        <v>25.6</v>
      </c>
      <c r="L761" s="47"/>
      <c r="M761" s="47"/>
      <c r="N761" s="47"/>
      <c r="O761" s="47"/>
      <c r="P761" s="49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3.2">
      <c r="A762" s="47"/>
      <c r="B762" s="5">
        <v>2</v>
      </c>
      <c r="C762" s="5">
        <f>D762-D755</f>
        <v>14</v>
      </c>
      <c r="D762" s="19">
        <v>43013</v>
      </c>
      <c r="E762" s="11">
        <v>398.4</v>
      </c>
      <c r="F762" s="12"/>
      <c r="G762" s="47"/>
      <c r="H762" s="47"/>
      <c r="I762" s="15" t="s">
        <v>24</v>
      </c>
      <c r="J762" s="47"/>
      <c r="K762" s="15"/>
      <c r="L762" s="47"/>
      <c r="M762" s="47"/>
      <c r="N762" s="47"/>
      <c r="O762" s="47"/>
      <c r="P762" s="49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3.2">
      <c r="A763" s="47"/>
      <c r="B763" s="5">
        <v>2</v>
      </c>
      <c r="C763" s="5">
        <f>D763-$D755</f>
        <v>15</v>
      </c>
      <c r="D763" s="19">
        <v>43014</v>
      </c>
      <c r="E763" s="11">
        <v>389.2</v>
      </c>
      <c r="F763" s="12">
        <f t="shared" ref="F763:F765" si="171">(E762-E763)/(D763-D762)</f>
        <v>9.1999999999999886</v>
      </c>
      <c r="G763" s="47"/>
      <c r="H763" s="47"/>
      <c r="I763" s="13">
        <v>49.2</v>
      </c>
      <c r="J763" s="47">
        <f>(57.8-I763)/(D763-D761)</f>
        <v>4.2999999999999972</v>
      </c>
      <c r="K763" s="13">
        <v>26.7</v>
      </c>
      <c r="L763" s="47"/>
      <c r="M763" s="47"/>
      <c r="N763" s="47"/>
      <c r="O763" s="47"/>
      <c r="P763" s="49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3.2">
      <c r="A764" s="47"/>
      <c r="B764" s="5">
        <v>2</v>
      </c>
      <c r="C764" s="5">
        <f t="shared" ref="C764:C805" si="172">D764-$D$6</f>
        <v>18</v>
      </c>
      <c r="D764" s="19">
        <v>43017</v>
      </c>
      <c r="E764" s="11">
        <v>372.9</v>
      </c>
      <c r="F764" s="12">
        <f t="shared" si="171"/>
        <v>5.4333333333333371</v>
      </c>
      <c r="G764" s="47"/>
      <c r="H764" s="47"/>
      <c r="I764" s="13">
        <v>37.5</v>
      </c>
      <c r="J764" s="47">
        <f>(49.8-I764)/(D764-D763)</f>
        <v>4.0999999999999988</v>
      </c>
      <c r="K764" s="13">
        <v>26</v>
      </c>
      <c r="L764" s="47"/>
      <c r="M764" s="47"/>
      <c r="N764" s="47"/>
      <c r="O764" s="47"/>
      <c r="P764" s="49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3.2">
      <c r="A765" s="47"/>
      <c r="B765" s="5">
        <v>2</v>
      </c>
      <c r="C765" s="5">
        <f t="shared" si="172"/>
        <v>20</v>
      </c>
      <c r="D765" s="19">
        <v>43019</v>
      </c>
      <c r="E765" s="11">
        <v>356.3</v>
      </c>
      <c r="F765" s="12">
        <f t="shared" si="171"/>
        <v>8.2999999999999829</v>
      </c>
      <c r="G765" s="47"/>
      <c r="H765" s="47"/>
      <c r="I765" s="13">
        <v>29.4</v>
      </c>
      <c r="J765" s="47">
        <f>(I764-I765)/(D765-D764)</f>
        <v>4.0500000000000007</v>
      </c>
      <c r="K765" s="13">
        <v>26.2</v>
      </c>
      <c r="L765" s="47"/>
      <c r="M765" s="47"/>
      <c r="N765" s="47"/>
      <c r="O765" s="47"/>
      <c r="P765" s="49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3.2">
      <c r="A766" s="47"/>
      <c r="B766" s="5">
        <v>3</v>
      </c>
      <c r="C766" s="5">
        <f t="shared" si="172"/>
        <v>21</v>
      </c>
      <c r="D766" s="19">
        <v>43020</v>
      </c>
      <c r="E766" s="11">
        <v>393.7</v>
      </c>
      <c r="F766" s="12"/>
      <c r="G766" s="47"/>
      <c r="H766" s="47"/>
      <c r="I766" s="15"/>
      <c r="J766" s="47"/>
      <c r="K766" s="15"/>
      <c r="L766" s="47"/>
      <c r="M766" s="47"/>
      <c r="N766" s="47"/>
      <c r="O766" s="47"/>
      <c r="P766" s="49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3.2">
      <c r="A767" s="47"/>
      <c r="B767" s="5">
        <v>3</v>
      </c>
      <c r="C767" s="5">
        <f t="shared" si="172"/>
        <v>22</v>
      </c>
      <c r="D767" s="19">
        <f>D765+2</f>
        <v>43021</v>
      </c>
      <c r="E767" s="11">
        <v>383.5</v>
      </c>
      <c r="F767" s="12">
        <f t="shared" ref="F767:F769" si="173">(E766-E767)/(D767-D766)</f>
        <v>10.199999999999989</v>
      </c>
      <c r="G767" s="47"/>
      <c r="H767" s="47"/>
      <c r="I767" s="13">
        <v>40.5</v>
      </c>
      <c r="J767" s="47">
        <f t="shared" ref="J767:J769" si="174">(49.2-I767)/(D767-D765)</f>
        <v>4.3500000000000014</v>
      </c>
      <c r="K767" s="13">
        <v>25.9</v>
      </c>
      <c r="L767" s="47"/>
      <c r="M767" s="47"/>
      <c r="N767" s="47"/>
      <c r="O767" s="47"/>
      <c r="P767" s="49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3.2">
      <c r="A768" s="47"/>
      <c r="B768" s="5">
        <v>3</v>
      </c>
      <c r="C768" s="5">
        <f t="shared" si="172"/>
        <v>25</v>
      </c>
      <c r="D768" s="19">
        <f>D767+3</f>
        <v>43024</v>
      </c>
      <c r="E768" s="11">
        <v>365.2</v>
      </c>
      <c r="F768" s="12">
        <f t="shared" si="173"/>
        <v>6.1000000000000041</v>
      </c>
      <c r="G768" s="47"/>
      <c r="H768" s="47"/>
      <c r="I768" s="18">
        <v>28.4</v>
      </c>
      <c r="J768" s="47">
        <f t="shared" si="174"/>
        <v>5.2000000000000011</v>
      </c>
      <c r="K768" s="18">
        <v>25.8</v>
      </c>
      <c r="L768" s="47"/>
      <c r="M768" s="47"/>
      <c r="N768" s="47"/>
      <c r="O768" s="47"/>
      <c r="P768" s="49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3.2">
      <c r="A769" s="47"/>
      <c r="B769" s="5">
        <v>3</v>
      </c>
      <c r="C769" s="5">
        <f t="shared" si="172"/>
        <v>27</v>
      </c>
      <c r="D769" s="19">
        <f>D768+2</f>
        <v>43026</v>
      </c>
      <c r="E769" s="11">
        <v>350.7</v>
      </c>
      <c r="F769" s="12">
        <f t="shared" si="173"/>
        <v>7.25</v>
      </c>
      <c r="G769" s="47"/>
      <c r="H769" s="47"/>
      <c r="I769" s="18">
        <v>25.7</v>
      </c>
      <c r="J769" s="47">
        <f t="shared" si="174"/>
        <v>4.7000000000000011</v>
      </c>
      <c r="K769" s="18">
        <v>25.8</v>
      </c>
      <c r="L769" s="47"/>
      <c r="M769" s="47"/>
      <c r="N769" s="47"/>
      <c r="O769" s="47"/>
      <c r="P769" s="49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3.2">
      <c r="A770" s="47"/>
      <c r="B770" s="5">
        <v>4</v>
      </c>
      <c r="C770" s="5">
        <f t="shared" si="172"/>
        <v>28</v>
      </c>
      <c r="D770" s="20">
        <v>43027</v>
      </c>
      <c r="E770" s="11">
        <v>403.2</v>
      </c>
      <c r="F770" s="12"/>
      <c r="G770" s="47"/>
      <c r="H770" s="47"/>
      <c r="I770" s="48"/>
      <c r="J770" s="47"/>
      <c r="K770" s="48"/>
      <c r="L770" s="47"/>
      <c r="M770" s="47"/>
      <c r="N770" s="47"/>
      <c r="O770" s="47"/>
      <c r="P770" s="49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3.2">
      <c r="A771" s="47"/>
      <c r="B771" s="5">
        <v>4</v>
      </c>
      <c r="C771" s="5">
        <f t="shared" si="172"/>
        <v>29</v>
      </c>
      <c r="D771" s="19">
        <f>D769+2</f>
        <v>43028</v>
      </c>
      <c r="E771" s="11">
        <v>393.6</v>
      </c>
      <c r="F771" s="12">
        <f t="shared" ref="F771:F773" si="175">(E770-E771)/(D771-D770)</f>
        <v>9.5999999999999659</v>
      </c>
      <c r="G771" s="47"/>
      <c r="H771" s="47"/>
      <c r="I771" s="18">
        <v>13.8</v>
      </c>
      <c r="J771" s="47">
        <f>(I769-I771)/(D771-D769)</f>
        <v>5.9499999999999993</v>
      </c>
      <c r="K771" s="18">
        <v>25.5</v>
      </c>
      <c r="L771" s="47"/>
      <c r="M771" s="47"/>
      <c r="N771" s="47"/>
      <c r="O771" s="47"/>
      <c r="P771" s="49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3.2">
      <c r="A772" s="47"/>
      <c r="B772" s="5">
        <v>4</v>
      </c>
      <c r="C772" s="5">
        <f t="shared" si="172"/>
        <v>32</v>
      </c>
      <c r="D772" s="19">
        <v>43031</v>
      </c>
      <c r="E772" s="11">
        <v>376.2</v>
      </c>
      <c r="F772" s="12">
        <f t="shared" si="175"/>
        <v>5.8000000000000114</v>
      </c>
      <c r="G772" s="47"/>
      <c r="H772" s="47"/>
      <c r="I772" s="18">
        <v>35.799999999999997</v>
      </c>
      <c r="J772" s="47">
        <f>(49.3-I772)/(D772-D771)</f>
        <v>4.5</v>
      </c>
      <c r="K772" s="18">
        <v>26.2</v>
      </c>
      <c r="L772" s="47"/>
      <c r="M772" s="47"/>
      <c r="N772" s="47"/>
      <c r="O772" s="47"/>
      <c r="P772" s="49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3.2">
      <c r="A773" s="47"/>
      <c r="B773" s="5">
        <v>4</v>
      </c>
      <c r="C773" s="5">
        <f t="shared" si="172"/>
        <v>34</v>
      </c>
      <c r="D773" s="19">
        <v>43033</v>
      </c>
      <c r="E773" s="11">
        <v>364.1</v>
      </c>
      <c r="F773" s="12">
        <f t="shared" si="175"/>
        <v>6.0499999999999829</v>
      </c>
      <c r="G773" s="47"/>
      <c r="H773" s="47"/>
      <c r="I773" s="18">
        <v>78.2</v>
      </c>
      <c r="J773" s="47">
        <f>(84.8-I773)/(D773-D772)</f>
        <v>3.2999999999999972</v>
      </c>
      <c r="K773" s="18">
        <v>25.8</v>
      </c>
      <c r="L773" s="47"/>
      <c r="M773" s="47"/>
      <c r="N773" s="47"/>
      <c r="O773" s="47"/>
      <c r="P773" s="49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3.2">
      <c r="A774" s="47"/>
      <c r="B774" s="5">
        <v>5</v>
      </c>
      <c r="C774" s="5">
        <f t="shared" si="172"/>
        <v>35</v>
      </c>
      <c r="D774" s="20">
        <v>43034</v>
      </c>
      <c r="E774" s="11">
        <v>366.8</v>
      </c>
      <c r="F774" s="12"/>
      <c r="G774" s="47"/>
      <c r="H774" s="47"/>
      <c r="I774" s="48"/>
      <c r="J774" s="47"/>
      <c r="K774" s="48"/>
      <c r="L774" s="47"/>
      <c r="M774" s="47"/>
      <c r="N774" s="47"/>
      <c r="O774" s="47"/>
      <c r="P774" s="49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3.2">
      <c r="A775" s="47"/>
      <c r="B775" s="5">
        <v>5</v>
      </c>
      <c r="C775" s="5">
        <f t="shared" si="172"/>
        <v>36</v>
      </c>
      <c r="D775" s="19">
        <v>43035</v>
      </c>
      <c r="E775" s="11">
        <v>359.4</v>
      </c>
      <c r="F775" s="12">
        <f t="shared" ref="F775:F777" si="176">(E774-E775)/(D775-D774)</f>
        <v>7.4000000000000341</v>
      </c>
      <c r="G775" s="47"/>
      <c r="H775" s="47"/>
      <c r="I775" s="18">
        <v>70.2</v>
      </c>
      <c r="J775" s="48">
        <f>(I773-I775)/(D775-D773)</f>
        <v>4</v>
      </c>
      <c r="K775" s="18">
        <v>26.3</v>
      </c>
      <c r="L775" s="47"/>
      <c r="M775" s="47"/>
      <c r="N775" s="47"/>
      <c r="O775" s="47"/>
      <c r="P775" s="49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3.2">
      <c r="A776" s="47"/>
      <c r="B776" s="5">
        <v>5</v>
      </c>
      <c r="C776" s="5">
        <f t="shared" si="172"/>
        <v>39</v>
      </c>
      <c r="D776" s="19">
        <v>43038</v>
      </c>
      <c r="E776" s="11">
        <v>341.8</v>
      </c>
      <c r="F776" s="12">
        <f t="shared" si="176"/>
        <v>5.8666666666666556</v>
      </c>
      <c r="G776" s="47"/>
      <c r="H776" s="47"/>
      <c r="I776" s="18">
        <v>59.3</v>
      </c>
      <c r="J776" s="48">
        <f t="shared" ref="J776:J777" si="177">(I775-I776)/(D776-D775)</f>
        <v>3.6333333333333351</v>
      </c>
      <c r="K776" s="18">
        <v>27</v>
      </c>
      <c r="L776" s="47"/>
      <c r="M776" s="47"/>
      <c r="N776" s="47"/>
      <c r="O776" s="47"/>
      <c r="P776" s="49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3.2">
      <c r="A777" s="47"/>
      <c r="B777" s="5">
        <v>5</v>
      </c>
      <c r="C777" s="5">
        <f t="shared" si="172"/>
        <v>41</v>
      </c>
      <c r="D777" s="19">
        <v>43040</v>
      </c>
      <c r="E777" s="11">
        <v>332</v>
      </c>
      <c r="F777" s="12">
        <f t="shared" si="176"/>
        <v>4.9000000000000057</v>
      </c>
      <c r="G777" s="47"/>
      <c r="H777" s="47"/>
      <c r="I777" s="18">
        <v>51.1</v>
      </c>
      <c r="J777" s="48">
        <f t="shared" si="177"/>
        <v>4.0999999999999979</v>
      </c>
      <c r="K777" s="18">
        <v>26.7</v>
      </c>
      <c r="L777" s="47"/>
      <c r="M777" s="47"/>
      <c r="N777" s="47"/>
      <c r="O777" s="47"/>
      <c r="P777" s="49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3.2">
      <c r="A778" s="47"/>
      <c r="B778" s="5">
        <v>6</v>
      </c>
      <c r="C778" s="5">
        <f t="shared" si="172"/>
        <v>42</v>
      </c>
      <c r="D778" s="20">
        <v>43041</v>
      </c>
      <c r="E778" s="11">
        <v>392.4</v>
      </c>
      <c r="F778" s="12"/>
      <c r="G778" s="47"/>
      <c r="H778" s="47"/>
      <c r="I778" s="48"/>
      <c r="J778" s="47"/>
      <c r="K778" s="48"/>
      <c r="L778" s="47"/>
      <c r="M778" s="47"/>
      <c r="N778" s="47"/>
      <c r="O778" s="47"/>
      <c r="P778" s="49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3.2">
      <c r="A779" s="47"/>
      <c r="B779" s="5">
        <v>6</v>
      </c>
      <c r="C779" s="5">
        <f t="shared" si="172"/>
        <v>43</v>
      </c>
      <c r="D779" s="19">
        <v>43042</v>
      </c>
      <c r="E779" s="11">
        <v>386.6</v>
      </c>
      <c r="F779" s="12">
        <f t="shared" ref="F779:F781" si="178">(E778-E779)/(D779-D778)</f>
        <v>5.7999999999999545</v>
      </c>
      <c r="G779" s="47"/>
      <c r="H779" s="47"/>
      <c r="I779" s="18">
        <v>44.9</v>
      </c>
      <c r="J779" s="48">
        <f>(I777-I779)/(D779-D777)</f>
        <v>3.1000000000000014</v>
      </c>
      <c r="K779" s="18">
        <v>26.7</v>
      </c>
      <c r="L779" s="47"/>
      <c r="M779" s="47"/>
      <c r="N779" s="47"/>
      <c r="O779" s="47"/>
      <c r="P779" s="49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3.2">
      <c r="A780" s="47"/>
      <c r="B780" s="5">
        <v>6</v>
      </c>
      <c r="C780" s="5">
        <f t="shared" si="172"/>
        <v>46</v>
      </c>
      <c r="D780" s="19">
        <v>43045</v>
      </c>
      <c r="E780" s="11">
        <v>369.6</v>
      </c>
      <c r="F780" s="12">
        <f t="shared" si="178"/>
        <v>5.666666666666667</v>
      </c>
      <c r="G780" s="47"/>
      <c r="H780" s="47"/>
      <c r="I780" s="18">
        <v>33.5</v>
      </c>
      <c r="J780" s="48">
        <f>(I779-I780)/(D780-D779)</f>
        <v>3.7999999999999994</v>
      </c>
      <c r="K780" s="18">
        <v>26.6</v>
      </c>
      <c r="L780" s="47"/>
      <c r="M780" s="47"/>
      <c r="N780" s="47"/>
      <c r="O780" s="47"/>
      <c r="P780" s="49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3.2">
      <c r="A781" s="47"/>
      <c r="B781" s="5">
        <v>6</v>
      </c>
      <c r="C781" s="5">
        <f t="shared" si="172"/>
        <v>48</v>
      </c>
      <c r="D781" s="19">
        <v>43047</v>
      </c>
      <c r="E781" s="11">
        <v>358.7</v>
      </c>
      <c r="F781" s="12">
        <f t="shared" si="178"/>
        <v>5.4500000000000171</v>
      </c>
      <c r="G781" s="47"/>
      <c r="H781" s="47"/>
      <c r="I781" s="18">
        <v>73.3</v>
      </c>
      <c r="J781" s="47">
        <f>(84.4-I781)/(D781-D780)</f>
        <v>5.5500000000000043</v>
      </c>
      <c r="K781" s="18">
        <v>26.9</v>
      </c>
      <c r="L781" s="47"/>
      <c r="M781" s="47"/>
      <c r="N781" s="47"/>
      <c r="O781" s="47"/>
      <c r="P781" s="49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3.2">
      <c r="A782" s="47"/>
      <c r="B782" s="5">
        <v>7</v>
      </c>
      <c r="C782" s="5">
        <f t="shared" si="172"/>
        <v>49</v>
      </c>
      <c r="D782" s="20">
        <v>43048</v>
      </c>
      <c r="E782" s="11">
        <v>382.6</v>
      </c>
      <c r="F782" s="12"/>
      <c r="G782" s="47"/>
      <c r="H782" s="47"/>
      <c r="I782" s="48"/>
      <c r="J782" s="47"/>
      <c r="K782" s="48"/>
      <c r="L782" s="47"/>
      <c r="M782" s="47"/>
      <c r="N782" s="47"/>
      <c r="O782" s="47"/>
      <c r="P782" s="49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3.2">
      <c r="A783" s="47"/>
      <c r="B783" s="5">
        <v>7</v>
      </c>
      <c r="C783" s="5">
        <f t="shared" si="172"/>
        <v>50</v>
      </c>
      <c r="D783" s="19">
        <v>43049</v>
      </c>
      <c r="E783" s="11">
        <v>373.4</v>
      </c>
      <c r="F783" s="12">
        <f t="shared" ref="F783:F785" si="179">(E782-E783)/(D783-D782)</f>
        <v>9.2000000000000455</v>
      </c>
      <c r="G783" s="47"/>
      <c r="H783" s="47"/>
      <c r="I783" s="18">
        <v>65.5</v>
      </c>
      <c r="J783" s="48">
        <f>(I781-I783)/(D783-D781)</f>
        <v>3.8999999999999986</v>
      </c>
      <c r="K783" s="18">
        <v>27.3</v>
      </c>
      <c r="L783" s="47"/>
      <c r="M783" s="47"/>
      <c r="N783" s="47"/>
      <c r="O783" s="47"/>
      <c r="P783" s="49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3.2">
      <c r="A784" s="47"/>
      <c r="B784" s="5">
        <v>7</v>
      </c>
      <c r="C784" s="5">
        <f t="shared" si="172"/>
        <v>53</v>
      </c>
      <c r="D784" s="19">
        <v>43052</v>
      </c>
      <c r="E784" s="11">
        <v>359.7</v>
      </c>
      <c r="F784" s="12">
        <f t="shared" si="179"/>
        <v>4.5666666666666629</v>
      </c>
      <c r="G784" s="47"/>
      <c r="H784" s="47"/>
      <c r="I784" s="18">
        <v>54.7</v>
      </c>
      <c r="J784" s="48">
        <f t="shared" ref="J784:J785" si="180">(I783-I784)/(D784-D783)</f>
        <v>3.5999999999999992</v>
      </c>
      <c r="K784" s="18">
        <v>27</v>
      </c>
      <c r="L784" s="47"/>
      <c r="M784" s="47"/>
      <c r="N784" s="47"/>
      <c r="O784" s="47"/>
      <c r="P784" s="49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3.2">
      <c r="A785" s="47"/>
      <c r="B785" s="5">
        <v>7</v>
      </c>
      <c r="C785" s="5">
        <f t="shared" si="172"/>
        <v>55</v>
      </c>
      <c r="D785" s="19">
        <v>43054</v>
      </c>
      <c r="E785" s="11">
        <v>339.5</v>
      </c>
      <c r="F785" s="12">
        <f t="shared" si="179"/>
        <v>10.099999999999994</v>
      </c>
      <c r="G785" s="47"/>
      <c r="H785" s="47"/>
      <c r="I785" s="18">
        <v>47.9</v>
      </c>
      <c r="J785" s="48">
        <f t="shared" si="180"/>
        <v>3.4000000000000021</v>
      </c>
      <c r="K785" s="18">
        <v>26.8</v>
      </c>
      <c r="L785" s="47"/>
      <c r="M785" s="47"/>
      <c r="N785" s="47"/>
      <c r="O785" s="47"/>
      <c r="P785" s="49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3.2">
      <c r="A786" s="47"/>
      <c r="B786" s="5">
        <v>8</v>
      </c>
      <c r="C786" s="5">
        <f t="shared" si="172"/>
        <v>56</v>
      </c>
      <c r="D786" s="20">
        <v>43055</v>
      </c>
      <c r="E786" s="11">
        <v>401.2</v>
      </c>
      <c r="F786" s="12"/>
      <c r="G786" s="47"/>
      <c r="H786" s="47"/>
      <c r="I786" s="48"/>
      <c r="J786" s="47"/>
      <c r="K786" s="48"/>
      <c r="L786" s="47"/>
      <c r="M786" s="47"/>
      <c r="N786" s="47"/>
      <c r="O786" s="47"/>
      <c r="P786" s="49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3.2">
      <c r="A787" s="47"/>
      <c r="B787" s="5">
        <v>8</v>
      </c>
      <c r="C787" s="5">
        <f t="shared" si="172"/>
        <v>57</v>
      </c>
      <c r="D787" s="20">
        <v>43056</v>
      </c>
      <c r="E787" s="11">
        <v>393.4</v>
      </c>
      <c r="F787" s="12">
        <f t="shared" ref="F787:F788" si="181">(E786-E787)/(D787-D786)</f>
        <v>7.8000000000000114</v>
      </c>
      <c r="G787" s="47"/>
      <c r="H787" s="47"/>
      <c r="I787" s="18">
        <v>40.1</v>
      </c>
      <c r="J787" s="48">
        <f>(I785-I787)/(D787-D785)</f>
        <v>3.8999999999999986</v>
      </c>
      <c r="K787" s="18">
        <v>27.8</v>
      </c>
      <c r="L787" s="47"/>
      <c r="M787" s="47"/>
      <c r="N787" s="47"/>
      <c r="O787" s="47"/>
      <c r="P787" s="49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3.2">
      <c r="A788" s="47"/>
      <c r="B788" s="5">
        <v>8</v>
      </c>
      <c r="C788" s="5">
        <f t="shared" si="172"/>
        <v>60</v>
      </c>
      <c r="D788" s="20">
        <v>43059</v>
      </c>
      <c r="E788" s="11">
        <v>379</v>
      </c>
      <c r="F788" s="12">
        <f t="shared" si="181"/>
        <v>4.7999999999999927</v>
      </c>
      <c r="G788" s="47"/>
      <c r="H788" s="47"/>
      <c r="I788" s="18">
        <v>29.4</v>
      </c>
      <c r="J788" s="48">
        <f>(I787-I788)/(D788-D787)</f>
        <v>3.5666666666666678</v>
      </c>
      <c r="K788" s="18">
        <v>27.2</v>
      </c>
      <c r="L788" s="47"/>
      <c r="M788" s="47"/>
      <c r="N788" s="47"/>
      <c r="O788" s="47"/>
      <c r="P788" s="49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3.2">
      <c r="A789" s="47"/>
      <c r="B789" s="5">
        <v>8</v>
      </c>
      <c r="C789" s="5">
        <f t="shared" si="172"/>
        <v>61</v>
      </c>
      <c r="D789" s="20">
        <v>43060</v>
      </c>
      <c r="E789" s="11">
        <v>377.8</v>
      </c>
      <c r="F789" s="12"/>
      <c r="G789" s="47"/>
      <c r="H789" s="47"/>
      <c r="I789" s="48"/>
      <c r="J789" s="47"/>
      <c r="K789" s="48"/>
      <c r="L789" s="47"/>
      <c r="M789" s="47"/>
      <c r="N789" s="47"/>
      <c r="O789" s="47"/>
      <c r="P789" s="49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3.2">
      <c r="A790" s="47"/>
      <c r="B790" s="5">
        <v>8</v>
      </c>
      <c r="C790" s="5">
        <f t="shared" si="172"/>
        <v>62</v>
      </c>
      <c r="D790" s="20">
        <v>43061</v>
      </c>
      <c r="E790" s="11">
        <v>373.6</v>
      </c>
      <c r="F790" s="12">
        <f t="shared" ref="F790:F793" si="182">(E789-E790)/(D790-D789)</f>
        <v>4.1999999999999886</v>
      </c>
      <c r="G790" s="47"/>
      <c r="H790" s="47"/>
      <c r="I790" s="18">
        <v>76.599999999999994</v>
      </c>
      <c r="J790" s="47">
        <f>(83.9-I790)/(D790-D789)</f>
        <v>7.3000000000000114</v>
      </c>
      <c r="K790" s="18">
        <v>27.4</v>
      </c>
      <c r="L790" s="47"/>
      <c r="M790" s="47"/>
      <c r="N790" s="47"/>
      <c r="O790" s="47"/>
      <c r="P790" s="49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3.2">
      <c r="A791" s="47"/>
      <c r="B791" s="5">
        <v>9</v>
      </c>
      <c r="C791" s="5">
        <f t="shared" si="172"/>
        <v>64</v>
      </c>
      <c r="D791" s="20">
        <v>43063</v>
      </c>
      <c r="E791" s="11">
        <v>363</v>
      </c>
      <c r="F791" s="12">
        <f t="shared" si="182"/>
        <v>5.3000000000000114</v>
      </c>
      <c r="G791" s="47"/>
      <c r="H791" s="47"/>
      <c r="I791" s="18">
        <v>69.5</v>
      </c>
      <c r="J791" s="48">
        <f t="shared" ref="J791:J793" si="183">(I790-I791)/(D791-D790)</f>
        <v>3.5499999999999972</v>
      </c>
      <c r="K791" s="18">
        <v>27.4</v>
      </c>
      <c r="L791" s="47"/>
      <c r="M791" s="47"/>
      <c r="N791" s="47"/>
      <c r="O791" s="47"/>
      <c r="P791" s="49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3.2">
      <c r="A792" s="47"/>
      <c r="B792" s="5">
        <v>9</v>
      </c>
      <c r="C792" s="5">
        <f t="shared" si="172"/>
        <v>67</v>
      </c>
      <c r="D792" s="23">
        <v>43066</v>
      </c>
      <c r="E792" s="11">
        <v>349</v>
      </c>
      <c r="F792" s="12">
        <f t="shared" si="182"/>
        <v>4.666666666666667</v>
      </c>
      <c r="G792" s="47"/>
      <c r="H792" s="47"/>
      <c r="I792" s="18">
        <v>59.7</v>
      </c>
      <c r="J792" s="48">
        <f t="shared" si="183"/>
        <v>3.2666666666666657</v>
      </c>
      <c r="K792" s="18">
        <v>27</v>
      </c>
      <c r="L792" s="47"/>
      <c r="M792" s="47"/>
      <c r="N792" s="47"/>
      <c r="O792" s="47"/>
      <c r="P792" s="49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3.2">
      <c r="A793" s="47"/>
      <c r="B793" s="5">
        <v>9</v>
      </c>
      <c r="C793" s="5">
        <f t="shared" si="172"/>
        <v>69</v>
      </c>
      <c r="D793" s="23">
        <v>43068</v>
      </c>
      <c r="E793" s="11">
        <v>337.3</v>
      </c>
      <c r="F793" s="12">
        <f t="shared" si="182"/>
        <v>5.8499999999999943</v>
      </c>
      <c r="G793" s="47"/>
      <c r="H793" s="47"/>
      <c r="I793" s="18">
        <v>53</v>
      </c>
      <c r="J793" s="48">
        <f t="shared" si="183"/>
        <v>3.3500000000000014</v>
      </c>
      <c r="K793" s="18">
        <v>27.1</v>
      </c>
      <c r="L793" s="47"/>
      <c r="M793" s="47"/>
      <c r="N793" s="47"/>
      <c r="O793" s="47"/>
      <c r="P793" s="49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3.2">
      <c r="A794" s="47"/>
      <c r="B794" s="5">
        <v>9</v>
      </c>
      <c r="C794" s="5">
        <f t="shared" si="172"/>
        <v>70</v>
      </c>
      <c r="D794" s="23">
        <v>43069</v>
      </c>
      <c r="E794" s="11">
        <v>372.8</v>
      </c>
      <c r="F794" s="12"/>
      <c r="G794" s="47"/>
      <c r="H794" s="47"/>
      <c r="I794" s="48"/>
      <c r="J794" s="47"/>
      <c r="K794" s="48"/>
      <c r="L794" s="47"/>
      <c r="M794" s="47"/>
      <c r="N794" s="47"/>
      <c r="O794" s="47"/>
      <c r="P794" s="49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3.2">
      <c r="A795" s="47"/>
      <c r="B795" s="5">
        <v>10</v>
      </c>
      <c r="C795" s="5">
        <f t="shared" si="172"/>
        <v>71</v>
      </c>
      <c r="D795" s="23">
        <v>43070</v>
      </c>
      <c r="E795" s="11">
        <v>364.2</v>
      </c>
      <c r="F795" s="12">
        <f t="shared" ref="F795:F797" si="184">(E794-E795)/(D795-D794)</f>
        <v>8.6000000000000227</v>
      </c>
      <c r="G795" s="47"/>
      <c r="H795" s="47"/>
      <c r="I795" s="18">
        <v>45.5</v>
      </c>
      <c r="J795" s="48">
        <f>(I793-I795)/(D795-D793)</f>
        <v>3.75</v>
      </c>
      <c r="K795" s="18">
        <v>27.4</v>
      </c>
      <c r="L795" s="47"/>
      <c r="M795" s="47"/>
      <c r="N795" s="47"/>
      <c r="O795" s="47"/>
      <c r="P795" s="49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3.2">
      <c r="A796" s="47"/>
      <c r="B796" s="5">
        <v>10</v>
      </c>
      <c r="C796" s="5">
        <f t="shared" si="172"/>
        <v>74</v>
      </c>
      <c r="D796" s="23">
        <v>43073</v>
      </c>
      <c r="E796" s="11">
        <v>352.5</v>
      </c>
      <c r="F796" s="12">
        <f t="shared" si="184"/>
        <v>3.8999999999999964</v>
      </c>
      <c r="G796" s="47"/>
      <c r="H796" s="47"/>
      <c r="I796" s="18">
        <v>35</v>
      </c>
      <c r="J796" s="48">
        <f>(I795-I796)/(D796-D795)</f>
        <v>3.5</v>
      </c>
      <c r="K796" s="18">
        <v>27.2</v>
      </c>
      <c r="L796" s="47"/>
      <c r="M796" s="47"/>
      <c r="N796" s="47"/>
      <c r="O796" s="47"/>
      <c r="P796" s="49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3.2">
      <c r="A797" s="47"/>
      <c r="B797" s="5">
        <v>10</v>
      </c>
      <c r="C797" s="5">
        <f t="shared" si="172"/>
        <v>76</v>
      </c>
      <c r="D797" s="23">
        <v>43075</v>
      </c>
      <c r="E797" s="11">
        <v>340.3</v>
      </c>
      <c r="F797" s="12">
        <f t="shared" si="184"/>
        <v>6.0999999999999943</v>
      </c>
      <c r="G797" s="47"/>
      <c r="H797" s="47"/>
      <c r="I797" s="18">
        <v>74.7</v>
      </c>
      <c r="J797" s="47">
        <f>(82.7-I797)/(D797-D796)</f>
        <v>4</v>
      </c>
      <c r="K797" s="18">
        <v>27.6</v>
      </c>
      <c r="L797" s="47"/>
      <c r="M797" s="47"/>
      <c r="N797" s="47"/>
      <c r="O797" s="47"/>
      <c r="P797" s="49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3.2">
      <c r="A798" s="47"/>
      <c r="B798" s="5">
        <v>10</v>
      </c>
      <c r="C798" s="5">
        <f t="shared" si="172"/>
        <v>77</v>
      </c>
      <c r="D798" s="24">
        <v>43076</v>
      </c>
      <c r="E798" s="11">
        <v>375.8</v>
      </c>
      <c r="F798" s="12"/>
      <c r="G798" s="47"/>
      <c r="H798" s="47"/>
      <c r="I798" s="18"/>
      <c r="J798" s="47"/>
      <c r="K798" s="18"/>
      <c r="L798" s="47"/>
      <c r="M798" s="47"/>
      <c r="N798" s="47"/>
      <c r="O798" s="47"/>
      <c r="P798" s="49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3.2">
      <c r="A799" s="47"/>
      <c r="B799" s="5">
        <v>11</v>
      </c>
      <c r="C799" s="5">
        <f t="shared" si="172"/>
        <v>78</v>
      </c>
      <c r="D799" s="24">
        <v>43077</v>
      </c>
      <c r="E799" s="11">
        <v>368.5</v>
      </c>
      <c r="F799" s="12">
        <f t="shared" ref="F799:F801" si="185">(E798-E799)/(D799-D798)</f>
        <v>7.3000000000000114</v>
      </c>
      <c r="G799" s="47"/>
      <c r="H799" s="47"/>
      <c r="I799" s="18">
        <v>68</v>
      </c>
      <c r="J799" s="48">
        <f>(I797-I799)/(D799-D797)</f>
        <v>3.3500000000000014</v>
      </c>
      <c r="K799" s="18">
        <v>27.6</v>
      </c>
      <c r="L799" s="47"/>
      <c r="M799" s="47"/>
      <c r="N799" s="47"/>
      <c r="O799" s="47"/>
      <c r="P799" s="49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3.2">
      <c r="A800" s="47"/>
      <c r="B800" s="5">
        <v>11</v>
      </c>
      <c r="C800" s="5">
        <f t="shared" si="172"/>
        <v>81</v>
      </c>
      <c r="D800" s="24">
        <v>43080</v>
      </c>
      <c r="E800" s="11">
        <v>355.2</v>
      </c>
      <c r="F800" s="12">
        <f t="shared" si="185"/>
        <v>4.4333333333333371</v>
      </c>
      <c r="G800" s="47"/>
      <c r="H800" s="47"/>
      <c r="I800" s="18">
        <v>57.5</v>
      </c>
      <c r="J800" s="48">
        <f t="shared" ref="J800:J801" si="186">(I799-I800)/(D801-D800)</f>
        <v>5.25</v>
      </c>
      <c r="K800" s="18">
        <v>27.3</v>
      </c>
      <c r="L800" s="47"/>
      <c r="M800" s="47"/>
      <c r="N800" s="47"/>
      <c r="O800" s="47"/>
      <c r="P800" s="49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3.2">
      <c r="A801" s="50" t="s">
        <v>46</v>
      </c>
      <c r="B801" s="5">
        <v>11</v>
      </c>
      <c r="C801" s="5">
        <f t="shared" si="172"/>
        <v>83</v>
      </c>
      <c r="D801" s="25">
        <v>43082</v>
      </c>
      <c r="E801" s="11">
        <v>342.4</v>
      </c>
      <c r="F801" s="12">
        <f t="shared" si="185"/>
        <v>6.4000000000000057</v>
      </c>
      <c r="G801" s="47"/>
      <c r="H801" s="47"/>
      <c r="I801" s="18">
        <v>51</v>
      </c>
      <c r="J801" s="48">
        <f t="shared" si="186"/>
        <v>3.25</v>
      </c>
      <c r="K801" s="18">
        <v>26.6</v>
      </c>
      <c r="L801" s="47"/>
      <c r="M801" s="47"/>
      <c r="N801" s="47"/>
      <c r="O801" s="47"/>
      <c r="P801" s="49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3.2">
      <c r="A802" s="57" t="s">
        <v>28</v>
      </c>
      <c r="B802" s="57">
        <v>11</v>
      </c>
      <c r="C802" s="59">
        <f t="shared" si="172"/>
        <v>85</v>
      </c>
      <c r="D802" s="60">
        <v>43084</v>
      </c>
      <c r="E802" s="61"/>
      <c r="F802" s="61"/>
      <c r="G802" s="62"/>
      <c r="H802" s="62"/>
      <c r="I802" s="138"/>
      <c r="J802" s="138"/>
      <c r="K802" s="138"/>
      <c r="L802" s="62"/>
      <c r="M802" s="62"/>
      <c r="N802" s="62"/>
      <c r="O802" s="62"/>
      <c r="P802" s="65"/>
      <c r="Q802" s="66"/>
      <c r="R802" s="66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3.2">
      <c r="A803" s="47"/>
      <c r="B803" s="50"/>
      <c r="C803" s="5">
        <f t="shared" si="172"/>
        <v>98</v>
      </c>
      <c r="D803" s="32">
        <v>43097</v>
      </c>
      <c r="E803" s="12"/>
      <c r="F803" s="12"/>
      <c r="G803" s="47"/>
      <c r="H803" s="47"/>
      <c r="I803" s="48"/>
      <c r="J803" s="47"/>
      <c r="K803" s="18">
        <v>26.9</v>
      </c>
      <c r="L803" s="47"/>
      <c r="M803" s="47"/>
      <c r="N803" s="47"/>
      <c r="O803" s="47"/>
      <c r="P803" s="49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3.2">
      <c r="A804" s="47"/>
      <c r="B804" s="50"/>
      <c r="C804" s="5">
        <f t="shared" si="172"/>
        <v>105</v>
      </c>
      <c r="D804" s="32">
        <v>43104</v>
      </c>
      <c r="E804" s="12"/>
      <c r="F804" s="12"/>
      <c r="G804" s="47"/>
      <c r="H804" s="47"/>
      <c r="I804" s="33">
        <v>81.7</v>
      </c>
      <c r="J804" s="47"/>
      <c r="K804" s="33">
        <v>29.2</v>
      </c>
      <c r="L804" s="47"/>
      <c r="M804" s="47"/>
      <c r="N804" s="47"/>
      <c r="O804" s="47"/>
      <c r="P804" s="49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3.2">
      <c r="A805" s="47"/>
      <c r="B805" s="50"/>
      <c r="C805" s="5">
        <f t="shared" si="172"/>
        <v>112</v>
      </c>
      <c r="D805" s="32">
        <v>43111</v>
      </c>
      <c r="E805" s="12"/>
      <c r="F805" s="12"/>
      <c r="G805" s="47"/>
      <c r="H805" s="47"/>
      <c r="I805" s="33">
        <v>76</v>
      </c>
      <c r="J805" s="47"/>
      <c r="K805" s="33">
        <v>28.5</v>
      </c>
      <c r="L805" s="47"/>
      <c r="M805" s="47"/>
      <c r="N805" s="47"/>
      <c r="O805" s="47"/>
      <c r="P805" s="49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3.2">
      <c r="A806" s="47"/>
      <c r="B806" s="50"/>
      <c r="C806" s="5">
        <v>116</v>
      </c>
      <c r="D806" s="94">
        <v>43115</v>
      </c>
      <c r="E806" s="12"/>
      <c r="F806" s="12"/>
      <c r="G806" s="47"/>
      <c r="H806" s="47"/>
      <c r="I806" s="33">
        <v>25.5</v>
      </c>
      <c r="J806" s="47"/>
      <c r="K806" s="33">
        <v>28</v>
      </c>
      <c r="L806" s="47"/>
      <c r="M806" s="47"/>
      <c r="N806" s="47"/>
      <c r="O806" s="47"/>
      <c r="P806" s="49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3.2">
      <c r="A807" s="47"/>
      <c r="B807" s="55"/>
      <c r="C807" s="50">
        <v>117</v>
      </c>
      <c r="D807" s="32">
        <v>43116</v>
      </c>
      <c r="E807" s="12"/>
      <c r="F807" s="12"/>
      <c r="G807" s="47"/>
      <c r="H807" s="47"/>
      <c r="I807" s="140"/>
      <c r="J807" s="141"/>
      <c r="K807" s="140"/>
      <c r="L807" s="47"/>
      <c r="M807" s="47"/>
      <c r="N807" s="47"/>
      <c r="O807" s="47"/>
      <c r="P807" s="49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3.2">
      <c r="A808" s="47"/>
      <c r="B808" s="55"/>
      <c r="C808" s="50">
        <v>124</v>
      </c>
      <c r="D808" s="32">
        <v>43123</v>
      </c>
      <c r="E808" s="12"/>
      <c r="F808" s="12"/>
      <c r="G808" s="47"/>
      <c r="H808" s="47"/>
      <c r="I808" s="140"/>
      <c r="J808" s="141"/>
      <c r="K808" s="142"/>
      <c r="L808" s="47"/>
      <c r="M808" s="47"/>
      <c r="N808" s="47"/>
      <c r="O808" s="47"/>
      <c r="P808" s="49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3.2">
      <c r="A809" s="47"/>
      <c r="B809" s="55"/>
      <c r="C809" s="50">
        <v>131</v>
      </c>
      <c r="D809" s="24">
        <v>43130</v>
      </c>
      <c r="E809" s="12"/>
      <c r="F809" s="12"/>
      <c r="G809" s="47"/>
      <c r="H809" s="47"/>
      <c r="I809" s="54">
        <v>55.9</v>
      </c>
      <c r="J809" s="47"/>
      <c r="K809" s="54">
        <v>28.2</v>
      </c>
      <c r="L809" s="47"/>
      <c r="M809" s="47"/>
      <c r="N809" s="47"/>
      <c r="O809" s="47"/>
      <c r="P809" s="49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3.2">
      <c r="A810" s="47"/>
      <c r="B810" s="55"/>
      <c r="C810" s="50">
        <v>138</v>
      </c>
      <c r="D810" s="24">
        <v>43137</v>
      </c>
      <c r="E810" s="12"/>
      <c r="F810" s="12"/>
      <c r="G810" s="47"/>
      <c r="H810" s="47"/>
      <c r="I810" s="18">
        <v>32.200000000000003</v>
      </c>
      <c r="J810" s="47"/>
      <c r="K810" s="18">
        <v>28</v>
      </c>
      <c r="L810" s="47"/>
      <c r="M810" s="47"/>
      <c r="N810" s="47"/>
      <c r="O810" s="47"/>
      <c r="P810" s="49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3.2">
      <c r="A811" s="47"/>
      <c r="B811" s="55"/>
      <c r="C811" s="50">
        <v>145</v>
      </c>
      <c r="D811" s="24">
        <v>43144</v>
      </c>
      <c r="E811" s="12"/>
      <c r="F811" s="12"/>
      <c r="G811" s="47"/>
      <c r="H811" s="47"/>
      <c r="I811" s="18">
        <v>39.9</v>
      </c>
      <c r="J811" s="47"/>
      <c r="K811" s="18">
        <v>29.2</v>
      </c>
      <c r="L811" s="47"/>
      <c r="M811" s="47"/>
      <c r="N811" s="47"/>
      <c r="O811" s="47"/>
      <c r="P811" s="49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3.2">
      <c r="A812" s="47"/>
      <c r="B812" s="55"/>
      <c r="C812" s="50">
        <v>152</v>
      </c>
      <c r="D812" s="24">
        <v>43151</v>
      </c>
      <c r="E812" s="12"/>
      <c r="F812" s="12"/>
      <c r="G812" s="47"/>
      <c r="H812" s="47"/>
      <c r="I812" s="18">
        <v>93.9</v>
      </c>
      <c r="J812" s="47"/>
      <c r="K812" s="18">
        <v>28.3</v>
      </c>
      <c r="L812" s="47"/>
      <c r="M812" s="47"/>
      <c r="N812" s="47"/>
      <c r="O812" s="47"/>
      <c r="P812" s="49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3.2">
      <c r="A813" s="47"/>
      <c r="B813" s="55"/>
      <c r="C813" s="50">
        <v>159</v>
      </c>
      <c r="D813" s="24">
        <v>43158</v>
      </c>
      <c r="E813" s="12"/>
      <c r="F813" s="12"/>
      <c r="G813" s="47"/>
      <c r="H813" s="47"/>
      <c r="I813" s="18">
        <v>67.3</v>
      </c>
      <c r="J813" s="47"/>
      <c r="K813" s="18">
        <v>29.2</v>
      </c>
      <c r="L813" s="47"/>
      <c r="M813" s="47"/>
      <c r="N813" s="47"/>
      <c r="O813" s="47"/>
      <c r="P813" s="49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3.2">
      <c r="A814" s="47"/>
      <c r="B814" s="55"/>
      <c r="C814" s="50">
        <v>166</v>
      </c>
      <c r="D814" s="24">
        <v>43165</v>
      </c>
      <c r="E814" s="12"/>
      <c r="F814" s="12"/>
      <c r="G814" s="47"/>
      <c r="H814" s="47"/>
      <c r="I814" s="18">
        <v>38.1</v>
      </c>
      <c r="J814" s="47"/>
      <c r="K814" s="18">
        <v>28.8</v>
      </c>
      <c r="L814" s="47"/>
      <c r="M814" s="47"/>
      <c r="N814" s="47"/>
      <c r="O814" s="47"/>
      <c r="P814" s="49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3.2">
      <c r="A815" s="47"/>
      <c r="B815" s="55"/>
      <c r="C815" s="50">
        <v>173</v>
      </c>
      <c r="D815" s="24">
        <v>43172</v>
      </c>
      <c r="E815" s="12"/>
      <c r="F815" s="12"/>
      <c r="G815" s="47"/>
      <c r="H815" s="47"/>
      <c r="I815" s="18">
        <v>56.6</v>
      </c>
      <c r="J815" s="47"/>
      <c r="K815" s="18">
        <v>29.1</v>
      </c>
      <c r="L815" s="47"/>
      <c r="M815" s="47"/>
      <c r="N815" s="47"/>
      <c r="O815" s="47"/>
      <c r="P815" s="49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3.2">
      <c r="A816" s="47"/>
      <c r="B816" s="55"/>
      <c r="C816" s="55"/>
      <c r="D816" s="67"/>
      <c r="E816" s="12"/>
      <c r="F816" s="12"/>
      <c r="G816" s="47"/>
      <c r="H816" s="47"/>
      <c r="I816" s="48"/>
      <c r="J816" s="47"/>
      <c r="K816" s="48"/>
      <c r="L816" s="47"/>
      <c r="M816" s="47"/>
      <c r="N816" s="47"/>
      <c r="O816" s="47"/>
      <c r="P816" s="49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3.2">
      <c r="A817" s="47"/>
      <c r="B817" s="55"/>
      <c r="C817" s="55"/>
      <c r="D817" s="67"/>
      <c r="E817" s="12"/>
      <c r="F817" s="12"/>
      <c r="G817" s="47"/>
      <c r="H817" s="47"/>
      <c r="I817" s="48"/>
      <c r="J817" s="47"/>
      <c r="K817" s="48"/>
      <c r="L817" s="47"/>
      <c r="M817" s="47"/>
      <c r="N817" s="47"/>
      <c r="O817" s="47"/>
      <c r="P817" s="49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3.2">
      <c r="A818" s="47"/>
      <c r="B818" s="55"/>
      <c r="C818" s="55"/>
      <c r="D818" s="67"/>
      <c r="E818" s="12"/>
      <c r="F818" s="12"/>
      <c r="G818" s="47"/>
      <c r="H818" s="47"/>
      <c r="I818" s="48"/>
      <c r="J818" s="47"/>
      <c r="K818" s="48"/>
      <c r="L818" s="47"/>
      <c r="M818" s="47"/>
      <c r="N818" s="47"/>
      <c r="O818" s="47"/>
      <c r="P818" s="49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3.2">
      <c r="A819" s="47"/>
      <c r="B819" s="55"/>
      <c r="C819" s="55"/>
      <c r="D819" s="67"/>
      <c r="E819" s="12"/>
      <c r="F819" s="12"/>
      <c r="G819" s="47"/>
      <c r="H819" s="47"/>
      <c r="I819" s="48"/>
      <c r="J819" s="47"/>
      <c r="K819" s="48"/>
      <c r="L819" s="47"/>
      <c r="M819" s="47"/>
      <c r="N819" s="47"/>
      <c r="O819" s="47"/>
      <c r="P819" s="49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3.2">
      <c r="A820" s="47"/>
      <c r="B820" s="55"/>
      <c r="C820" s="55"/>
      <c r="D820" s="67"/>
      <c r="E820" s="12"/>
      <c r="F820" s="12"/>
      <c r="G820" s="47"/>
      <c r="H820" s="47"/>
      <c r="I820" s="48"/>
      <c r="J820" s="47"/>
      <c r="K820" s="48"/>
      <c r="L820" s="47"/>
      <c r="M820" s="47"/>
      <c r="N820" s="47"/>
      <c r="O820" s="47"/>
      <c r="P820" s="49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3.2">
      <c r="A821" s="47"/>
      <c r="B821" s="55"/>
      <c r="C821" s="55"/>
      <c r="D821" s="67"/>
      <c r="E821" s="12"/>
      <c r="F821" s="12"/>
      <c r="G821" s="47"/>
      <c r="H821" s="47"/>
      <c r="I821" s="48"/>
      <c r="J821" s="47"/>
      <c r="K821" s="48"/>
      <c r="L821" s="47"/>
      <c r="M821" s="47"/>
      <c r="N821" s="47"/>
      <c r="O821" s="47"/>
      <c r="P821" s="49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3.2">
      <c r="A822" s="47"/>
      <c r="B822" s="55"/>
      <c r="C822" s="55"/>
      <c r="D822" s="67"/>
      <c r="E822" s="12"/>
      <c r="F822" s="12"/>
      <c r="G822" s="47"/>
      <c r="H822" s="47"/>
      <c r="I822" s="48"/>
      <c r="J822" s="47"/>
      <c r="K822" s="48"/>
      <c r="L822" s="47"/>
      <c r="M822" s="47"/>
      <c r="N822" s="47"/>
      <c r="O822" s="47"/>
      <c r="P822" s="49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3.2">
      <c r="A823" s="47"/>
      <c r="B823" s="55"/>
      <c r="C823" s="55"/>
      <c r="D823" s="67"/>
      <c r="E823" s="12"/>
      <c r="F823" s="12"/>
      <c r="G823" s="47"/>
      <c r="H823" s="47"/>
      <c r="I823" s="48"/>
      <c r="J823" s="47"/>
      <c r="K823" s="48"/>
      <c r="L823" s="47"/>
      <c r="M823" s="47"/>
      <c r="N823" s="47"/>
      <c r="O823" s="47"/>
      <c r="P823" s="49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3.2">
      <c r="A824" s="47"/>
      <c r="B824" s="55"/>
      <c r="C824" s="55"/>
      <c r="D824" s="67"/>
      <c r="E824" s="12"/>
      <c r="F824" s="12"/>
      <c r="G824" s="47"/>
      <c r="H824" s="47"/>
      <c r="I824" s="48"/>
      <c r="J824" s="47"/>
      <c r="K824" s="48"/>
      <c r="L824" s="47"/>
      <c r="M824" s="47"/>
      <c r="N824" s="47"/>
      <c r="O824" s="47"/>
      <c r="P824" s="49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3.2">
      <c r="A825" s="47"/>
      <c r="B825" s="55"/>
      <c r="C825" s="55"/>
      <c r="D825" s="67"/>
      <c r="E825" s="12"/>
      <c r="F825" s="12"/>
      <c r="G825" s="47"/>
      <c r="H825" s="47"/>
      <c r="I825" s="48"/>
      <c r="J825" s="47"/>
      <c r="K825" s="48"/>
      <c r="L825" s="47"/>
      <c r="M825" s="47"/>
      <c r="N825" s="47"/>
      <c r="O825" s="47"/>
      <c r="P825" s="49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3.2">
      <c r="A826" s="47"/>
      <c r="B826" s="55"/>
      <c r="C826" s="55"/>
      <c r="D826" s="67"/>
      <c r="E826" s="12"/>
      <c r="F826" s="12"/>
      <c r="G826" s="47"/>
      <c r="H826" s="47"/>
      <c r="I826" s="48"/>
      <c r="J826" s="47"/>
      <c r="K826" s="48"/>
      <c r="L826" s="47"/>
      <c r="M826" s="47"/>
      <c r="N826" s="47"/>
      <c r="O826" s="47"/>
      <c r="P826" s="49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3.2">
      <c r="A827" s="47"/>
      <c r="B827" s="55"/>
      <c r="C827" s="55"/>
      <c r="D827" s="67"/>
      <c r="E827" s="12"/>
      <c r="F827" s="12"/>
      <c r="G827" s="47"/>
      <c r="H827" s="47"/>
      <c r="I827" s="48"/>
      <c r="J827" s="47"/>
      <c r="K827" s="48"/>
      <c r="L827" s="47"/>
      <c r="M827" s="47"/>
      <c r="N827" s="47"/>
      <c r="O827" s="47"/>
      <c r="P827" s="49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3.2">
      <c r="A828" s="47"/>
      <c r="B828" s="55"/>
      <c r="C828" s="55"/>
      <c r="D828" s="67"/>
      <c r="E828" s="12"/>
      <c r="F828" s="12"/>
      <c r="G828" s="47"/>
      <c r="H828" s="47"/>
      <c r="I828" s="48"/>
      <c r="J828" s="47"/>
      <c r="K828" s="48"/>
      <c r="L828" s="47"/>
      <c r="M828" s="47"/>
      <c r="N828" s="47"/>
      <c r="O828" s="47"/>
      <c r="P828" s="49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3.2">
      <c r="A829" s="47"/>
      <c r="B829" s="55"/>
      <c r="C829" s="55"/>
      <c r="D829" s="67"/>
      <c r="E829" s="12"/>
      <c r="F829" s="12"/>
      <c r="G829" s="47"/>
      <c r="H829" s="47"/>
      <c r="I829" s="48"/>
      <c r="J829" s="47"/>
      <c r="K829" s="48"/>
      <c r="L829" s="47"/>
      <c r="M829" s="47"/>
      <c r="N829" s="47"/>
      <c r="O829" s="47"/>
      <c r="P829" s="49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3.2">
      <c r="A830" s="47"/>
      <c r="B830" s="55"/>
      <c r="C830" s="55"/>
      <c r="D830" s="67"/>
      <c r="E830" s="12"/>
      <c r="F830" s="12"/>
      <c r="G830" s="47"/>
      <c r="H830" s="47"/>
      <c r="I830" s="48"/>
      <c r="J830" s="47"/>
      <c r="K830" s="48"/>
      <c r="L830" s="47"/>
      <c r="M830" s="47"/>
      <c r="N830" s="47"/>
      <c r="O830" s="47"/>
      <c r="P830" s="49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3.2">
      <c r="A831" s="47"/>
      <c r="B831" s="55"/>
      <c r="C831" s="55"/>
      <c r="D831" s="67"/>
      <c r="E831" s="12"/>
      <c r="F831" s="12"/>
      <c r="G831" s="47"/>
      <c r="H831" s="47"/>
      <c r="I831" s="48"/>
      <c r="J831" s="47"/>
      <c r="K831" s="48"/>
      <c r="L831" s="47"/>
      <c r="M831" s="47"/>
      <c r="N831" s="47"/>
      <c r="O831" s="47"/>
      <c r="P831" s="49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3.2">
      <c r="A832" s="47"/>
      <c r="B832" s="55"/>
      <c r="C832" s="55"/>
      <c r="D832" s="67"/>
      <c r="E832" s="12"/>
      <c r="F832" s="12"/>
      <c r="G832" s="47"/>
      <c r="H832" s="47"/>
      <c r="I832" s="48"/>
      <c r="J832" s="47"/>
      <c r="K832" s="48"/>
      <c r="L832" s="47"/>
      <c r="M832" s="47"/>
      <c r="N832" s="47"/>
      <c r="O832" s="47"/>
      <c r="P832" s="49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3.2">
      <c r="A833" s="47"/>
      <c r="B833" s="55"/>
      <c r="C833" s="55"/>
      <c r="D833" s="67"/>
      <c r="E833" s="12"/>
      <c r="F833" s="12"/>
      <c r="G833" s="47"/>
      <c r="H833" s="47"/>
      <c r="I833" s="48"/>
      <c r="J833" s="47"/>
      <c r="K833" s="48"/>
      <c r="L833" s="47"/>
      <c r="M833" s="47"/>
      <c r="N833" s="47"/>
      <c r="O833" s="47"/>
      <c r="P833" s="49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3.2">
      <c r="A834" s="47"/>
      <c r="B834" s="55"/>
      <c r="C834" s="55"/>
      <c r="D834" s="67"/>
      <c r="E834" s="12"/>
      <c r="F834" s="12"/>
      <c r="G834" s="47"/>
      <c r="H834" s="47"/>
      <c r="I834" s="48"/>
      <c r="J834" s="47"/>
      <c r="K834" s="48"/>
      <c r="L834" s="47"/>
      <c r="M834" s="47"/>
      <c r="N834" s="47"/>
      <c r="O834" s="47"/>
      <c r="P834" s="49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3.2">
      <c r="A835" s="47"/>
      <c r="B835" s="55"/>
      <c r="C835" s="55"/>
      <c r="D835" s="67"/>
      <c r="E835" s="12"/>
      <c r="F835" s="12"/>
      <c r="G835" s="47"/>
      <c r="H835" s="47"/>
      <c r="I835" s="48"/>
      <c r="J835" s="47"/>
      <c r="K835" s="48"/>
      <c r="L835" s="47"/>
      <c r="M835" s="47"/>
      <c r="N835" s="47"/>
      <c r="O835" s="47"/>
      <c r="P835" s="49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3.2">
      <c r="A836" s="47"/>
      <c r="B836" s="55"/>
      <c r="C836" s="55"/>
      <c r="D836" s="67"/>
      <c r="E836" s="12"/>
      <c r="F836" s="12"/>
      <c r="G836" s="47"/>
      <c r="H836" s="47"/>
      <c r="I836" s="48"/>
      <c r="J836" s="47"/>
      <c r="K836" s="48"/>
      <c r="L836" s="47"/>
      <c r="M836" s="47"/>
      <c r="N836" s="47"/>
      <c r="O836" s="47"/>
      <c r="P836" s="49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3.2">
      <c r="A837" s="47"/>
      <c r="B837" s="55"/>
      <c r="C837" s="55"/>
      <c r="D837" s="67"/>
      <c r="E837" s="12"/>
      <c r="F837" s="12"/>
      <c r="G837" s="47"/>
      <c r="H837" s="47"/>
      <c r="I837" s="48"/>
      <c r="J837" s="47"/>
      <c r="K837" s="48"/>
      <c r="L837" s="47"/>
      <c r="M837" s="47"/>
      <c r="N837" s="47"/>
      <c r="O837" s="47"/>
      <c r="P837" s="49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3.2">
      <c r="A838" s="47"/>
      <c r="B838" s="55"/>
      <c r="C838" s="55"/>
      <c r="D838" s="67"/>
      <c r="E838" s="12"/>
      <c r="F838" s="12"/>
      <c r="G838" s="47"/>
      <c r="H838" s="47"/>
      <c r="I838" s="48"/>
      <c r="J838" s="47"/>
      <c r="K838" s="48"/>
      <c r="L838" s="47"/>
      <c r="M838" s="47"/>
      <c r="N838" s="47"/>
      <c r="O838" s="47"/>
      <c r="P838" s="49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3.2">
      <c r="A839" s="47"/>
      <c r="B839" s="55"/>
      <c r="C839" s="55"/>
      <c r="D839" s="67"/>
      <c r="E839" s="12"/>
      <c r="F839" s="12"/>
      <c r="G839" s="47"/>
      <c r="H839" s="47"/>
      <c r="I839" s="48"/>
      <c r="J839" s="47"/>
      <c r="K839" s="48"/>
      <c r="L839" s="47"/>
      <c r="M839" s="47"/>
      <c r="N839" s="47"/>
      <c r="O839" s="47"/>
      <c r="P839" s="49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3.2">
      <c r="A840" s="47"/>
      <c r="B840" s="55"/>
      <c r="C840" s="55"/>
      <c r="D840" s="67"/>
      <c r="E840" s="12"/>
      <c r="F840" s="12"/>
      <c r="G840" s="47"/>
      <c r="H840" s="47"/>
      <c r="I840" s="48"/>
      <c r="J840" s="47"/>
      <c r="K840" s="48"/>
      <c r="L840" s="47"/>
      <c r="M840" s="47"/>
      <c r="N840" s="47"/>
      <c r="O840" s="47"/>
      <c r="P840" s="49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3.2">
      <c r="A841" s="47"/>
      <c r="B841" s="55"/>
      <c r="C841" s="55"/>
      <c r="D841" s="67"/>
      <c r="E841" s="12"/>
      <c r="F841" s="12"/>
      <c r="G841" s="47"/>
      <c r="H841" s="47"/>
      <c r="I841" s="48"/>
      <c r="J841" s="47"/>
      <c r="K841" s="48"/>
      <c r="L841" s="47"/>
      <c r="M841" s="47"/>
      <c r="N841" s="47"/>
      <c r="O841" s="47"/>
      <c r="P841" s="49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3.2">
      <c r="A842" s="47"/>
      <c r="B842" s="55"/>
      <c r="C842" s="55"/>
      <c r="D842" s="67"/>
      <c r="E842" s="12"/>
      <c r="F842" s="12"/>
      <c r="G842" s="47"/>
      <c r="H842" s="47"/>
      <c r="I842" s="48"/>
      <c r="J842" s="47"/>
      <c r="K842" s="48"/>
      <c r="L842" s="47"/>
      <c r="M842" s="47"/>
      <c r="N842" s="47"/>
      <c r="O842" s="47"/>
      <c r="P842" s="49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3.2">
      <c r="A843" s="47"/>
      <c r="B843" s="55"/>
      <c r="C843" s="55"/>
      <c r="D843" s="67"/>
      <c r="E843" s="12"/>
      <c r="F843" s="12"/>
      <c r="G843" s="47"/>
      <c r="H843" s="47"/>
      <c r="I843" s="48"/>
      <c r="J843" s="47"/>
      <c r="K843" s="48"/>
      <c r="L843" s="47"/>
      <c r="M843" s="47"/>
      <c r="N843" s="47"/>
      <c r="O843" s="47"/>
      <c r="P843" s="49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3.2">
      <c r="A844" s="47"/>
      <c r="B844" s="55"/>
      <c r="C844" s="55"/>
      <c r="D844" s="67"/>
      <c r="E844" s="12"/>
      <c r="F844" s="12"/>
      <c r="G844" s="47"/>
      <c r="H844" s="47"/>
      <c r="I844" s="48"/>
      <c r="J844" s="47"/>
      <c r="K844" s="48"/>
      <c r="L844" s="47"/>
      <c r="M844" s="47"/>
      <c r="N844" s="47"/>
      <c r="O844" s="47"/>
      <c r="P844" s="49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3.2">
      <c r="A845" s="47"/>
      <c r="B845" s="55"/>
      <c r="C845" s="55"/>
      <c r="D845" s="67"/>
      <c r="E845" s="12"/>
      <c r="F845" s="12"/>
      <c r="G845" s="47"/>
      <c r="H845" s="47"/>
      <c r="I845" s="48"/>
      <c r="J845" s="47"/>
      <c r="K845" s="48"/>
      <c r="L845" s="47"/>
      <c r="M845" s="47"/>
      <c r="N845" s="47"/>
      <c r="O845" s="47"/>
      <c r="P845" s="49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3.2">
      <c r="A846" s="47"/>
      <c r="B846" s="55"/>
      <c r="C846" s="55"/>
      <c r="D846" s="67"/>
      <c r="E846" s="12"/>
      <c r="F846" s="12"/>
      <c r="G846" s="47"/>
      <c r="H846" s="47"/>
      <c r="I846" s="48"/>
      <c r="J846" s="47"/>
      <c r="K846" s="48"/>
      <c r="L846" s="47"/>
      <c r="M846" s="47"/>
      <c r="N846" s="47"/>
      <c r="O846" s="47"/>
      <c r="P846" s="49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3.2">
      <c r="A847" s="47"/>
      <c r="B847" s="55"/>
      <c r="C847" s="55"/>
      <c r="D847" s="67"/>
      <c r="E847" s="12"/>
      <c r="F847" s="12"/>
      <c r="G847" s="47"/>
      <c r="H847" s="47"/>
      <c r="I847" s="48"/>
      <c r="J847" s="47"/>
      <c r="K847" s="48"/>
      <c r="L847" s="47"/>
      <c r="M847" s="47"/>
      <c r="N847" s="47"/>
      <c r="O847" s="47"/>
      <c r="P847" s="49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3.2">
      <c r="A848" s="47"/>
      <c r="B848" s="55"/>
      <c r="C848" s="55"/>
      <c r="D848" s="67"/>
      <c r="E848" s="12"/>
      <c r="F848" s="12"/>
      <c r="G848" s="47"/>
      <c r="H848" s="47"/>
      <c r="I848" s="48"/>
      <c r="J848" s="47"/>
      <c r="K848" s="48"/>
      <c r="L848" s="47"/>
      <c r="M848" s="47"/>
      <c r="N848" s="47"/>
      <c r="O848" s="47"/>
      <c r="P848" s="49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3.2">
      <c r="A849" s="47"/>
      <c r="B849" s="55"/>
      <c r="C849" s="55"/>
      <c r="D849" s="67"/>
      <c r="E849" s="12"/>
      <c r="F849" s="12"/>
      <c r="G849" s="47"/>
      <c r="H849" s="47"/>
      <c r="I849" s="48"/>
      <c r="J849" s="47"/>
      <c r="K849" s="48"/>
      <c r="L849" s="47"/>
      <c r="M849" s="47"/>
      <c r="N849" s="47"/>
      <c r="O849" s="47"/>
      <c r="P849" s="49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3.2">
      <c r="A850" s="47"/>
      <c r="B850" s="55"/>
      <c r="C850" s="55"/>
      <c r="D850" s="67"/>
      <c r="E850" s="12"/>
      <c r="F850" s="12"/>
      <c r="G850" s="47"/>
      <c r="H850" s="47"/>
      <c r="I850" s="48"/>
      <c r="J850" s="47"/>
      <c r="K850" s="48"/>
      <c r="L850" s="47"/>
      <c r="M850" s="47"/>
      <c r="N850" s="47"/>
      <c r="O850" s="47"/>
      <c r="P850" s="49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3.2">
      <c r="A851" s="47"/>
      <c r="B851" s="55"/>
      <c r="C851" s="55"/>
      <c r="D851" s="67"/>
      <c r="E851" s="12"/>
      <c r="F851" s="12"/>
      <c r="G851" s="47"/>
      <c r="H851" s="47"/>
      <c r="I851" s="48"/>
      <c r="J851" s="47"/>
      <c r="K851" s="48"/>
      <c r="L851" s="47"/>
      <c r="M851" s="47"/>
      <c r="N851" s="47"/>
      <c r="O851" s="47"/>
      <c r="P851" s="49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3.2">
      <c r="A852" s="47"/>
      <c r="B852" s="55"/>
      <c r="C852" s="55"/>
      <c r="D852" s="67"/>
      <c r="E852" s="12"/>
      <c r="F852" s="12"/>
      <c r="G852" s="47"/>
      <c r="H852" s="47"/>
      <c r="I852" s="48"/>
      <c r="J852" s="47"/>
      <c r="K852" s="48"/>
      <c r="L852" s="47"/>
      <c r="M852" s="47"/>
      <c r="N852" s="47"/>
      <c r="O852" s="47"/>
      <c r="P852" s="49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3.2">
      <c r="A853" s="47"/>
      <c r="B853" s="55"/>
      <c r="C853" s="55"/>
      <c r="D853" s="67"/>
      <c r="E853" s="12"/>
      <c r="F853" s="12"/>
      <c r="G853" s="47"/>
      <c r="H853" s="47"/>
      <c r="I853" s="48"/>
      <c r="J853" s="47"/>
      <c r="K853" s="48"/>
      <c r="L853" s="47"/>
      <c r="M853" s="47"/>
      <c r="N853" s="47"/>
      <c r="O853" s="47"/>
      <c r="P853" s="49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3.2">
      <c r="A854" s="47"/>
      <c r="B854" s="55"/>
      <c r="C854" s="55"/>
      <c r="D854" s="67"/>
      <c r="E854" s="12"/>
      <c r="F854" s="12"/>
      <c r="G854" s="47"/>
      <c r="H854" s="47"/>
      <c r="I854" s="48"/>
      <c r="J854" s="47"/>
      <c r="K854" s="48"/>
      <c r="L854" s="47"/>
      <c r="M854" s="47"/>
      <c r="N854" s="47"/>
      <c r="O854" s="47"/>
      <c r="P854" s="49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3.2">
      <c r="A855" s="47"/>
      <c r="B855" s="55"/>
      <c r="C855" s="55"/>
      <c r="D855" s="67"/>
      <c r="E855" s="12"/>
      <c r="F855" s="12"/>
      <c r="G855" s="47"/>
      <c r="H855" s="47"/>
      <c r="I855" s="48"/>
      <c r="J855" s="47"/>
      <c r="K855" s="48"/>
      <c r="L855" s="47"/>
      <c r="M855" s="47"/>
      <c r="N855" s="47"/>
      <c r="O855" s="47"/>
      <c r="P855" s="49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3.2">
      <c r="A856" s="47"/>
      <c r="B856" s="55"/>
      <c r="C856" s="55"/>
      <c r="D856" s="67"/>
      <c r="E856" s="12"/>
      <c r="F856" s="12"/>
      <c r="G856" s="47"/>
      <c r="H856" s="47"/>
      <c r="I856" s="48"/>
      <c r="J856" s="47"/>
      <c r="K856" s="48"/>
      <c r="L856" s="47"/>
      <c r="M856" s="47"/>
      <c r="N856" s="47"/>
      <c r="O856" s="47"/>
      <c r="P856" s="49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3.2">
      <c r="A857" s="47"/>
      <c r="B857" s="55"/>
      <c r="C857" s="55"/>
      <c r="D857" s="67"/>
      <c r="E857" s="12"/>
      <c r="F857" s="12"/>
      <c r="G857" s="47"/>
      <c r="H857" s="47"/>
      <c r="I857" s="48"/>
      <c r="J857" s="47"/>
      <c r="K857" s="48"/>
      <c r="L857" s="47"/>
      <c r="M857" s="47"/>
      <c r="N857" s="47"/>
      <c r="O857" s="47"/>
      <c r="P857" s="49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3.2">
      <c r="A858" s="47"/>
      <c r="B858" s="55"/>
      <c r="C858" s="55"/>
      <c r="D858" s="67"/>
      <c r="E858" s="12"/>
      <c r="F858" s="12"/>
      <c r="G858" s="47"/>
      <c r="H858" s="47"/>
      <c r="I858" s="48"/>
      <c r="J858" s="47"/>
      <c r="K858" s="48"/>
      <c r="L858" s="47"/>
      <c r="M858" s="47"/>
      <c r="N858" s="47"/>
      <c r="O858" s="47"/>
      <c r="P858" s="49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3.2">
      <c r="A859" s="47"/>
      <c r="B859" s="55"/>
      <c r="C859" s="55"/>
      <c r="D859" s="67"/>
      <c r="E859" s="12"/>
      <c r="F859" s="12"/>
      <c r="G859" s="47"/>
      <c r="H859" s="47"/>
      <c r="I859" s="48"/>
      <c r="J859" s="47"/>
      <c r="K859" s="48"/>
      <c r="L859" s="47"/>
      <c r="M859" s="47"/>
      <c r="N859" s="47"/>
      <c r="O859" s="47"/>
      <c r="P859" s="49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3.2">
      <c r="A860" s="47"/>
      <c r="B860" s="55"/>
      <c r="C860" s="55"/>
      <c r="D860" s="67"/>
      <c r="E860" s="12"/>
      <c r="F860" s="12"/>
      <c r="G860" s="47"/>
      <c r="H860" s="47"/>
      <c r="I860" s="48"/>
      <c r="J860" s="47"/>
      <c r="K860" s="48"/>
      <c r="L860" s="47"/>
      <c r="M860" s="47"/>
      <c r="N860" s="47"/>
      <c r="O860" s="47"/>
      <c r="P860" s="49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3.2">
      <c r="A861" s="47"/>
      <c r="B861" s="55"/>
      <c r="C861" s="55"/>
      <c r="D861" s="67"/>
      <c r="E861" s="12"/>
      <c r="F861" s="12"/>
      <c r="G861" s="47"/>
      <c r="H861" s="47"/>
      <c r="I861" s="48"/>
      <c r="J861" s="47"/>
      <c r="K861" s="48"/>
      <c r="L861" s="47"/>
      <c r="M861" s="47"/>
      <c r="N861" s="47"/>
      <c r="O861" s="47"/>
      <c r="P861" s="49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3.2">
      <c r="A862" s="47"/>
      <c r="B862" s="55"/>
      <c r="C862" s="55"/>
      <c r="D862" s="67"/>
      <c r="E862" s="12"/>
      <c r="F862" s="12"/>
      <c r="G862" s="47"/>
      <c r="H862" s="47"/>
      <c r="I862" s="48"/>
      <c r="J862" s="47"/>
      <c r="K862" s="48"/>
      <c r="L862" s="47"/>
      <c r="M862" s="47"/>
      <c r="N862" s="47"/>
      <c r="O862" s="47"/>
      <c r="P862" s="49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3.2">
      <c r="A863" s="47"/>
      <c r="B863" s="55"/>
      <c r="C863" s="55"/>
      <c r="D863" s="67"/>
      <c r="E863" s="12"/>
      <c r="F863" s="12"/>
      <c r="G863" s="47"/>
      <c r="H863" s="47"/>
      <c r="I863" s="48"/>
      <c r="J863" s="47"/>
      <c r="K863" s="48"/>
      <c r="L863" s="47"/>
      <c r="M863" s="47"/>
      <c r="N863" s="47"/>
      <c r="O863" s="47"/>
      <c r="P863" s="49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3.2">
      <c r="A864" s="47"/>
      <c r="B864" s="55"/>
      <c r="C864" s="55"/>
      <c r="D864" s="67"/>
      <c r="E864" s="12"/>
      <c r="F864" s="12"/>
      <c r="G864" s="47"/>
      <c r="H864" s="47"/>
      <c r="I864" s="48"/>
      <c r="J864" s="47"/>
      <c r="K864" s="48"/>
      <c r="L864" s="47"/>
      <c r="M864" s="47"/>
      <c r="N864" s="47"/>
      <c r="O864" s="47"/>
      <c r="P864" s="49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3.2">
      <c r="A865" s="47"/>
      <c r="B865" s="55"/>
      <c r="C865" s="55"/>
      <c r="D865" s="67"/>
      <c r="E865" s="12"/>
      <c r="F865" s="12"/>
      <c r="G865" s="47"/>
      <c r="H865" s="47"/>
      <c r="I865" s="48"/>
      <c r="J865" s="47"/>
      <c r="K865" s="48"/>
      <c r="L865" s="47"/>
      <c r="M865" s="47"/>
      <c r="N865" s="47"/>
      <c r="O865" s="47"/>
      <c r="P865" s="49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3.2">
      <c r="A866" s="47"/>
      <c r="B866" s="55"/>
      <c r="C866" s="55"/>
      <c r="D866" s="67"/>
      <c r="E866" s="12"/>
      <c r="F866" s="12"/>
      <c r="G866" s="47"/>
      <c r="H866" s="47"/>
      <c r="I866" s="48"/>
      <c r="J866" s="47"/>
      <c r="K866" s="48"/>
      <c r="L866" s="47"/>
      <c r="M866" s="47"/>
      <c r="N866" s="47"/>
      <c r="O866" s="47"/>
      <c r="P866" s="49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3.2">
      <c r="A867" s="47"/>
      <c r="B867" s="55"/>
      <c r="C867" s="55"/>
      <c r="D867" s="67"/>
      <c r="E867" s="12"/>
      <c r="F867" s="12"/>
      <c r="G867" s="47"/>
      <c r="H867" s="47"/>
      <c r="I867" s="48"/>
      <c r="J867" s="47"/>
      <c r="K867" s="48"/>
      <c r="L867" s="47"/>
      <c r="M867" s="47"/>
      <c r="N867" s="47"/>
      <c r="O867" s="47"/>
      <c r="P867" s="49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3.2">
      <c r="A868" s="47"/>
      <c r="B868" s="55"/>
      <c r="C868" s="55"/>
      <c r="D868" s="67"/>
      <c r="E868" s="12"/>
      <c r="F868" s="12"/>
      <c r="G868" s="47"/>
      <c r="H868" s="47"/>
      <c r="I868" s="48"/>
      <c r="J868" s="47"/>
      <c r="K868" s="48"/>
      <c r="L868" s="47"/>
      <c r="M868" s="47"/>
      <c r="N868" s="47"/>
      <c r="O868" s="47"/>
      <c r="P868" s="49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3.2">
      <c r="A869" s="47"/>
      <c r="B869" s="55"/>
      <c r="C869" s="55"/>
      <c r="D869" s="67"/>
      <c r="E869" s="12"/>
      <c r="F869" s="12"/>
      <c r="G869" s="47"/>
      <c r="H869" s="47"/>
      <c r="I869" s="48"/>
      <c r="J869" s="47"/>
      <c r="K869" s="48"/>
      <c r="L869" s="47"/>
      <c r="M869" s="47"/>
      <c r="N869" s="47"/>
      <c r="O869" s="47"/>
      <c r="P869" s="49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26.4">
      <c r="A870" s="45" t="s">
        <v>98</v>
      </c>
      <c r="B870" s="5">
        <v>0</v>
      </c>
      <c r="C870" s="5">
        <v>0</v>
      </c>
      <c r="D870" s="9">
        <v>42992</v>
      </c>
      <c r="E870" s="10">
        <v>386.4</v>
      </c>
      <c r="F870" s="12" t="s">
        <v>21</v>
      </c>
      <c r="G870" s="46">
        <f>AVERAGE(F871:F886)</f>
        <v>7.1988095238095235</v>
      </c>
      <c r="H870" s="47"/>
      <c r="I870" s="13">
        <v>45.1</v>
      </c>
      <c r="J870" s="47"/>
      <c r="K870" s="13">
        <v>25.6</v>
      </c>
      <c r="L870" s="47"/>
      <c r="M870" s="47"/>
      <c r="N870" s="47"/>
      <c r="O870" s="47"/>
      <c r="P870" s="49">
        <f>SUM(O870:O879)</f>
        <v>491.70000000000005</v>
      </c>
      <c r="Q870" s="7"/>
      <c r="R870" s="7"/>
      <c r="S870" s="73">
        <f>I875-I880</f>
        <v>47.7</v>
      </c>
      <c r="T870" s="7">
        <f>SUM(S870:S875)*3.1</f>
        <v>765.39</v>
      </c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3.2">
      <c r="A871" s="50" t="s">
        <v>23</v>
      </c>
      <c r="B871" s="5">
        <v>0</v>
      </c>
      <c r="C871" s="5">
        <v>0</v>
      </c>
      <c r="D871" s="9">
        <v>42993</v>
      </c>
      <c r="E871" s="10">
        <v>377.6</v>
      </c>
      <c r="F871" s="12">
        <f>E870-E871</f>
        <v>8.7999999999999545</v>
      </c>
      <c r="G871" s="47"/>
      <c r="H871" s="47"/>
      <c r="I871" s="13">
        <v>41</v>
      </c>
      <c r="J871" s="47">
        <f t="shared" ref="J871:J874" si="187">(I870-I871)/(D871-D870)</f>
        <v>4.1000000000000014</v>
      </c>
      <c r="K871" s="13">
        <v>26.4</v>
      </c>
      <c r="L871" s="47"/>
      <c r="M871" s="47"/>
      <c r="N871" s="47"/>
      <c r="O871" s="46">
        <f>406-E880</f>
        <v>89.100000000000023</v>
      </c>
      <c r="P871" s="49"/>
      <c r="Q871" s="7"/>
      <c r="R871" s="7"/>
      <c r="S871" s="73">
        <f>69-I886</f>
        <v>40.200000000000003</v>
      </c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3.2">
      <c r="A872" s="47"/>
      <c r="B872" s="5">
        <v>0</v>
      </c>
      <c r="C872" s="5">
        <v>0</v>
      </c>
      <c r="D872" s="9">
        <v>42996</v>
      </c>
      <c r="E872" s="10">
        <v>359.1</v>
      </c>
      <c r="F872" s="12">
        <f t="shared" ref="F872:F874" si="188">(E871-E872)/(D872-D871)</f>
        <v>6.166666666666667</v>
      </c>
      <c r="G872" s="47"/>
      <c r="H872" s="47"/>
      <c r="I872" s="13">
        <v>29.7</v>
      </c>
      <c r="J872" s="51">
        <f t="shared" si="187"/>
        <v>3.7666666666666671</v>
      </c>
      <c r="K872" s="13">
        <v>26.2</v>
      </c>
      <c r="L872" s="47"/>
      <c r="M872" s="47"/>
      <c r="N872" s="47"/>
      <c r="O872" s="46">
        <f>E881-E884</f>
        <v>40</v>
      </c>
      <c r="P872" s="49"/>
      <c r="Q872" s="7"/>
      <c r="R872" s="7"/>
      <c r="S872" s="73">
        <f>62.8-I891</f>
        <v>32.599999999999994</v>
      </c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3.2">
      <c r="A873" s="47"/>
      <c r="B873" s="5">
        <v>0</v>
      </c>
      <c r="C873" s="5">
        <v>0</v>
      </c>
      <c r="D873" s="9">
        <v>42998</v>
      </c>
      <c r="E873" s="10">
        <v>346.4</v>
      </c>
      <c r="F873" s="12">
        <f t="shared" si="188"/>
        <v>6.3500000000000227</v>
      </c>
      <c r="G873" s="47"/>
      <c r="H873" s="47"/>
      <c r="I873" s="13">
        <v>22.2</v>
      </c>
      <c r="J873" s="47">
        <f t="shared" si="187"/>
        <v>3.75</v>
      </c>
      <c r="K873" s="13">
        <v>26.5</v>
      </c>
      <c r="L873" s="47"/>
      <c r="M873" s="47"/>
      <c r="N873" s="47"/>
      <c r="O873" s="46">
        <f>E885-E888</f>
        <v>41.199999999999989</v>
      </c>
      <c r="P873" s="49"/>
      <c r="Q873" s="7"/>
      <c r="R873" s="7"/>
      <c r="S873" s="73">
        <f>81.7-I899</f>
        <v>52.6</v>
      </c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3.2">
      <c r="A874" s="47"/>
      <c r="B874" s="5">
        <v>0.5</v>
      </c>
      <c r="C874" s="5">
        <v>0</v>
      </c>
      <c r="D874" s="9">
        <v>42999</v>
      </c>
      <c r="E874" s="10">
        <v>338.2</v>
      </c>
      <c r="F874" s="12">
        <f t="shared" si="188"/>
        <v>8.1999999999999886</v>
      </c>
      <c r="G874" s="47"/>
      <c r="H874" s="47"/>
      <c r="I874" s="13">
        <v>18.100000000000001</v>
      </c>
      <c r="J874" s="47">
        <f t="shared" si="187"/>
        <v>4.0999999999999979</v>
      </c>
      <c r="K874" s="13">
        <v>27</v>
      </c>
      <c r="L874" s="47"/>
      <c r="M874" s="47"/>
      <c r="N874" s="47"/>
      <c r="O874" s="46">
        <f>E889-E896</f>
        <v>87.199999999999989</v>
      </c>
      <c r="P874" s="49"/>
      <c r="Q874" s="7"/>
      <c r="R874" s="7"/>
      <c r="S874" s="73">
        <f>86-I907</f>
        <v>54.7</v>
      </c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3.2">
      <c r="A875" s="47"/>
      <c r="B875" s="5">
        <v>0.5</v>
      </c>
      <c r="C875" s="5">
        <f t="shared" ref="C875:C876" si="189">D875-$D874</f>
        <v>1</v>
      </c>
      <c r="D875" s="9">
        <v>43000</v>
      </c>
      <c r="E875" s="10">
        <v>400.4</v>
      </c>
      <c r="F875" s="12">
        <f>(406-E875)/(D875-D874)</f>
        <v>5.6000000000000227</v>
      </c>
      <c r="G875" s="47"/>
      <c r="H875" s="47"/>
      <c r="I875" s="13">
        <v>67.900000000000006</v>
      </c>
      <c r="J875" s="47"/>
      <c r="K875" s="13">
        <v>26.6</v>
      </c>
      <c r="L875" s="47"/>
      <c r="M875" s="47"/>
      <c r="N875" s="47"/>
      <c r="O875" s="46">
        <f>E897-E900</f>
        <v>37.100000000000023</v>
      </c>
      <c r="P875" s="49"/>
      <c r="Q875" s="7"/>
      <c r="R875" s="7"/>
      <c r="S875" s="73">
        <f>88.1-I920</f>
        <v>19.099999999999994</v>
      </c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3.2">
      <c r="A876" s="47"/>
      <c r="B876" s="5">
        <v>0.5</v>
      </c>
      <c r="C876" s="5">
        <f t="shared" si="189"/>
        <v>3</v>
      </c>
      <c r="D876" s="9">
        <v>43003</v>
      </c>
      <c r="E876" s="10">
        <v>379.5</v>
      </c>
      <c r="F876" s="12">
        <f t="shared" ref="F876:F880" si="190">(E875-E876)/(D876-D875)</f>
        <v>6.9666666666666588</v>
      </c>
      <c r="G876" s="47"/>
      <c r="H876" s="47"/>
      <c r="I876" s="13">
        <v>54.1</v>
      </c>
      <c r="J876" s="47">
        <f t="shared" ref="J876:J880" si="191">(I875-I876)/(D876-D875)</f>
        <v>4.6000000000000014</v>
      </c>
      <c r="K876" s="13">
        <v>27.2</v>
      </c>
      <c r="L876" s="47"/>
      <c r="M876" s="47"/>
      <c r="N876" s="47"/>
      <c r="O876" s="46">
        <f>E901-E904</f>
        <v>45.699999999999989</v>
      </c>
      <c r="P876" s="49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3.2">
      <c r="A877" s="47"/>
      <c r="B877" s="5">
        <v>1</v>
      </c>
      <c r="C877" s="5">
        <f>D877-$D874</f>
        <v>6</v>
      </c>
      <c r="D877" s="9">
        <v>43005</v>
      </c>
      <c r="E877" s="10">
        <v>368.7</v>
      </c>
      <c r="F877" s="12">
        <f t="shared" si="190"/>
        <v>5.4000000000000057</v>
      </c>
      <c r="G877" s="47"/>
      <c r="H877" s="47"/>
      <c r="I877" s="13">
        <v>46.1</v>
      </c>
      <c r="J877" s="47">
        <f t="shared" si="191"/>
        <v>4</v>
      </c>
      <c r="K877" s="18">
        <v>26.9</v>
      </c>
      <c r="L877" s="47"/>
      <c r="M877" s="47"/>
      <c r="N877" s="47"/>
      <c r="O877" s="46">
        <f>E905-E912</f>
        <v>77.399999999999977</v>
      </c>
      <c r="P877" s="49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3.2">
      <c r="A878" s="47"/>
      <c r="B878" s="5">
        <v>1</v>
      </c>
      <c r="C878" s="5">
        <f>D878-D874</f>
        <v>8</v>
      </c>
      <c r="D878" s="9">
        <v>43007</v>
      </c>
      <c r="E878" s="10">
        <v>355.4</v>
      </c>
      <c r="F878" s="12">
        <f t="shared" si="190"/>
        <v>6.6500000000000057</v>
      </c>
      <c r="G878" s="47"/>
      <c r="H878" s="47"/>
      <c r="I878" s="13">
        <v>37.299999999999997</v>
      </c>
      <c r="J878" s="47">
        <f t="shared" si="191"/>
        <v>4.4000000000000021</v>
      </c>
      <c r="K878" s="13">
        <v>27.9</v>
      </c>
      <c r="L878" s="47"/>
      <c r="M878" s="47"/>
      <c r="N878" s="47"/>
      <c r="O878" s="46">
        <f>E913-E916</f>
        <v>37.600000000000023</v>
      </c>
      <c r="P878" s="49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3.2">
      <c r="A879" s="47"/>
      <c r="B879" s="5">
        <v>1</v>
      </c>
      <c r="C879" s="5">
        <f>D879-D874</f>
        <v>11</v>
      </c>
      <c r="D879" s="19">
        <v>43010</v>
      </c>
      <c r="E879" s="11">
        <v>335</v>
      </c>
      <c r="F879" s="12">
        <f t="shared" si="190"/>
        <v>6.7999999999999927</v>
      </c>
      <c r="G879" s="47"/>
      <c r="H879" s="47"/>
      <c r="I879" s="13">
        <v>27.4</v>
      </c>
      <c r="J879" s="16">
        <f t="shared" si="191"/>
        <v>3.2999999999999994</v>
      </c>
      <c r="K879" s="13">
        <v>26.5</v>
      </c>
      <c r="L879" s="47"/>
      <c r="M879" s="47"/>
      <c r="N879" s="47"/>
      <c r="O879" s="46">
        <f>E917-E920</f>
        <v>36.400000000000034</v>
      </c>
      <c r="P879" s="49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3.2">
      <c r="A880" s="47"/>
      <c r="B880" s="5">
        <v>1</v>
      </c>
      <c r="C880" s="5">
        <f>D880-D874</f>
        <v>13</v>
      </c>
      <c r="D880" s="19">
        <v>43012</v>
      </c>
      <c r="E880" s="11">
        <v>316.89999999999998</v>
      </c>
      <c r="F880" s="12">
        <f t="shared" si="190"/>
        <v>9.0500000000000114</v>
      </c>
      <c r="G880" s="47"/>
      <c r="H880" s="47"/>
      <c r="I880" s="13">
        <v>20.2</v>
      </c>
      <c r="J880" s="47">
        <f t="shared" si="191"/>
        <v>3.5999999999999996</v>
      </c>
      <c r="K880" s="13">
        <v>26.6</v>
      </c>
      <c r="L880" s="47"/>
      <c r="M880" s="47"/>
      <c r="N880" s="47"/>
      <c r="O880" s="47"/>
      <c r="P880" s="49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3.2">
      <c r="A881" s="47"/>
      <c r="B881" s="5">
        <v>2</v>
      </c>
      <c r="C881" s="5">
        <f>D881-D874</f>
        <v>14</v>
      </c>
      <c r="D881" s="19">
        <v>43013</v>
      </c>
      <c r="E881" s="11">
        <v>386</v>
      </c>
      <c r="F881" s="12"/>
      <c r="G881" s="47"/>
      <c r="H881" s="47"/>
      <c r="I881" s="15" t="s">
        <v>24</v>
      </c>
      <c r="J881" s="47"/>
      <c r="K881" s="15"/>
      <c r="L881" s="47"/>
      <c r="M881" s="47"/>
      <c r="N881" s="47"/>
      <c r="O881" s="47"/>
      <c r="P881" s="49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3.2">
      <c r="A882" s="47"/>
      <c r="B882" s="5">
        <v>2</v>
      </c>
      <c r="C882" s="5">
        <f>D882-$D874</f>
        <v>15</v>
      </c>
      <c r="D882" s="19">
        <v>43014</v>
      </c>
      <c r="E882" s="11">
        <v>377.2</v>
      </c>
      <c r="F882" s="12">
        <f t="shared" ref="F882:F884" si="192">(E881-E882)/(D882-D881)</f>
        <v>8.8000000000000114</v>
      </c>
      <c r="G882" s="47"/>
      <c r="H882" s="47"/>
      <c r="I882" s="13">
        <v>59.3</v>
      </c>
      <c r="J882" s="47">
        <f>(69-I882)/(D882-D880)</f>
        <v>4.8500000000000014</v>
      </c>
      <c r="K882" s="13">
        <v>28</v>
      </c>
      <c r="L882" s="47"/>
      <c r="M882" s="47"/>
      <c r="N882" s="47"/>
      <c r="O882" s="47"/>
      <c r="P882" s="49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3.2">
      <c r="A883" s="47"/>
      <c r="B883" s="5">
        <v>2</v>
      </c>
      <c r="C883" s="5">
        <f t="shared" ref="C883:C924" si="193">D883-$D$6</f>
        <v>18</v>
      </c>
      <c r="D883" s="19">
        <v>43017</v>
      </c>
      <c r="E883" s="11">
        <v>360.4</v>
      </c>
      <c r="F883" s="12">
        <f t="shared" si="192"/>
        <v>5.6000000000000041</v>
      </c>
      <c r="G883" s="47"/>
      <c r="H883" s="47"/>
      <c r="I883" s="13">
        <v>47.1</v>
      </c>
      <c r="J883" s="47">
        <f>(49.8-I883)/(D883-D882)</f>
        <v>0.89999999999999858</v>
      </c>
      <c r="K883" s="13">
        <v>27.6</v>
      </c>
      <c r="L883" s="47"/>
      <c r="M883" s="47"/>
      <c r="N883" s="47"/>
      <c r="O883" s="47"/>
      <c r="P883" s="49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3.2">
      <c r="A884" s="47"/>
      <c r="B884" s="5">
        <v>2</v>
      </c>
      <c r="C884" s="5">
        <f t="shared" si="193"/>
        <v>20</v>
      </c>
      <c r="D884" s="19">
        <v>43019</v>
      </c>
      <c r="E884" s="11">
        <v>346</v>
      </c>
      <c r="F884" s="12">
        <f t="shared" si="192"/>
        <v>7.1999999999999886</v>
      </c>
      <c r="G884" s="47"/>
      <c r="H884" s="47"/>
      <c r="I884" s="13">
        <v>38.700000000000003</v>
      </c>
      <c r="J884" s="47">
        <f>(I883-I884)/(D884-D883)</f>
        <v>4.1999999999999993</v>
      </c>
      <c r="K884" s="13">
        <v>27.6</v>
      </c>
      <c r="L884" s="47"/>
      <c r="M884" s="47"/>
      <c r="N884" s="47"/>
      <c r="O884" s="47"/>
      <c r="P884" s="49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3.2">
      <c r="A885" s="47"/>
      <c r="B885" s="5">
        <v>3</v>
      </c>
      <c r="C885" s="5">
        <f t="shared" si="193"/>
        <v>21</v>
      </c>
      <c r="D885" s="19">
        <v>43020</v>
      </c>
      <c r="E885" s="11">
        <v>379.7</v>
      </c>
      <c r="F885" s="12"/>
      <c r="G885" s="47"/>
      <c r="H885" s="47"/>
      <c r="I885" s="15"/>
      <c r="J885" s="47"/>
      <c r="K885" s="15"/>
      <c r="L885" s="47"/>
      <c r="M885" s="47"/>
      <c r="N885" s="47"/>
      <c r="O885" s="47"/>
      <c r="P885" s="49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3.2">
      <c r="A886" s="47"/>
      <c r="B886" s="5">
        <v>3</v>
      </c>
      <c r="C886" s="5">
        <f t="shared" si="193"/>
        <v>22</v>
      </c>
      <c r="D886" s="19">
        <f>D884+2</f>
        <v>43021</v>
      </c>
      <c r="E886" s="11">
        <v>370.5</v>
      </c>
      <c r="F886" s="12">
        <f t="shared" ref="F886:F888" si="194">(E885-E886)/(D886-D885)</f>
        <v>9.1999999999999886</v>
      </c>
      <c r="G886" s="47"/>
      <c r="H886" s="47"/>
      <c r="I886" s="13">
        <v>28.8</v>
      </c>
      <c r="J886" s="47">
        <f>(43.8-I886)/(D886-D884)</f>
        <v>7.4999999999999982</v>
      </c>
      <c r="K886" s="13">
        <v>27.8</v>
      </c>
      <c r="L886" s="47"/>
      <c r="M886" s="47"/>
      <c r="N886" s="47"/>
      <c r="O886" s="47"/>
      <c r="P886" s="49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3.2">
      <c r="A887" s="47"/>
      <c r="B887" s="5">
        <v>3</v>
      </c>
      <c r="C887" s="5">
        <f t="shared" si="193"/>
        <v>25</v>
      </c>
      <c r="D887" s="19">
        <f>D886+3</f>
        <v>43024</v>
      </c>
      <c r="E887" s="11">
        <v>352.7</v>
      </c>
      <c r="F887" s="12">
        <f t="shared" si="194"/>
        <v>5.9333333333333371</v>
      </c>
      <c r="G887" s="47"/>
      <c r="H887" s="47"/>
      <c r="I887" s="18">
        <v>58</v>
      </c>
      <c r="J887" s="47">
        <f>(68.2-I887)/(D887-D886)</f>
        <v>3.4000000000000008</v>
      </c>
      <c r="K887" s="18">
        <v>26.9</v>
      </c>
      <c r="L887" s="47"/>
      <c r="M887" s="47"/>
      <c r="N887" s="47"/>
      <c r="O887" s="47"/>
      <c r="P887" s="49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3.2">
      <c r="A888" s="47"/>
      <c r="B888" s="5">
        <v>3</v>
      </c>
      <c r="C888" s="5">
        <f t="shared" si="193"/>
        <v>27</v>
      </c>
      <c r="D888" s="19">
        <f>D887+2</f>
        <v>43026</v>
      </c>
      <c r="E888" s="11">
        <v>338.5</v>
      </c>
      <c r="F888" s="12">
        <f t="shared" si="194"/>
        <v>7.0999999999999943</v>
      </c>
      <c r="G888" s="47"/>
      <c r="H888" s="47"/>
      <c r="I888" s="18">
        <v>50.7</v>
      </c>
      <c r="J888" s="47">
        <f>(I887-I888)/(D888-D887)</f>
        <v>3.6499999999999986</v>
      </c>
      <c r="K888" s="18">
        <v>26.5</v>
      </c>
      <c r="L888" s="47"/>
      <c r="M888" s="47"/>
      <c r="N888" s="47"/>
      <c r="O888" s="47"/>
      <c r="P888" s="49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3.2">
      <c r="A889" s="47"/>
      <c r="B889" s="5">
        <v>4</v>
      </c>
      <c r="C889" s="5">
        <f t="shared" si="193"/>
        <v>28</v>
      </c>
      <c r="D889" s="20">
        <v>43027</v>
      </c>
      <c r="E889" s="11">
        <v>408.4</v>
      </c>
      <c r="F889" s="12"/>
      <c r="G889" s="47"/>
      <c r="H889" s="47"/>
      <c r="I889" s="48"/>
      <c r="J889" s="47"/>
      <c r="K889" s="48"/>
      <c r="L889" s="47"/>
      <c r="M889" s="47"/>
      <c r="N889" s="47"/>
      <c r="O889" s="47"/>
      <c r="P889" s="49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3.2">
      <c r="A890" s="47"/>
      <c r="B890" s="5">
        <v>4</v>
      </c>
      <c r="C890" s="5">
        <f t="shared" si="193"/>
        <v>29</v>
      </c>
      <c r="D890" s="19">
        <f>D888+2</f>
        <v>43028</v>
      </c>
      <c r="E890" s="11">
        <v>397.6</v>
      </c>
      <c r="F890" s="12">
        <f t="shared" ref="F890:F892" si="195">(E889-E890)/(D890-D889)</f>
        <v>10.799999999999955</v>
      </c>
      <c r="G890" s="47"/>
      <c r="H890" s="47"/>
      <c r="I890" s="18">
        <v>41.6</v>
      </c>
      <c r="J890" s="47">
        <f>(I888-I890)/(D890-D888)</f>
        <v>4.5500000000000007</v>
      </c>
      <c r="K890" s="18">
        <v>27.3</v>
      </c>
      <c r="L890" s="47"/>
      <c r="M890" s="47"/>
      <c r="N890" s="47"/>
      <c r="O890" s="47"/>
      <c r="P890" s="49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3.2">
      <c r="A891" s="47"/>
      <c r="B891" s="5">
        <v>4</v>
      </c>
      <c r="C891" s="5">
        <f t="shared" si="193"/>
        <v>32</v>
      </c>
      <c r="D891" s="19">
        <v>43031</v>
      </c>
      <c r="E891" s="11">
        <v>381.6</v>
      </c>
      <c r="F891" s="12">
        <f t="shared" si="195"/>
        <v>5.333333333333333</v>
      </c>
      <c r="G891" s="47"/>
      <c r="H891" s="47"/>
      <c r="I891" s="18">
        <v>30.2</v>
      </c>
      <c r="J891" s="47">
        <f>(I890-I891)/(D891-D890)</f>
        <v>3.8000000000000007</v>
      </c>
      <c r="K891" s="18">
        <v>27.4</v>
      </c>
      <c r="L891" s="47"/>
      <c r="M891" s="47"/>
      <c r="N891" s="47"/>
      <c r="O891" s="47"/>
      <c r="P891" s="49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3.2">
      <c r="A892" s="47"/>
      <c r="B892" s="5">
        <v>4</v>
      </c>
      <c r="C892" s="5">
        <f t="shared" si="193"/>
        <v>34</v>
      </c>
      <c r="D892" s="19">
        <v>43033</v>
      </c>
      <c r="E892" s="11">
        <v>368.5</v>
      </c>
      <c r="F892" s="12">
        <f t="shared" si="195"/>
        <v>6.5500000000000114</v>
      </c>
      <c r="G892" s="47"/>
      <c r="H892" s="47"/>
      <c r="I892" s="18">
        <v>71.5</v>
      </c>
      <c r="J892" s="47">
        <f>(81.7-I892)/(D892-D891)</f>
        <v>5.1000000000000014</v>
      </c>
      <c r="K892" s="18">
        <v>29.1</v>
      </c>
      <c r="L892" s="47"/>
      <c r="M892" s="47"/>
      <c r="N892" s="47"/>
      <c r="O892" s="47"/>
      <c r="P892" s="49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3.2">
      <c r="A893" s="47"/>
      <c r="B893" s="5">
        <v>5</v>
      </c>
      <c r="C893" s="5">
        <f t="shared" si="193"/>
        <v>35</v>
      </c>
      <c r="D893" s="20">
        <v>43034</v>
      </c>
      <c r="E893" s="11">
        <v>360.2</v>
      </c>
      <c r="F893" s="12"/>
      <c r="G893" s="47"/>
      <c r="H893" s="47"/>
      <c r="I893" s="48"/>
      <c r="J893" s="47"/>
      <c r="K893" s="48"/>
      <c r="L893" s="47"/>
      <c r="M893" s="47"/>
      <c r="N893" s="47"/>
      <c r="O893" s="47"/>
      <c r="P893" s="49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3.2">
      <c r="A894" s="47"/>
      <c r="B894" s="5">
        <v>5</v>
      </c>
      <c r="C894" s="5">
        <f t="shared" si="193"/>
        <v>36</v>
      </c>
      <c r="D894" s="19">
        <v>43035</v>
      </c>
      <c r="E894" s="11">
        <v>351.8</v>
      </c>
      <c r="F894" s="12">
        <f t="shared" ref="F894:F896" si="196">(E893-E894)/(D894-D893)</f>
        <v>8.3999999999999773</v>
      </c>
      <c r="G894" s="47"/>
      <c r="H894" s="47"/>
      <c r="I894" s="18">
        <v>63</v>
      </c>
      <c r="J894" s="47">
        <f>(I892-I894)/(D894-D892)</f>
        <v>4.25</v>
      </c>
      <c r="K894" s="18">
        <v>28.6</v>
      </c>
      <c r="L894" s="47"/>
      <c r="M894" s="47"/>
      <c r="N894" s="47"/>
      <c r="O894" s="47"/>
      <c r="P894" s="49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3.2">
      <c r="A895" s="47"/>
      <c r="B895" s="5">
        <v>5</v>
      </c>
      <c r="C895" s="5">
        <f t="shared" si="193"/>
        <v>39</v>
      </c>
      <c r="D895" s="19">
        <v>43038</v>
      </c>
      <c r="E895" s="11">
        <v>332.6</v>
      </c>
      <c r="F895" s="12">
        <f t="shared" si="196"/>
        <v>6.3999999999999959</v>
      </c>
      <c r="G895" s="47"/>
      <c r="H895" s="47"/>
      <c r="I895" s="18">
        <v>52.6</v>
      </c>
      <c r="J895" s="143">
        <f t="shared" ref="J895:J896" si="197">(I894-I895)/(D895-D894)</f>
        <v>3.4666666666666663</v>
      </c>
      <c r="K895" s="18">
        <v>28.3</v>
      </c>
      <c r="L895" s="47"/>
      <c r="M895" s="47"/>
      <c r="N895" s="47"/>
      <c r="O895" s="47"/>
      <c r="P895" s="49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3.2">
      <c r="A896" s="47"/>
      <c r="B896" s="5">
        <v>5</v>
      </c>
      <c r="C896" s="5">
        <f t="shared" si="193"/>
        <v>41</v>
      </c>
      <c r="D896" s="19">
        <v>43040</v>
      </c>
      <c r="E896" s="11">
        <v>321.2</v>
      </c>
      <c r="F896" s="12">
        <f t="shared" si="196"/>
        <v>5.7000000000000171</v>
      </c>
      <c r="G896" s="47"/>
      <c r="H896" s="47"/>
      <c r="I896" s="18">
        <v>45.7</v>
      </c>
      <c r="J896" s="47">
        <f t="shared" si="197"/>
        <v>3.4499999999999993</v>
      </c>
      <c r="K896" s="18">
        <v>27.6</v>
      </c>
      <c r="L896" s="47"/>
      <c r="M896" s="47"/>
      <c r="N896" s="47"/>
      <c r="O896" s="47"/>
      <c r="P896" s="49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3.2">
      <c r="A897" s="47"/>
      <c r="B897" s="5">
        <v>6</v>
      </c>
      <c r="C897" s="5">
        <f t="shared" si="193"/>
        <v>42</v>
      </c>
      <c r="D897" s="20">
        <v>43041</v>
      </c>
      <c r="E897" s="11">
        <v>394.1</v>
      </c>
      <c r="F897" s="12"/>
      <c r="G897" s="47"/>
      <c r="H897" s="47"/>
      <c r="I897" s="48"/>
      <c r="J897" s="47"/>
      <c r="K897" s="48"/>
      <c r="L897" s="47"/>
      <c r="M897" s="47"/>
      <c r="N897" s="47"/>
      <c r="O897" s="47"/>
      <c r="P897" s="49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3.2">
      <c r="A898" s="47"/>
      <c r="B898" s="5">
        <v>6</v>
      </c>
      <c r="C898" s="5">
        <f t="shared" si="193"/>
        <v>43</v>
      </c>
      <c r="D898" s="19">
        <v>43042</v>
      </c>
      <c r="E898" s="11">
        <v>386.4</v>
      </c>
      <c r="F898" s="12">
        <f t="shared" ref="F898:F900" si="198">(E897-E898)/(D898-D897)</f>
        <v>7.7000000000000455</v>
      </c>
      <c r="G898" s="47"/>
      <c r="H898" s="47"/>
      <c r="I898" s="18">
        <v>38.700000000000003</v>
      </c>
      <c r="J898" s="47">
        <f>(I896-I898)/(D898-D896)</f>
        <v>3.5</v>
      </c>
      <c r="K898" s="18">
        <v>29.1</v>
      </c>
      <c r="L898" s="47"/>
      <c r="M898" s="47"/>
      <c r="N898" s="47"/>
      <c r="O898" s="47"/>
      <c r="P898" s="49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3.2">
      <c r="A899" s="47"/>
      <c r="B899" s="5">
        <v>6</v>
      </c>
      <c r="C899" s="5">
        <f t="shared" si="193"/>
        <v>46</v>
      </c>
      <c r="D899" s="19">
        <v>43045</v>
      </c>
      <c r="E899" s="11">
        <v>370.3</v>
      </c>
      <c r="F899" s="12">
        <f t="shared" si="198"/>
        <v>5.3666666666666556</v>
      </c>
      <c r="G899" s="47"/>
      <c r="H899" s="47"/>
      <c r="I899" s="18">
        <v>29.1</v>
      </c>
      <c r="J899" s="143">
        <f>(I898-I899)/(D899-D898)</f>
        <v>3.2000000000000006</v>
      </c>
      <c r="K899" s="18">
        <v>27.3</v>
      </c>
      <c r="L899" s="47"/>
      <c r="M899" s="47"/>
      <c r="N899" s="47"/>
      <c r="O899" s="47"/>
      <c r="P899" s="49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3.2">
      <c r="A900" s="47"/>
      <c r="B900" s="5">
        <v>6</v>
      </c>
      <c r="C900" s="5">
        <f t="shared" si="193"/>
        <v>48</v>
      </c>
      <c r="D900" s="19">
        <v>43047</v>
      </c>
      <c r="E900" s="11">
        <v>357</v>
      </c>
      <c r="F900" s="12">
        <f t="shared" si="198"/>
        <v>6.6500000000000057</v>
      </c>
      <c r="G900" s="47"/>
      <c r="H900" s="47"/>
      <c r="I900" s="18">
        <v>75</v>
      </c>
      <c r="J900" s="47">
        <f>(86-I900)/(D900-D899)</f>
        <v>5.5</v>
      </c>
      <c r="K900" s="18">
        <v>28.8</v>
      </c>
      <c r="L900" s="47"/>
      <c r="M900" s="47"/>
      <c r="N900" s="47"/>
      <c r="O900" s="47"/>
      <c r="P900" s="49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3.2">
      <c r="A901" s="47"/>
      <c r="B901" s="5">
        <v>7</v>
      </c>
      <c r="C901" s="5">
        <f t="shared" si="193"/>
        <v>49</v>
      </c>
      <c r="D901" s="20">
        <v>43048</v>
      </c>
      <c r="E901" s="11">
        <v>376</v>
      </c>
      <c r="F901" s="12"/>
      <c r="G901" s="47"/>
      <c r="H901" s="47"/>
      <c r="I901" s="48"/>
      <c r="J901" s="47"/>
      <c r="K901" s="48"/>
      <c r="L901" s="47"/>
      <c r="M901" s="47"/>
      <c r="N901" s="47"/>
      <c r="O901" s="47"/>
      <c r="P901" s="49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3.2">
      <c r="A902" s="47"/>
      <c r="B902" s="5">
        <v>7</v>
      </c>
      <c r="C902" s="5">
        <f t="shared" si="193"/>
        <v>50</v>
      </c>
      <c r="D902" s="19">
        <v>43049</v>
      </c>
      <c r="E902" s="11">
        <v>365.3</v>
      </c>
      <c r="F902" s="12">
        <f t="shared" ref="F902:F904" si="199">(E901-E902)/(D902-D901)</f>
        <v>10.699999999999989</v>
      </c>
      <c r="G902" s="47"/>
      <c r="H902" s="47"/>
      <c r="I902" s="18">
        <v>66.2</v>
      </c>
      <c r="J902" s="47">
        <f>(I900-I902)/(D902-D900)</f>
        <v>4.3999999999999986</v>
      </c>
      <c r="K902" s="18">
        <v>29.1</v>
      </c>
      <c r="L902" s="47"/>
      <c r="M902" s="47"/>
      <c r="N902" s="47"/>
      <c r="O902" s="47"/>
      <c r="P902" s="49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3.2">
      <c r="A903" s="47"/>
      <c r="B903" s="5">
        <v>7</v>
      </c>
      <c r="C903" s="5">
        <f t="shared" si="193"/>
        <v>53</v>
      </c>
      <c r="D903" s="19">
        <v>43052</v>
      </c>
      <c r="E903" s="11">
        <v>350.3</v>
      </c>
      <c r="F903" s="12">
        <f t="shared" si="199"/>
        <v>5</v>
      </c>
      <c r="G903" s="47"/>
      <c r="H903" s="47"/>
      <c r="I903" s="18">
        <v>55.4</v>
      </c>
      <c r="J903" s="51">
        <f t="shared" ref="J903:J904" si="200">(I902-I903)/(D903-D902)</f>
        <v>3.6000000000000014</v>
      </c>
      <c r="K903" s="18">
        <v>28.9</v>
      </c>
      <c r="L903" s="47"/>
      <c r="M903" s="47"/>
      <c r="N903" s="47"/>
      <c r="O903" s="47"/>
      <c r="P903" s="49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3.2">
      <c r="A904" s="47"/>
      <c r="B904" s="5">
        <v>7</v>
      </c>
      <c r="C904" s="5">
        <f t="shared" si="193"/>
        <v>55</v>
      </c>
      <c r="D904" s="19">
        <v>43054</v>
      </c>
      <c r="E904" s="11">
        <v>330.3</v>
      </c>
      <c r="F904" s="12">
        <f t="shared" si="199"/>
        <v>10</v>
      </c>
      <c r="G904" s="47"/>
      <c r="H904" s="47"/>
      <c r="I904" s="18">
        <v>48.2</v>
      </c>
      <c r="J904" s="51">
        <f t="shared" si="200"/>
        <v>3.5999999999999979</v>
      </c>
      <c r="K904" s="18">
        <v>28.7</v>
      </c>
      <c r="L904" s="47"/>
      <c r="M904" s="47"/>
      <c r="N904" s="47"/>
      <c r="O904" s="47"/>
      <c r="P904" s="49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3.2">
      <c r="A905" s="47"/>
      <c r="B905" s="5">
        <v>8</v>
      </c>
      <c r="C905" s="5">
        <f t="shared" si="193"/>
        <v>56</v>
      </c>
      <c r="D905" s="20">
        <v>43055</v>
      </c>
      <c r="E905" s="95">
        <v>398.7</v>
      </c>
      <c r="F905" s="12"/>
      <c r="G905" s="47"/>
      <c r="H905" s="47"/>
      <c r="I905" s="48"/>
      <c r="J905" s="47"/>
      <c r="K905" s="48"/>
      <c r="L905" s="47"/>
      <c r="M905" s="47"/>
      <c r="N905" s="47"/>
      <c r="O905" s="47"/>
      <c r="P905" s="49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3.2">
      <c r="A906" s="47"/>
      <c r="B906" s="5">
        <v>8</v>
      </c>
      <c r="C906" s="5">
        <f t="shared" si="193"/>
        <v>57</v>
      </c>
      <c r="D906" s="20">
        <v>43056</v>
      </c>
      <c r="E906" s="11">
        <v>389.9</v>
      </c>
      <c r="F906" s="12">
        <f t="shared" ref="F906:F907" si="201">(E905-E906)/(D906-D905)</f>
        <v>8.8000000000000114</v>
      </c>
      <c r="G906" s="47"/>
      <c r="H906" s="47"/>
      <c r="I906" s="18">
        <v>41.3</v>
      </c>
      <c r="J906" s="47">
        <f>(I904-I906)/(D906-D904)</f>
        <v>3.4500000000000028</v>
      </c>
      <c r="K906" s="18">
        <v>28.8</v>
      </c>
      <c r="L906" s="47"/>
      <c r="M906" s="47"/>
      <c r="N906" s="47"/>
      <c r="O906" s="47"/>
      <c r="P906" s="49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3.2">
      <c r="A907" s="47"/>
      <c r="B907" s="5">
        <v>8</v>
      </c>
      <c r="C907" s="5">
        <f t="shared" si="193"/>
        <v>60</v>
      </c>
      <c r="D907" s="20">
        <v>43059</v>
      </c>
      <c r="E907" s="11">
        <v>373.9</v>
      </c>
      <c r="F907" s="12">
        <f t="shared" si="201"/>
        <v>5.333333333333333</v>
      </c>
      <c r="G907" s="47"/>
      <c r="H907" s="47"/>
      <c r="I907" s="18">
        <v>31.3</v>
      </c>
      <c r="J907" s="51">
        <f>(I906-I907)/(D907-D906)</f>
        <v>3.3333333333333321</v>
      </c>
      <c r="K907" s="18">
        <v>28.4</v>
      </c>
      <c r="L907" s="47"/>
      <c r="M907" s="47"/>
      <c r="N907" s="47"/>
      <c r="O907" s="47"/>
      <c r="P907" s="49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3.2">
      <c r="A908" s="47"/>
      <c r="B908" s="5">
        <v>8</v>
      </c>
      <c r="C908" s="5">
        <f t="shared" si="193"/>
        <v>61</v>
      </c>
      <c r="D908" s="20">
        <v>43060</v>
      </c>
      <c r="E908" s="11">
        <v>368.9</v>
      </c>
      <c r="F908" s="12"/>
      <c r="G908" s="47"/>
      <c r="H908" s="47"/>
      <c r="I908" s="48"/>
      <c r="J908" s="47"/>
      <c r="K908" s="48"/>
      <c r="L908" s="47"/>
      <c r="M908" s="47"/>
      <c r="N908" s="47"/>
      <c r="O908" s="47"/>
      <c r="P908" s="49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3.2">
      <c r="A909" s="47"/>
      <c r="B909" s="5">
        <v>8</v>
      </c>
      <c r="C909" s="5">
        <f t="shared" si="193"/>
        <v>62</v>
      </c>
      <c r="D909" s="20">
        <v>43061</v>
      </c>
      <c r="E909" s="11">
        <v>362.6</v>
      </c>
      <c r="F909" s="12">
        <f t="shared" ref="F909:F912" si="202">(E908-E909)/(D909-D908)</f>
        <v>6.2999999999999545</v>
      </c>
      <c r="G909" s="47"/>
      <c r="H909" s="47"/>
      <c r="I909" s="18">
        <v>79.900000000000006</v>
      </c>
      <c r="J909" s="47">
        <f>(88.1-I909)/(D909-D908)</f>
        <v>8.1999999999999886</v>
      </c>
      <c r="K909" s="18">
        <v>29.5</v>
      </c>
      <c r="L909" s="47"/>
      <c r="M909" s="47"/>
      <c r="N909" s="47"/>
      <c r="O909" s="47"/>
      <c r="P909" s="49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3.2">
      <c r="A910" s="47"/>
      <c r="B910" s="5">
        <v>9</v>
      </c>
      <c r="C910" s="5">
        <f t="shared" si="193"/>
        <v>64</v>
      </c>
      <c r="D910" s="20">
        <v>43063</v>
      </c>
      <c r="E910" s="11">
        <v>350.4</v>
      </c>
      <c r="F910" s="12">
        <f t="shared" si="202"/>
        <v>6.1000000000000227</v>
      </c>
      <c r="G910" s="47"/>
      <c r="H910" s="47"/>
      <c r="I910" s="18">
        <v>72.3</v>
      </c>
      <c r="J910" s="48">
        <f t="shared" ref="J910:J912" si="203">(I909-I910)/(D910-D909)</f>
        <v>3.8000000000000043</v>
      </c>
      <c r="K910" s="18">
        <v>29.3</v>
      </c>
      <c r="L910" s="47"/>
      <c r="M910" s="47"/>
      <c r="N910" s="47"/>
      <c r="O910" s="47"/>
      <c r="P910" s="49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3.2">
      <c r="A911" s="47"/>
      <c r="B911" s="5">
        <v>9</v>
      </c>
      <c r="C911" s="5">
        <f t="shared" si="193"/>
        <v>67</v>
      </c>
      <c r="D911" s="23">
        <v>43066</v>
      </c>
      <c r="E911" s="11">
        <v>333.1</v>
      </c>
      <c r="F911" s="12">
        <f t="shared" si="202"/>
        <v>5.7666666666666515</v>
      </c>
      <c r="G911" s="47"/>
      <c r="H911" s="47"/>
      <c r="I911" s="18">
        <v>60.6</v>
      </c>
      <c r="J911" s="48">
        <f t="shared" si="203"/>
        <v>3.8999999999999986</v>
      </c>
      <c r="K911" s="18">
        <v>29.6</v>
      </c>
      <c r="L911" s="47"/>
      <c r="M911" s="47"/>
      <c r="N911" s="47"/>
      <c r="O911" s="47"/>
      <c r="P911" s="49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3.2">
      <c r="A912" s="47"/>
      <c r="B912" s="5">
        <v>9</v>
      </c>
      <c r="C912" s="5">
        <f t="shared" si="193"/>
        <v>69</v>
      </c>
      <c r="D912" s="23">
        <v>43068</v>
      </c>
      <c r="E912" s="11">
        <v>321.3</v>
      </c>
      <c r="F912" s="12">
        <f t="shared" si="202"/>
        <v>5.9000000000000057</v>
      </c>
      <c r="G912" s="47"/>
      <c r="H912" s="47"/>
      <c r="I912" s="18">
        <v>53.1</v>
      </c>
      <c r="J912" s="48">
        <f t="shared" si="203"/>
        <v>3.75</v>
      </c>
      <c r="K912" s="18">
        <v>30</v>
      </c>
      <c r="L912" s="47"/>
      <c r="M912" s="47"/>
      <c r="N912" s="47"/>
      <c r="O912" s="47"/>
      <c r="P912" s="49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3.2">
      <c r="A913" s="47"/>
      <c r="B913" s="5">
        <v>9</v>
      </c>
      <c r="C913" s="5">
        <f t="shared" si="193"/>
        <v>70</v>
      </c>
      <c r="D913" s="23">
        <v>43069</v>
      </c>
      <c r="E913" s="11">
        <v>354.3</v>
      </c>
      <c r="F913" s="12"/>
      <c r="G913" s="47"/>
      <c r="H913" s="47"/>
      <c r="I913" s="48"/>
      <c r="J913" s="47"/>
      <c r="K913" s="48"/>
      <c r="L913" s="47"/>
      <c r="M913" s="47"/>
      <c r="N913" s="47"/>
      <c r="O913" s="47"/>
      <c r="P913" s="49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3.2">
      <c r="A914" s="47"/>
      <c r="B914" s="5">
        <v>10</v>
      </c>
      <c r="C914" s="5">
        <f t="shared" si="193"/>
        <v>71</v>
      </c>
      <c r="D914" s="23">
        <v>43070</v>
      </c>
      <c r="E914" s="11">
        <v>344.9</v>
      </c>
      <c r="F914" s="12">
        <f t="shared" ref="F914:F916" si="204">(E913-E914)/(D914-D913)</f>
        <v>9.4000000000000341</v>
      </c>
      <c r="G914" s="47"/>
      <c r="H914" s="47"/>
      <c r="I914" s="18">
        <v>45.6</v>
      </c>
      <c r="J914" s="47">
        <f>(I912-I914)/(D914-D912)</f>
        <v>3.75</v>
      </c>
      <c r="K914" s="18">
        <v>29.2</v>
      </c>
      <c r="L914" s="47"/>
      <c r="M914" s="47"/>
      <c r="N914" s="47"/>
      <c r="O914" s="47"/>
      <c r="P914" s="49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3.2">
      <c r="A915" s="47"/>
      <c r="B915" s="5">
        <v>10</v>
      </c>
      <c r="C915" s="5">
        <f t="shared" si="193"/>
        <v>74</v>
      </c>
      <c r="D915" s="23">
        <v>43073</v>
      </c>
      <c r="E915" s="11">
        <v>330.5</v>
      </c>
      <c r="F915" s="12">
        <f t="shared" si="204"/>
        <v>4.7999999999999927</v>
      </c>
      <c r="G915" s="47"/>
      <c r="H915" s="47"/>
      <c r="I915" s="18">
        <v>35.5</v>
      </c>
      <c r="J915" s="48">
        <f>(I914-I915)/(D915-D914)</f>
        <v>3.3666666666666671</v>
      </c>
      <c r="K915" s="18">
        <v>28.9</v>
      </c>
      <c r="L915" s="47"/>
      <c r="M915" s="47"/>
      <c r="N915" s="47"/>
      <c r="O915" s="47"/>
      <c r="P915" s="49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3.2">
      <c r="A916" s="47"/>
      <c r="B916" s="5">
        <v>10</v>
      </c>
      <c r="C916" s="5">
        <f t="shared" si="193"/>
        <v>76</v>
      </c>
      <c r="D916" s="23">
        <v>43075</v>
      </c>
      <c r="E916" s="11">
        <v>316.7</v>
      </c>
      <c r="F916" s="12">
        <f t="shared" si="204"/>
        <v>6.9000000000000057</v>
      </c>
      <c r="G916" s="47"/>
      <c r="H916" s="47"/>
      <c r="I916" s="18">
        <v>97.1</v>
      </c>
      <c r="J916" s="47">
        <f>(105.6-I916)/(D916-D915)</f>
        <v>4.25</v>
      </c>
      <c r="K916" s="18">
        <v>29.8</v>
      </c>
      <c r="L916" s="47"/>
      <c r="M916" s="47"/>
      <c r="N916" s="47"/>
      <c r="O916" s="47"/>
      <c r="P916" s="49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3.2">
      <c r="A917" s="47"/>
      <c r="B917" s="5">
        <v>10</v>
      </c>
      <c r="C917" s="5">
        <f t="shared" si="193"/>
        <v>77</v>
      </c>
      <c r="D917" s="24">
        <v>43076</v>
      </c>
      <c r="E917" s="11">
        <v>394.6</v>
      </c>
      <c r="F917" s="12"/>
      <c r="G917" s="47"/>
      <c r="H917" s="47"/>
      <c r="I917" s="48"/>
      <c r="J917" s="47"/>
      <c r="K917" s="48"/>
      <c r="L917" s="47"/>
      <c r="M917" s="47"/>
      <c r="N917" s="47"/>
      <c r="O917" s="47"/>
      <c r="P917" s="49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3.2">
      <c r="A918" s="47"/>
      <c r="B918" s="5">
        <v>11</v>
      </c>
      <c r="C918" s="5">
        <f t="shared" si="193"/>
        <v>78</v>
      </c>
      <c r="D918" s="24">
        <v>43077</v>
      </c>
      <c r="E918" s="11">
        <v>388.4</v>
      </c>
      <c r="F918" s="12">
        <f t="shared" ref="F918:F920" si="205">(E917-E918)/(D918-D917)</f>
        <v>6.2000000000000455</v>
      </c>
      <c r="G918" s="47"/>
      <c r="H918" s="47"/>
      <c r="I918" s="18">
        <v>88.5</v>
      </c>
      <c r="J918" s="47">
        <f>(I916-I918)/(D918-D916)</f>
        <v>4.2999999999999972</v>
      </c>
      <c r="K918" s="18">
        <v>30.2</v>
      </c>
      <c r="L918" s="47"/>
      <c r="M918" s="47"/>
      <c r="N918" s="47"/>
      <c r="O918" s="47"/>
      <c r="P918" s="49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3.2">
      <c r="A919" s="47"/>
      <c r="B919" s="5">
        <v>11</v>
      </c>
      <c r="C919" s="5">
        <f t="shared" si="193"/>
        <v>81</v>
      </c>
      <c r="D919" s="24">
        <v>43080</v>
      </c>
      <c r="E919" s="11">
        <v>373.3</v>
      </c>
      <c r="F919" s="12">
        <f t="shared" si="205"/>
        <v>5.0333333333333217</v>
      </c>
      <c r="G919" s="47"/>
      <c r="H919" s="47"/>
      <c r="I919" s="18">
        <v>76.8</v>
      </c>
      <c r="J919" s="48">
        <f t="shared" ref="J919:J920" si="206">(I918-I919)/(D919-D918)</f>
        <v>3.9000000000000008</v>
      </c>
      <c r="K919" s="18">
        <v>30.5</v>
      </c>
      <c r="L919" s="47"/>
      <c r="M919" s="47"/>
      <c r="N919" s="47"/>
      <c r="O919" s="47"/>
      <c r="P919" s="49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3.2">
      <c r="A920" s="50" t="s">
        <v>46</v>
      </c>
      <c r="B920" s="5">
        <v>11</v>
      </c>
      <c r="C920" s="5">
        <f t="shared" si="193"/>
        <v>83</v>
      </c>
      <c r="D920" s="25">
        <v>43082</v>
      </c>
      <c r="E920" s="144">
        <v>358.2</v>
      </c>
      <c r="F920" s="12">
        <f t="shared" si="205"/>
        <v>7.5500000000000114</v>
      </c>
      <c r="G920" s="47"/>
      <c r="H920" s="47"/>
      <c r="I920" s="18">
        <v>69</v>
      </c>
      <c r="J920" s="48">
        <f t="shared" si="206"/>
        <v>3.8999999999999986</v>
      </c>
      <c r="K920" s="18">
        <v>30.2</v>
      </c>
      <c r="L920" s="47"/>
      <c r="M920" s="47"/>
      <c r="N920" s="47"/>
      <c r="O920" s="47"/>
      <c r="P920" s="49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3.2">
      <c r="A921" s="57" t="s">
        <v>28</v>
      </c>
      <c r="B921" s="59">
        <v>11</v>
      </c>
      <c r="C921" s="59">
        <f t="shared" si="193"/>
        <v>85</v>
      </c>
      <c r="D921" s="60">
        <v>43084</v>
      </c>
      <c r="E921" s="145"/>
      <c r="F921" s="61"/>
      <c r="G921" s="62"/>
      <c r="H921" s="62"/>
      <c r="I921" s="63"/>
      <c r="J921" s="62"/>
      <c r="K921" s="64">
        <v>30.6</v>
      </c>
      <c r="L921" s="62"/>
      <c r="M921" s="62"/>
      <c r="N921" s="62"/>
      <c r="O921" s="62"/>
      <c r="P921" s="65"/>
      <c r="Q921" s="66"/>
      <c r="R921" s="66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3.2">
      <c r="A922" s="47"/>
      <c r="B922" s="50"/>
      <c r="C922" s="5">
        <f t="shared" si="193"/>
        <v>98</v>
      </c>
      <c r="D922" s="32">
        <v>43097</v>
      </c>
      <c r="E922" s="46"/>
      <c r="F922" s="12"/>
      <c r="G922" s="47"/>
      <c r="H922" s="47"/>
      <c r="I922" s="33">
        <v>90.3</v>
      </c>
      <c r="J922" s="47"/>
      <c r="K922" s="33">
        <v>33</v>
      </c>
      <c r="L922" s="47"/>
      <c r="M922" s="47"/>
      <c r="N922" s="47"/>
      <c r="O922" s="47"/>
      <c r="P922" s="49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3.2">
      <c r="A923" s="47"/>
      <c r="B923" s="50"/>
      <c r="C923" s="5">
        <f t="shared" si="193"/>
        <v>105</v>
      </c>
      <c r="D923" s="32">
        <v>43104</v>
      </c>
      <c r="E923" s="46"/>
      <c r="F923" s="12"/>
      <c r="G923" s="47"/>
      <c r="H923" s="47"/>
      <c r="I923" s="33">
        <v>61.9</v>
      </c>
      <c r="J923" s="47"/>
      <c r="K923" s="33">
        <v>32.299999999999997</v>
      </c>
      <c r="L923" s="47"/>
      <c r="M923" s="47"/>
      <c r="N923" s="47"/>
      <c r="O923" s="47"/>
      <c r="P923" s="49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3.2">
      <c r="A924" s="47"/>
      <c r="B924" s="50"/>
      <c r="C924" s="5">
        <f t="shared" si="193"/>
        <v>112</v>
      </c>
      <c r="D924" s="32">
        <v>43111</v>
      </c>
      <c r="E924" s="46"/>
      <c r="F924" s="12"/>
      <c r="G924" s="47"/>
      <c r="H924" s="47"/>
      <c r="I924" s="33">
        <v>37.4</v>
      </c>
      <c r="J924" s="47"/>
      <c r="K924" s="33">
        <v>30.4</v>
      </c>
      <c r="L924" s="47"/>
      <c r="M924" s="47"/>
      <c r="N924" s="47"/>
      <c r="O924" s="47"/>
      <c r="P924" s="49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3.2">
      <c r="A925" s="47"/>
      <c r="B925" s="50"/>
      <c r="C925" s="5">
        <v>116</v>
      </c>
      <c r="D925" s="94">
        <v>43115</v>
      </c>
      <c r="E925" s="46"/>
      <c r="F925" s="12"/>
      <c r="G925" s="47"/>
      <c r="H925" s="47"/>
      <c r="I925" s="33"/>
      <c r="J925" s="47"/>
      <c r="K925" s="33"/>
      <c r="L925" s="47"/>
      <c r="M925" s="47"/>
      <c r="N925" s="47"/>
      <c r="O925" s="47"/>
      <c r="P925" s="49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3.2">
      <c r="A926" s="47"/>
      <c r="B926" s="50"/>
      <c r="C926" s="5">
        <v>117</v>
      </c>
      <c r="D926" s="32">
        <v>43116</v>
      </c>
      <c r="E926" s="46"/>
      <c r="F926" s="12"/>
      <c r="G926" s="47"/>
      <c r="H926" s="47"/>
      <c r="I926" s="33">
        <v>45</v>
      </c>
      <c r="J926" s="47"/>
      <c r="K926" s="33">
        <v>31.9</v>
      </c>
      <c r="L926" s="47"/>
      <c r="M926" s="47"/>
      <c r="N926" s="47"/>
      <c r="O926" s="47"/>
      <c r="P926" s="49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3.2">
      <c r="A927" s="47"/>
      <c r="B927" s="146"/>
      <c r="C927" s="5">
        <v>124</v>
      </c>
      <c r="D927" s="32">
        <v>43123</v>
      </c>
      <c r="E927" s="46"/>
      <c r="F927" s="12"/>
      <c r="G927" s="47"/>
      <c r="H927" s="47"/>
      <c r="I927" s="33">
        <v>24.2</v>
      </c>
      <c r="J927" s="47"/>
      <c r="K927" s="33">
        <v>30.2</v>
      </c>
      <c r="L927" s="47"/>
      <c r="M927" s="47"/>
      <c r="N927" s="47"/>
      <c r="O927" s="47"/>
      <c r="P927" s="49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3.2">
      <c r="A928" s="47"/>
      <c r="B928" s="146"/>
      <c r="C928" s="5">
        <v>131</v>
      </c>
      <c r="D928" s="20">
        <v>43130</v>
      </c>
      <c r="E928" s="46"/>
      <c r="F928" s="12"/>
      <c r="G928" s="47"/>
      <c r="H928" s="47"/>
      <c r="I928" s="36">
        <v>35.1</v>
      </c>
      <c r="J928" s="47"/>
      <c r="K928" s="36">
        <v>31.9</v>
      </c>
      <c r="L928" s="47"/>
      <c r="M928" s="47"/>
      <c r="N928" s="47"/>
      <c r="O928" s="47"/>
      <c r="P928" s="49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3.2">
      <c r="A929" s="47"/>
      <c r="B929" s="146"/>
      <c r="C929" s="5">
        <v>138</v>
      </c>
      <c r="D929" s="32">
        <v>43137</v>
      </c>
      <c r="E929" s="46"/>
      <c r="F929" s="12"/>
      <c r="G929" s="47"/>
      <c r="H929" s="47"/>
      <c r="I929" s="33">
        <v>63.8</v>
      </c>
      <c r="J929" s="37"/>
      <c r="K929" s="33">
        <v>32.700000000000003</v>
      </c>
      <c r="L929" s="47"/>
      <c r="M929" s="47"/>
      <c r="N929" s="47"/>
      <c r="O929" s="47"/>
      <c r="P929" s="49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3.2">
      <c r="A930" s="47"/>
      <c r="B930" s="146"/>
      <c r="C930" s="5">
        <v>145</v>
      </c>
      <c r="D930" s="20">
        <v>43144</v>
      </c>
      <c r="E930" s="12"/>
      <c r="F930" s="12"/>
      <c r="G930" s="47"/>
      <c r="H930" s="47"/>
      <c r="I930" s="18">
        <v>37.200000000000003</v>
      </c>
      <c r="J930" s="47"/>
      <c r="K930" s="18">
        <v>32.5</v>
      </c>
      <c r="L930" s="47"/>
      <c r="M930" s="47"/>
      <c r="N930" s="47"/>
      <c r="O930" s="47"/>
      <c r="P930" s="49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3.2">
      <c r="A931" s="47"/>
      <c r="B931" s="146"/>
      <c r="C931" s="5">
        <v>152</v>
      </c>
      <c r="D931" s="20">
        <v>43151</v>
      </c>
      <c r="E931" s="12"/>
      <c r="F931" s="12"/>
      <c r="G931" s="47"/>
      <c r="H931" s="47"/>
      <c r="I931" s="18">
        <v>68</v>
      </c>
      <c r="J931" s="47"/>
      <c r="K931" s="18">
        <v>34</v>
      </c>
      <c r="L931" s="47"/>
      <c r="M931" s="47"/>
      <c r="N931" s="47"/>
      <c r="O931" s="47"/>
      <c r="P931" s="49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3.2">
      <c r="A932" s="47"/>
      <c r="B932" s="146"/>
      <c r="C932" s="5">
        <v>159</v>
      </c>
      <c r="D932" s="20">
        <v>43158</v>
      </c>
      <c r="E932" s="12"/>
      <c r="F932" s="12"/>
      <c r="G932" s="47"/>
      <c r="H932" s="47"/>
      <c r="I932" s="18">
        <v>44.3</v>
      </c>
      <c r="J932" s="47"/>
      <c r="K932" s="18">
        <v>32.6</v>
      </c>
      <c r="L932" s="47"/>
      <c r="M932" s="47"/>
      <c r="N932" s="47"/>
      <c r="O932" s="47"/>
      <c r="P932" s="49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3.2">
      <c r="A933" s="47"/>
      <c r="B933" s="146"/>
      <c r="C933" s="5">
        <v>166</v>
      </c>
      <c r="D933" s="20">
        <v>43165</v>
      </c>
      <c r="E933" s="12"/>
      <c r="F933" s="12"/>
      <c r="G933" s="47"/>
      <c r="H933" s="47"/>
      <c r="I933" s="18">
        <v>22.3</v>
      </c>
      <c r="J933" s="47"/>
      <c r="K933" s="18">
        <v>31.9</v>
      </c>
      <c r="L933" s="47"/>
      <c r="M933" s="47"/>
      <c r="N933" s="47"/>
      <c r="O933" s="47"/>
      <c r="P933" s="49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3.2">
      <c r="A934" s="47"/>
      <c r="B934" s="146"/>
      <c r="C934" s="5">
        <v>173</v>
      </c>
      <c r="D934" s="20">
        <v>43172</v>
      </c>
      <c r="E934" s="12"/>
      <c r="F934" s="12"/>
      <c r="G934" s="47"/>
      <c r="H934" s="47"/>
      <c r="I934" s="18">
        <v>53.9</v>
      </c>
      <c r="J934" s="47"/>
      <c r="K934" s="18">
        <v>31.8</v>
      </c>
      <c r="L934" s="47"/>
      <c r="M934" s="47"/>
      <c r="N934" s="47"/>
      <c r="O934" s="47"/>
      <c r="P934" s="49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3.2">
      <c r="A935" s="47"/>
      <c r="B935" s="146"/>
      <c r="C935" s="146"/>
      <c r="D935" s="19"/>
      <c r="E935" s="12"/>
      <c r="F935" s="12"/>
      <c r="G935" s="47"/>
      <c r="H935" s="47"/>
      <c r="I935" s="48"/>
      <c r="J935" s="47"/>
      <c r="K935" s="48"/>
      <c r="L935" s="47"/>
      <c r="M935" s="47"/>
      <c r="N935" s="47"/>
      <c r="O935" s="47"/>
      <c r="P935" s="49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3.2">
      <c r="A936" s="47"/>
      <c r="B936" s="146"/>
      <c r="C936" s="146"/>
      <c r="D936" s="19"/>
      <c r="E936" s="12"/>
      <c r="F936" s="12"/>
      <c r="G936" s="47"/>
      <c r="H936" s="47"/>
      <c r="I936" s="48"/>
      <c r="J936" s="47"/>
      <c r="K936" s="48"/>
      <c r="L936" s="47"/>
      <c r="M936" s="47"/>
      <c r="N936" s="47"/>
      <c r="O936" s="47"/>
      <c r="P936" s="49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3.2">
      <c r="A937" s="47"/>
      <c r="B937" s="146"/>
      <c r="C937" s="146"/>
      <c r="D937" s="19"/>
      <c r="E937" s="12"/>
      <c r="F937" s="12"/>
      <c r="G937" s="47"/>
      <c r="H937" s="47"/>
      <c r="I937" s="48"/>
      <c r="J937" s="47"/>
      <c r="K937" s="48"/>
      <c r="L937" s="47"/>
      <c r="M937" s="47"/>
      <c r="N937" s="47"/>
      <c r="O937" s="47"/>
      <c r="P937" s="49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3.2">
      <c r="A938" s="47"/>
      <c r="B938" s="146"/>
      <c r="C938" s="146"/>
      <c r="D938" s="19"/>
      <c r="E938" s="12"/>
      <c r="F938" s="12"/>
      <c r="G938" s="47"/>
      <c r="H938" s="47"/>
      <c r="I938" s="48"/>
      <c r="J938" s="47"/>
      <c r="K938" s="48"/>
      <c r="L938" s="47"/>
      <c r="M938" s="47"/>
      <c r="N938" s="47"/>
      <c r="O938" s="47"/>
      <c r="P938" s="49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3.2">
      <c r="A939" s="47"/>
      <c r="B939" s="146"/>
      <c r="C939" s="146"/>
      <c r="D939" s="19"/>
      <c r="E939" s="12"/>
      <c r="F939" s="12"/>
      <c r="G939" s="47"/>
      <c r="H939" s="47"/>
      <c r="I939" s="48"/>
      <c r="J939" s="47"/>
      <c r="K939" s="48"/>
      <c r="L939" s="47"/>
      <c r="M939" s="47"/>
      <c r="N939" s="47"/>
      <c r="O939" s="47"/>
      <c r="P939" s="49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3.2">
      <c r="A940" s="47"/>
      <c r="B940" s="146"/>
      <c r="C940" s="146"/>
      <c r="D940" s="19"/>
      <c r="E940" s="12"/>
      <c r="F940" s="12"/>
      <c r="G940" s="47"/>
      <c r="H940" s="47"/>
      <c r="I940" s="48"/>
      <c r="J940" s="47"/>
      <c r="K940" s="48"/>
      <c r="L940" s="47"/>
      <c r="M940" s="47"/>
      <c r="N940" s="47"/>
      <c r="O940" s="47"/>
      <c r="P940" s="49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3.2">
      <c r="A941" s="47"/>
      <c r="B941" s="146"/>
      <c r="C941" s="146"/>
      <c r="D941" s="19"/>
      <c r="E941" s="12"/>
      <c r="F941" s="12"/>
      <c r="G941" s="47"/>
      <c r="H941" s="47"/>
      <c r="I941" s="48"/>
      <c r="J941" s="47"/>
      <c r="K941" s="48"/>
      <c r="L941" s="47"/>
      <c r="M941" s="47"/>
      <c r="N941" s="47"/>
      <c r="O941" s="47"/>
      <c r="P941" s="49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3.2">
      <c r="A942" s="47"/>
      <c r="B942" s="146"/>
      <c r="C942" s="146"/>
      <c r="D942" s="19"/>
      <c r="E942" s="12"/>
      <c r="F942" s="12"/>
      <c r="G942" s="47"/>
      <c r="H942" s="47"/>
      <c r="I942" s="48"/>
      <c r="J942" s="47"/>
      <c r="K942" s="48"/>
      <c r="L942" s="47"/>
      <c r="M942" s="47"/>
      <c r="N942" s="47"/>
      <c r="O942" s="47"/>
      <c r="P942" s="49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3.2">
      <c r="A943" s="47"/>
      <c r="B943" s="146"/>
      <c r="C943" s="146"/>
      <c r="D943" s="19"/>
      <c r="E943" s="12"/>
      <c r="F943" s="12"/>
      <c r="G943" s="47"/>
      <c r="H943" s="47"/>
      <c r="I943" s="48"/>
      <c r="J943" s="47"/>
      <c r="K943" s="48"/>
      <c r="L943" s="47"/>
      <c r="M943" s="47"/>
      <c r="N943" s="47"/>
      <c r="O943" s="47"/>
      <c r="P943" s="49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3.2">
      <c r="A944" s="47"/>
      <c r="B944" s="14"/>
      <c r="C944" s="14"/>
      <c r="D944" s="19"/>
      <c r="E944" s="12"/>
      <c r="F944" s="12"/>
      <c r="G944" s="47"/>
      <c r="H944" s="47"/>
      <c r="I944" s="48"/>
      <c r="J944" s="47"/>
      <c r="K944" s="48"/>
      <c r="L944" s="47"/>
      <c r="M944" s="47"/>
      <c r="N944" s="47"/>
      <c r="O944" s="47"/>
      <c r="P944" s="49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3.2">
      <c r="A945" s="47"/>
      <c r="B945" s="14"/>
      <c r="C945" s="14"/>
      <c r="D945" s="19"/>
      <c r="E945" s="12"/>
      <c r="F945" s="12"/>
      <c r="G945" s="47"/>
      <c r="H945" s="47"/>
      <c r="I945" s="48"/>
      <c r="J945" s="47"/>
      <c r="K945" s="48"/>
      <c r="L945" s="47"/>
      <c r="M945" s="47"/>
      <c r="N945" s="47"/>
      <c r="O945" s="47"/>
      <c r="P945" s="49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3.2">
      <c r="A946" s="47"/>
      <c r="B946" s="14"/>
      <c r="C946" s="14"/>
      <c r="D946" s="19"/>
      <c r="E946" s="12"/>
      <c r="F946" s="12"/>
      <c r="G946" s="47"/>
      <c r="H946" s="47"/>
      <c r="I946" s="48"/>
      <c r="J946" s="47"/>
      <c r="K946" s="48"/>
      <c r="L946" s="47"/>
      <c r="M946" s="47"/>
      <c r="N946" s="47"/>
      <c r="O946" s="47"/>
      <c r="P946" s="49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3.2">
      <c r="A947" s="47"/>
      <c r="B947" s="14"/>
      <c r="C947" s="14"/>
      <c r="D947" s="19"/>
      <c r="E947" s="12"/>
      <c r="F947" s="12"/>
      <c r="G947" s="47"/>
      <c r="H947" s="47"/>
      <c r="I947" s="48"/>
      <c r="J947" s="47"/>
      <c r="K947" s="48"/>
      <c r="L947" s="47"/>
      <c r="M947" s="47"/>
      <c r="N947" s="47"/>
      <c r="O947" s="47"/>
      <c r="P947" s="49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3.2">
      <c r="A948" s="47"/>
      <c r="B948" s="14"/>
      <c r="C948" s="14"/>
      <c r="D948" s="19"/>
      <c r="E948" s="12"/>
      <c r="F948" s="12"/>
      <c r="G948" s="47"/>
      <c r="H948" s="47"/>
      <c r="I948" s="48"/>
      <c r="J948" s="47"/>
      <c r="K948" s="48"/>
      <c r="L948" s="47"/>
      <c r="M948" s="47"/>
      <c r="N948" s="47"/>
      <c r="O948" s="47"/>
      <c r="P948" s="49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3.2">
      <c r="A949" s="47"/>
      <c r="B949" s="14"/>
      <c r="C949" s="14"/>
      <c r="D949" s="19"/>
      <c r="E949" s="12"/>
      <c r="F949" s="12"/>
      <c r="G949" s="47"/>
      <c r="H949" s="47"/>
      <c r="I949" s="48"/>
      <c r="J949" s="47"/>
      <c r="K949" s="48"/>
      <c r="L949" s="47"/>
      <c r="M949" s="47"/>
      <c r="N949" s="47"/>
      <c r="O949" s="47"/>
      <c r="P949" s="49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3.2">
      <c r="A950" s="47"/>
      <c r="B950" s="14"/>
      <c r="C950" s="14"/>
      <c r="D950" s="19"/>
      <c r="E950" s="12"/>
      <c r="F950" s="12"/>
      <c r="G950" s="47"/>
      <c r="H950" s="47"/>
      <c r="I950" s="48"/>
      <c r="J950" s="47"/>
      <c r="K950" s="48"/>
      <c r="L950" s="47"/>
      <c r="M950" s="47"/>
      <c r="N950" s="47"/>
      <c r="O950" s="47"/>
      <c r="P950" s="49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3.2">
      <c r="A951" s="47"/>
      <c r="B951" s="14"/>
      <c r="C951" s="14"/>
      <c r="D951" s="19"/>
      <c r="E951" s="12"/>
      <c r="F951" s="12"/>
      <c r="G951" s="47"/>
      <c r="H951" s="47"/>
      <c r="I951" s="48"/>
      <c r="J951" s="47"/>
      <c r="K951" s="48"/>
      <c r="L951" s="47"/>
      <c r="M951" s="47"/>
      <c r="N951" s="47"/>
      <c r="O951" s="47"/>
      <c r="P951" s="49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3.2">
      <c r="A952" s="47"/>
      <c r="B952" s="14"/>
      <c r="C952" s="14"/>
      <c r="D952" s="19"/>
      <c r="E952" s="12"/>
      <c r="F952" s="12"/>
      <c r="G952" s="47"/>
      <c r="H952" s="47"/>
      <c r="I952" s="48"/>
      <c r="J952" s="47"/>
      <c r="K952" s="48"/>
      <c r="L952" s="47"/>
      <c r="M952" s="47"/>
      <c r="N952" s="47"/>
      <c r="O952" s="47"/>
      <c r="P952" s="49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3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3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3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3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3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3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3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3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3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3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3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3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3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3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3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3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3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3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3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3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3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3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3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3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3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3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3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3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3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3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3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3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3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3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3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3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3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3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3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3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3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3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3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3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3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3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3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3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3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3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3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3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3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3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3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3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1:33" ht="13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  <row r="1010" spans="1:33" ht="13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</row>
    <row r="1011" spans="1:33" ht="13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</row>
    <row r="1012" spans="1:33" ht="13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</row>
    <row r="1013" spans="1:33" ht="13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</row>
    <row r="1014" spans="1:33" ht="13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</row>
    <row r="1015" spans="1:33" ht="13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</row>
    <row r="1016" spans="1:33" ht="13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</row>
    <row r="1017" spans="1:33" ht="13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</row>
    <row r="1018" spans="1:33" ht="13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</row>
    <row r="1019" spans="1:33" ht="13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</row>
    <row r="1020" spans="1:33" ht="13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</row>
    <row r="1021" spans="1:33" ht="13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</row>
    <row r="1022" spans="1:33" ht="13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</row>
    <row r="1023" spans="1:33" ht="13.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</row>
    <row r="1024" spans="1:33" ht="13.2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</row>
    <row r="1025" spans="1:33" ht="13.2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</row>
    <row r="1026" spans="1:33" ht="13.2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</row>
    <row r="1027" spans="1:33" ht="13.2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</row>
    <row r="1028" spans="1:33" ht="13.2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</row>
    <row r="1029" spans="1:33" ht="13.2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</row>
    <row r="1030" spans="1:33" ht="13.2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</row>
    <row r="1031" spans="1:33" ht="13.2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</row>
    <row r="1032" spans="1:33" ht="13.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</row>
    <row r="1033" spans="1:33" ht="13.2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</row>
    <row r="1034" spans="1:33" ht="13.2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</row>
    <row r="1035" spans="1:33" ht="13.2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</row>
    <row r="1036" spans="1:33" ht="13.2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</row>
    <row r="1037" spans="1:33" ht="13.2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</row>
    <row r="1038" spans="1:33" ht="13.2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</row>
    <row r="1039" spans="1:33" ht="13.2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</row>
    <row r="1040" spans="1:33" ht="13.2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</row>
    <row r="1041" spans="1:33" ht="13.2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</row>
    <row r="1042" spans="1:33" ht="13.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</row>
    <row r="1043" spans="1:33" ht="13.2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</row>
    <row r="1044" spans="1:33" ht="13.2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</row>
    <row r="1045" spans="1:33" ht="13.2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</row>
    <row r="1046" spans="1:33" ht="13.2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</row>
    <row r="1047" spans="1:33" ht="13.2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</row>
    <row r="1048" spans="1:33" ht="13.2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</row>
    <row r="1049" spans="1:33" ht="13.2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</row>
    <row r="1050" spans="1:33" ht="13.2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</row>
    <row r="1051" spans="1:33" ht="13.2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</row>
    <row r="1052" spans="1:33" ht="13.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</row>
    <row r="1053" spans="1:33" ht="13.2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</row>
    <row r="1054" spans="1:33" ht="13.2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</row>
    <row r="1055" spans="1:33" ht="13.2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</row>
    <row r="1056" spans="1:33" ht="13.2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</row>
    <row r="1057" spans="1:33" ht="13.2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</row>
    <row r="1058" spans="1:33" ht="13.2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</row>
    <row r="1059" spans="1:33" ht="13.2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</row>
    <row r="1060" spans="1:33" ht="13.2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</row>
    <row r="1061" spans="1:33" ht="13.2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</row>
    <row r="1062" spans="1:33" ht="13.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</row>
    <row r="1063" spans="1:33" ht="13.2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</row>
    <row r="1064" spans="1:33" ht="13.2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</row>
    <row r="1065" spans="1:33" ht="13.2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</row>
    <row r="1066" spans="1:33" ht="13.2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</row>
    <row r="1067" spans="1:33" ht="13.2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</row>
    <row r="1068" spans="1:33" ht="13.2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</row>
    <row r="1069" spans="1:33" ht="13.2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</row>
    <row r="1070" spans="1:33" ht="13.2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</row>
    <row r="1071" spans="1:33" ht="13.2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</row>
    <row r="1072" spans="1:33" ht="13.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</row>
    <row r="1073" spans="1:33" ht="13.2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</row>
    <row r="1074" spans="1:33" ht="13.2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</row>
    <row r="1075" spans="1:33" ht="13.2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</row>
    <row r="1076" spans="1:33" ht="13.2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</row>
    <row r="1077" spans="1:33" ht="13.2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</row>
    <row r="1078" spans="1:33" ht="13.2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</row>
    <row r="1079" spans="1:33" ht="13.2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</row>
    <row r="1080" spans="1:33" ht="13.2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</row>
    <row r="1081" spans="1:33" ht="13.2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</row>
    <row r="1082" spans="1:33" ht="13.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</row>
    <row r="1083" spans="1:33" ht="13.2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</row>
    <row r="1084" spans="1:33" ht="13.2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</row>
    <row r="1085" spans="1:33" ht="13.2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</row>
    <row r="1086" spans="1:33" ht="13.2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</row>
    <row r="1087" spans="1:33" ht="13.2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</row>
    <row r="1088" spans="1:33" ht="13.2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</row>
    <row r="1089" spans="1:33" ht="13.2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</row>
    <row r="1090" spans="1:33" ht="13.2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</row>
    <row r="1091" spans="1:33" ht="13.2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</row>
    <row r="1092" spans="1:33" ht="13.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</row>
    <row r="1093" spans="1:33" ht="13.2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</row>
    <row r="1094" spans="1:33" ht="13.2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</row>
    <row r="1095" spans="1:33" ht="13.2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</row>
    <row r="1096" spans="1:33" ht="13.2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</row>
    <row r="1097" spans="1:33" ht="13.2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</row>
    <row r="1098" spans="1:33" ht="13.2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</row>
    <row r="1099" spans="1:33" ht="13.2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</row>
    <row r="1100" spans="1:33" ht="13.2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</row>
    <row r="1101" spans="1:33" ht="13.2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</row>
    <row r="1102" spans="1:33" ht="13.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</row>
    <row r="1103" spans="1:33" ht="13.2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</row>
    <row r="1104" spans="1:33" ht="13.2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</row>
    <row r="1105" spans="1:33" ht="13.2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</row>
    <row r="1106" spans="1:33" ht="13.2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</row>
    <row r="1107" spans="1:33" ht="13.2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</row>
    <row r="1108" spans="1:33" ht="13.2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</row>
    <row r="1109" spans="1:33" ht="13.2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</row>
    <row r="1110" spans="1:33" ht="13.2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</row>
    <row r="1111" spans="1:33" ht="13.2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</row>
    <row r="1112" spans="1:33" ht="13.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</row>
    <row r="1113" spans="1:33" ht="13.2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</row>
    <row r="1114" spans="1:33" ht="13.2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</row>
    <row r="1115" spans="1:33" ht="13.2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</row>
    <row r="1116" spans="1:33" ht="13.2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</row>
    <row r="1117" spans="1:33" ht="13.2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</row>
    <row r="1118" spans="1:33" ht="13.2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</row>
    <row r="1119" spans="1:33" ht="13.2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</row>
    <row r="1120" spans="1:33" ht="13.2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</row>
    <row r="1121" spans="1:33" ht="13.2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</row>
    <row r="1122" spans="1:33" ht="13.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</row>
    <row r="1123" spans="1:33" ht="13.2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</row>
    <row r="1124" spans="1:33" ht="13.2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</row>
    <row r="1125" spans="1:33" ht="13.2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</row>
    <row r="1126" spans="1:33" ht="13.2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</row>
    <row r="1127" spans="1:33" ht="13.2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</row>
    <row r="1128" spans="1:33" ht="13.2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</row>
    <row r="1129" spans="1:33" ht="13.2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</row>
    <row r="1130" spans="1:33" ht="13.2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</row>
    <row r="1131" spans="1:33" ht="13.2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</row>
    <row r="1132" spans="1:33" ht="13.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</row>
    <row r="1133" spans="1:33" ht="13.2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</row>
    <row r="1134" spans="1:33" ht="13.2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</row>
    <row r="1135" spans="1:33" ht="13.2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</row>
    <row r="1136" spans="1:33" ht="13.2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</row>
    <row r="1137" spans="1:33" ht="13.2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</row>
    <row r="1138" spans="1:33" ht="13.2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</row>
    <row r="1139" spans="1:33" ht="13.2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</row>
    <row r="1140" spans="1:33" ht="13.2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</row>
    <row r="1141" spans="1:33" ht="13.2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</row>
    <row r="1142" spans="1:33" ht="13.2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</row>
    <row r="1143" spans="1:33" ht="13.2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</row>
    <row r="1144" spans="1:33" ht="13.2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</row>
    <row r="1145" spans="1:33" ht="13.2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</row>
    <row r="1146" spans="1:33" ht="13.2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</row>
    <row r="1147" spans="1:33" ht="13.2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</row>
    <row r="1148" spans="1:33" ht="13.2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</row>
    <row r="1149" spans="1:33" ht="13.2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</row>
    <row r="1150" spans="1:33" ht="13.2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</row>
    <row r="1151" spans="1:33" ht="13.2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</row>
    <row r="1152" spans="1:33" ht="13.2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</row>
    <row r="1153" spans="1:33" ht="13.2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</row>
    <row r="1154" spans="1:33" ht="13.2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</row>
    <row r="1155" spans="1:33" ht="13.2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</row>
    <row r="1156" spans="1:33" ht="13.2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</row>
    <row r="1157" spans="1:33" ht="13.2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</row>
    <row r="1158" spans="1:33" ht="13.2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</row>
    <row r="1159" spans="1:33" ht="13.2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</row>
    <row r="1160" spans="1:33" ht="13.2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</row>
    <row r="1161" spans="1:33" ht="13.2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</row>
    <row r="1162" spans="1:33" ht="13.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</row>
    <row r="1163" spans="1:33" ht="13.2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</row>
    <row r="1164" spans="1:33" ht="13.2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</row>
    <row r="1165" spans="1:33" ht="13.2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</row>
    <row r="1166" spans="1:33" ht="13.2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</row>
    <row r="1167" spans="1:33" ht="13.2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</row>
    <row r="1168" spans="1:33" ht="13.2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</row>
    <row r="1169" spans="1:33" ht="13.2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</row>
    <row r="1170" spans="1:33" ht="13.2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</row>
    <row r="1171" spans="1:33" ht="13.2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</row>
    <row r="1172" spans="1:33" ht="13.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</row>
    <row r="1173" spans="1:33" ht="13.2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</row>
    <row r="1174" spans="1:33" ht="13.2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</row>
    <row r="1175" spans="1:33" ht="13.2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</row>
    <row r="1176" spans="1:33" ht="13.2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</row>
    <row r="1177" spans="1:33" ht="13.2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</row>
    <row r="1178" spans="1:33" ht="13.2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</row>
    <row r="1179" spans="1:33" ht="13.2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</row>
    <row r="1180" spans="1:33" ht="13.2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</row>
    <row r="1181" spans="1:33" ht="13.2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6"/>
  <sheetViews>
    <sheetView workbookViewId="0"/>
  </sheetViews>
  <sheetFormatPr defaultColWidth="14.44140625" defaultRowHeight="15.75" customHeight="1"/>
  <cols>
    <col min="2" max="2" width="21.5546875" customWidth="1"/>
    <col min="5" max="5" width="21.5546875" customWidth="1"/>
  </cols>
  <sheetData>
    <row r="1" spans="1:9" ht="15.75" customHeight="1">
      <c r="A1" s="189" t="s">
        <v>347</v>
      </c>
      <c r="D1" s="153" t="s">
        <v>348</v>
      </c>
    </row>
    <row r="2" spans="1:9" ht="15.75" customHeight="1">
      <c r="A2" s="70" t="s">
        <v>334</v>
      </c>
      <c r="B2" s="70" t="s">
        <v>349</v>
      </c>
      <c r="D2" s="70" t="s">
        <v>334</v>
      </c>
      <c r="E2" s="70" t="s">
        <v>349</v>
      </c>
      <c r="G2" s="126"/>
      <c r="H2" s="191">
        <v>43032</v>
      </c>
      <c r="I2" s="191">
        <v>43053</v>
      </c>
    </row>
    <row r="3" spans="1:9" ht="15.75" customHeight="1">
      <c r="A3" s="139" t="s">
        <v>54</v>
      </c>
      <c r="B3" s="139">
        <v>153</v>
      </c>
      <c r="D3" s="139" t="s">
        <v>114</v>
      </c>
      <c r="E3" s="139">
        <v>139</v>
      </c>
      <c r="G3" s="192" t="s">
        <v>6</v>
      </c>
      <c r="H3" s="126">
        <f>AVERAGE(B3:B7,E3:E7)</f>
        <v>176.2</v>
      </c>
      <c r="I3">
        <f>AVERAGE(B27,C27,D27,B31,C31,D31,B35,C35,D35,B39,C39,D39,B43,C43,D43,G27:H27,G31:H31,G35:H35,G39:H39,G43:H43)</f>
        <v>181.52173913043478</v>
      </c>
    </row>
    <row r="4" spans="1:9" ht="15.75" customHeight="1">
      <c r="A4" s="139" t="s">
        <v>64</v>
      </c>
      <c r="B4" s="139">
        <v>241</v>
      </c>
      <c r="D4" s="139" t="s">
        <v>116</v>
      </c>
      <c r="E4" s="139">
        <v>126</v>
      </c>
      <c r="G4" s="95" t="s">
        <v>350</v>
      </c>
      <c r="H4" s="126">
        <f>STDEV(B3:B7,E3:E7)</f>
        <v>44.832527873805567</v>
      </c>
      <c r="I4" s="126">
        <f>STDEV(B27:D27,B31:D31,B35:D35,B39:D39,B43:D43)</f>
        <v>32.68242686278095</v>
      </c>
    </row>
    <row r="5" spans="1:9" ht="15.75" customHeight="1">
      <c r="A5" s="139" t="s">
        <v>68</v>
      </c>
      <c r="B5" s="139">
        <v>184</v>
      </c>
      <c r="D5" s="139" t="s">
        <v>118</v>
      </c>
      <c r="E5" s="139">
        <v>133</v>
      </c>
      <c r="G5" s="126"/>
      <c r="H5" s="126">
        <f t="shared" ref="H5:I5" si="0">H4/SQRT(10)</f>
        <v>14.177290134421151</v>
      </c>
      <c r="I5" s="126">
        <f t="shared" si="0"/>
        <v>10.335090834825913</v>
      </c>
    </row>
    <row r="6" spans="1:9" ht="15.75" customHeight="1">
      <c r="A6" s="139" t="s">
        <v>76</v>
      </c>
      <c r="B6" s="139">
        <v>229</v>
      </c>
      <c r="D6" s="139" t="s">
        <v>120</v>
      </c>
      <c r="E6" s="139">
        <v>176</v>
      </c>
      <c r="G6" s="126"/>
      <c r="H6" s="126"/>
    </row>
    <row r="7" spans="1:9" ht="15.75" customHeight="1">
      <c r="A7" s="139" t="s">
        <v>81</v>
      </c>
      <c r="B7" s="139">
        <v>237</v>
      </c>
      <c r="D7" s="139" t="s">
        <v>122</v>
      </c>
      <c r="E7" s="139">
        <v>144</v>
      </c>
      <c r="G7" s="126"/>
      <c r="H7" s="126"/>
    </row>
    <row r="8" spans="1:9" ht="15.75" customHeight="1">
      <c r="A8" s="139" t="s">
        <v>123</v>
      </c>
      <c r="B8" s="139">
        <v>178</v>
      </c>
      <c r="D8" s="139" t="s">
        <v>126</v>
      </c>
      <c r="E8" s="139">
        <v>147</v>
      </c>
      <c r="G8" s="193" t="s">
        <v>6</v>
      </c>
      <c r="H8" s="126">
        <f>AVERAGE(B8:B12,E8:E11)</f>
        <v>170.44444444444446</v>
      </c>
      <c r="I8">
        <f>AVERAGE(B28,C28,D28,B32,C32,D32,B36,C36,D36,B40,C40,D40,G28:H28,G32:H32,G36:H36,G40:H40)</f>
        <v>191.2</v>
      </c>
    </row>
    <row r="9" spans="1:9" ht="15.75" customHeight="1">
      <c r="A9" s="139" t="s">
        <v>125</v>
      </c>
      <c r="B9" s="139">
        <v>179</v>
      </c>
      <c r="D9" s="139" t="s">
        <v>131</v>
      </c>
      <c r="E9" s="139">
        <v>226</v>
      </c>
      <c r="F9" s="6">
        <v>210</v>
      </c>
      <c r="G9" s="95" t="s">
        <v>350</v>
      </c>
      <c r="H9" s="126">
        <f>STDEV(B8:B12,E8:E11)</f>
        <v>30.842791342188491</v>
      </c>
      <c r="I9">
        <f>STDEV(B28:D28,B32:D32,B36:D36,B40:D40)</f>
        <v>26.949307069294996</v>
      </c>
    </row>
    <row r="10" spans="1:9" ht="15.75" customHeight="1">
      <c r="A10" s="139" t="s">
        <v>127</v>
      </c>
      <c r="B10" s="139">
        <v>196</v>
      </c>
      <c r="D10" s="139" t="s">
        <v>128</v>
      </c>
      <c r="E10" s="139">
        <v>166</v>
      </c>
      <c r="G10" s="126"/>
      <c r="H10" s="126">
        <f t="shared" ref="H10:I10" si="1">H9/SQRT(9)</f>
        <v>10.280930447396164</v>
      </c>
      <c r="I10" s="126">
        <f t="shared" si="1"/>
        <v>8.9831023564316652</v>
      </c>
    </row>
    <row r="11" spans="1:9" ht="15.75" customHeight="1">
      <c r="A11" s="139" t="s">
        <v>129</v>
      </c>
      <c r="B11" s="139">
        <v>175</v>
      </c>
      <c r="D11" s="139" t="s">
        <v>130</v>
      </c>
      <c r="E11" s="139">
        <v>148</v>
      </c>
      <c r="G11" s="126"/>
      <c r="H11" s="126"/>
    </row>
    <row r="12" spans="1:9" ht="15.75" customHeight="1">
      <c r="A12" s="139" t="s">
        <v>124</v>
      </c>
      <c r="B12" s="139">
        <v>119</v>
      </c>
      <c r="D12" s="139" t="s">
        <v>78</v>
      </c>
      <c r="E12" s="139">
        <v>141</v>
      </c>
      <c r="G12" s="126"/>
      <c r="H12" s="126"/>
    </row>
    <row r="13" spans="1:9" ht="15.75" customHeight="1">
      <c r="A13" s="139" t="s">
        <v>41</v>
      </c>
      <c r="B13" s="139">
        <v>98</v>
      </c>
      <c r="D13" s="139" t="s">
        <v>84</v>
      </c>
      <c r="E13" s="139">
        <v>171</v>
      </c>
      <c r="G13" s="194" t="s">
        <v>6</v>
      </c>
      <c r="H13" s="126">
        <f>AVERAGE(B13:B17,E12:E16)</f>
        <v>137.9</v>
      </c>
      <c r="I13">
        <f>AVERAGE(B29,C29,D29,B33,C33,D33,B37,C37,D37,B41,C41,D41,B44,C44,D44,G29:H29,G33:H33,G37:H37,G41:H41,G45:H45)</f>
        <v>146.47999999999999</v>
      </c>
    </row>
    <row r="14" spans="1:9" ht="15.75" customHeight="1">
      <c r="A14" s="139" t="s">
        <v>55</v>
      </c>
      <c r="B14" s="139">
        <v>115</v>
      </c>
      <c r="D14" s="139" t="s">
        <v>89</v>
      </c>
      <c r="E14" s="139">
        <v>107</v>
      </c>
      <c r="G14" s="95" t="s">
        <v>350</v>
      </c>
      <c r="H14" s="126">
        <f>STDEV(B13:B17,E12:E16)</f>
        <v>28.614099088852438</v>
      </c>
      <c r="I14">
        <f>STDEV(B29:D29,B33:D33,B37:D37,B41:D41,B44:D44)</f>
        <v>15.595176299405013</v>
      </c>
    </row>
    <row r="15" spans="1:9" ht="15.75" customHeight="1">
      <c r="A15" s="139" t="s">
        <v>61</v>
      </c>
      <c r="B15" s="139">
        <v>126</v>
      </c>
      <c r="D15" s="139" t="s">
        <v>95</v>
      </c>
      <c r="E15" s="139">
        <v>157</v>
      </c>
      <c r="G15" s="126"/>
      <c r="H15" s="126">
        <f t="shared" ref="H15:I15" si="2">H14/SQRT(10)</f>
        <v>9.0485726314522434</v>
      </c>
      <c r="I15" s="126">
        <f t="shared" si="2"/>
        <v>4.931627761799585</v>
      </c>
    </row>
    <row r="16" spans="1:9" ht="15.75" customHeight="1">
      <c r="A16" s="139" t="s">
        <v>69</v>
      </c>
      <c r="B16" s="139">
        <v>122</v>
      </c>
      <c r="D16" s="139" t="s">
        <v>98</v>
      </c>
      <c r="E16" s="139">
        <v>160</v>
      </c>
      <c r="G16" s="126"/>
      <c r="H16" s="126"/>
    </row>
    <row r="17" spans="1:9" ht="15.75" customHeight="1">
      <c r="A17" s="139" t="s">
        <v>74</v>
      </c>
      <c r="B17" s="139">
        <v>182</v>
      </c>
      <c r="D17" s="139" t="s">
        <v>72</v>
      </c>
      <c r="E17" s="139">
        <v>154</v>
      </c>
      <c r="G17" s="126"/>
      <c r="H17" s="126"/>
    </row>
    <row r="18" spans="1:9" ht="15.75" customHeight="1">
      <c r="A18" s="139" t="s">
        <v>20</v>
      </c>
      <c r="B18" s="139">
        <v>231</v>
      </c>
      <c r="D18" s="139" t="s">
        <v>79</v>
      </c>
      <c r="E18" s="139">
        <v>131</v>
      </c>
      <c r="G18" s="195" t="s">
        <v>6</v>
      </c>
      <c r="H18" s="126">
        <f>AVERAGE(B18:B22,E17:E21)</f>
        <v>189</v>
      </c>
      <c r="I18">
        <f>AVERAGE(B30:D30,B34:D34,B38:D38,B42:D42,B45:D45,G30:H30,G34:H34,G38:H38,G42:H42,G46:H46)</f>
        <v>170.36</v>
      </c>
    </row>
    <row r="19" spans="1:9" ht="15.75" customHeight="1">
      <c r="A19" s="139" t="s">
        <v>29</v>
      </c>
      <c r="B19" s="139">
        <v>147</v>
      </c>
      <c r="D19" s="139" t="s">
        <v>353</v>
      </c>
      <c r="E19" s="139">
        <v>181</v>
      </c>
      <c r="G19" s="95" t="s">
        <v>350</v>
      </c>
      <c r="H19" s="126">
        <f>STDEV(B18:B22,E17:E21)</f>
        <v>45.072780650360983</v>
      </c>
      <c r="I19">
        <f>STDEV(B30:D30,B34:D34,B38:D38,B42:D42,B45:D45)</f>
        <v>20.381364036786113</v>
      </c>
    </row>
    <row r="20" spans="1:9" ht="15.75" customHeight="1">
      <c r="A20" s="139" t="s">
        <v>47</v>
      </c>
      <c r="B20" s="139">
        <v>249</v>
      </c>
      <c r="D20" s="139" t="s">
        <v>90</v>
      </c>
      <c r="E20" s="139">
        <v>186</v>
      </c>
      <c r="H20">
        <f t="shared" ref="H20:I20" si="3">H19/SQRT(10)</f>
        <v>14.253264733230612</v>
      </c>
      <c r="I20">
        <f t="shared" si="3"/>
        <v>6.4451532177287945</v>
      </c>
    </row>
    <row r="21" spans="1:9" ht="15.75" customHeight="1">
      <c r="A21" s="139" t="s">
        <v>58</v>
      </c>
      <c r="B21" s="139">
        <v>256</v>
      </c>
      <c r="D21" s="139" t="s">
        <v>93</v>
      </c>
      <c r="E21" s="139">
        <v>207</v>
      </c>
    </row>
    <row r="22" spans="1:9" ht="15.75" customHeight="1">
      <c r="A22" s="139" t="s">
        <v>66</v>
      </c>
      <c r="B22" s="139">
        <v>148</v>
      </c>
      <c r="D22" s="139"/>
      <c r="E22" s="139"/>
    </row>
    <row r="24" spans="1:9" ht="15.75" customHeight="1">
      <c r="A24" s="196" t="s">
        <v>354</v>
      </c>
      <c r="B24" s="126"/>
      <c r="C24" s="126"/>
      <c r="D24" s="126"/>
    </row>
    <row r="25" spans="1:9" ht="15.75" customHeight="1">
      <c r="A25" s="189" t="s">
        <v>355</v>
      </c>
      <c r="B25" s="126"/>
      <c r="C25" s="126"/>
      <c r="D25" s="126"/>
      <c r="F25" s="6" t="s">
        <v>356</v>
      </c>
    </row>
    <row r="26" spans="1:9" ht="15.75" customHeight="1">
      <c r="A26" s="95" t="s">
        <v>334</v>
      </c>
      <c r="B26" s="95" t="s">
        <v>357</v>
      </c>
      <c r="C26" s="95" t="s">
        <v>358</v>
      </c>
      <c r="D26" s="95" t="s">
        <v>358</v>
      </c>
      <c r="F26" s="6" t="s">
        <v>334</v>
      </c>
      <c r="G26" s="6" t="s">
        <v>357</v>
      </c>
      <c r="H26" s="6" t="s">
        <v>358</v>
      </c>
    </row>
    <row r="27" spans="1:9" ht="15.75" customHeight="1">
      <c r="A27" s="95" t="s">
        <v>359</v>
      </c>
      <c r="B27" s="95">
        <v>193</v>
      </c>
      <c r="C27" s="95">
        <v>178</v>
      </c>
      <c r="D27" s="95">
        <v>215</v>
      </c>
      <c r="F27" s="6" t="s">
        <v>54</v>
      </c>
      <c r="G27" s="6">
        <v>177</v>
      </c>
      <c r="H27" s="6">
        <v>186</v>
      </c>
    </row>
    <row r="28" spans="1:9" ht="15.75" customHeight="1">
      <c r="A28" s="95" t="s">
        <v>126</v>
      </c>
      <c r="B28" s="95">
        <v>202</v>
      </c>
      <c r="C28" s="95">
        <v>208</v>
      </c>
      <c r="D28" s="95">
        <v>197</v>
      </c>
      <c r="F28" s="6" t="s">
        <v>123</v>
      </c>
      <c r="G28" s="6">
        <v>178</v>
      </c>
      <c r="H28" s="6">
        <v>176</v>
      </c>
    </row>
    <row r="29" spans="1:9" ht="15.75" customHeight="1">
      <c r="A29" s="95" t="s">
        <v>360</v>
      </c>
      <c r="B29" s="95">
        <v>126</v>
      </c>
      <c r="C29" s="95">
        <v>141</v>
      </c>
      <c r="D29" s="95">
        <v>139</v>
      </c>
      <c r="F29" s="6" t="s">
        <v>41</v>
      </c>
      <c r="G29" s="6">
        <v>113</v>
      </c>
      <c r="H29" s="6">
        <v>146</v>
      </c>
    </row>
    <row r="30" spans="1:9" ht="15.75" customHeight="1">
      <c r="A30" s="95" t="s">
        <v>361</v>
      </c>
      <c r="B30" s="95">
        <v>138</v>
      </c>
      <c r="C30" s="95">
        <v>164</v>
      </c>
      <c r="D30" s="95">
        <v>152</v>
      </c>
      <c r="F30" s="6" t="s">
        <v>20</v>
      </c>
      <c r="G30" s="6">
        <v>176</v>
      </c>
      <c r="H30" s="6">
        <v>215</v>
      </c>
    </row>
    <row r="31" spans="1:9" ht="15.75" customHeight="1">
      <c r="A31" s="95" t="s">
        <v>91</v>
      </c>
      <c r="B31" s="95"/>
      <c r="C31" s="95">
        <v>198</v>
      </c>
      <c r="D31" s="95">
        <v>183</v>
      </c>
      <c r="F31" s="6" t="s">
        <v>64</v>
      </c>
      <c r="G31" s="6">
        <v>208</v>
      </c>
      <c r="H31" s="6">
        <v>214</v>
      </c>
    </row>
    <row r="32" spans="1:9" ht="15.75" customHeight="1">
      <c r="A32" s="95" t="s">
        <v>131</v>
      </c>
      <c r="B32" s="95">
        <v>210</v>
      </c>
      <c r="C32" s="95">
        <v>204</v>
      </c>
      <c r="D32" s="95">
        <v>212</v>
      </c>
      <c r="F32" s="6" t="s">
        <v>125</v>
      </c>
      <c r="G32" s="6">
        <v>179</v>
      </c>
      <c r="H32" s="6">
        <v>236</v>
      </c>
    </row>
    <row r="33" spans="1:8" ht="15.75" customHeight="1">
      <c r="A33" s="95" t="s">
        <v>84</v>
      </c>
      <c r="B33" s="95">
        <v>164</v>
      </c>
      <c r="C33" s="95">
        <v>172</v>
      </c>
      <c r="D33" s="95">
        <v>176</v>
      </c>
      <c r="F33" s="6" t="s">
        <v>55</v>
      </c>
      <c r="G33" s="6">
        <v>125</v>
      </c>
      <c r="H33" s="6">
        <v>144</v>
      </c>
    </row>
    <row r="34" spans="1:8" ht="15.75" customHeight="1">
      <c r="A34" s="95" t="s">
        <v>79</v>
      </c>
      <c r="B34" s="95">
        <v>155</v>
      </c>
      <c r="C34" s="95">
        <v>171</v>
      </c>
      <c r="D34" s="95">
        <v>144</v>
      </c>
      <c r="F34" s="6" t="s">
        <v>29</v>
      </c>
      <c r="G34" s="6">
        <v>117</v>
      </c>
      <c r="H34" s="6">
        <v>173</v>
      </c>
    </row>
    <row r="35" spans="1:8" ht="13.2">
      <c r="A35" s="95" t="s">
        <v>96</v>
      </c>
      <c r="B35" s="95">
        <v>126</v>
      </c>
      <c r="C35" s="95">
        <v>139</v>
      </c>
      <c r="D35" s="95">
        <v>129</v>
      </c>
      <c r="F35" s="6" t="s">
        <v>68</v>
      </c>
      <c r="G35" s="6">
        <v>213</v>
      </c>
      <c r="H35" s="6">
        <v>224</v>
      </c>
    </row>
    <row r="36" spans="1:8" ht="13.2">
      <c r="A36" s="95" t="s">
        <v>128</v>
      </c>
      <c r="B36" s="95">
        <v>153</v>
      </c>
      <c r="C36" s="95">
        <v>188</v>
      </c>
      <c r="D36" s="95">
        <v>160</v>
      </c>
      <c r="F36" s="6" t="s">
        <v>127</v>
      </c>
      <c r="G36" s="6">
        <v>179</v>
      </c>
      <c r="H36" s="6">
        <v>233</v>
      </c>
    </row>
    <row r="37" spans="1:8" ht="13.2">
      <c r="A37" s="95" t="s">
        <v>89</v>
      </c>
      <c r="B37" s="95">
        <v>148</v>
      </c>
      <c r="C37" s="95">
        <v>170</v>
      </c>
      <c r="D37" s="95">
        <v>158</v>
      </c>
      <c r="F37" s="6" t="s">
        <v>61</v>
      </c>
      <c r="G37" s="6">
        <v>116</v>
      </c>
      <c r="H37" s="6">
        <v>122</v>
      </c>
    </row>
    <row r="38" spans="1:8" ht="13.2">
      <c r="A38" s="95" t="s">
        <v>83</v>
      </c>
      <c r="B38" s="95">
        <v>134</v>
      </c>
      <c r="C38" s="95">
        <v>159</v>
      </c>
      <c r="D38" s="95">
        <v>175</v>
      </c>
      <c r="F38" s="6" t="s">
        <v>47</v>
      </c>
      <c r="G38" s="6">
        <v>171</v>
      </c>
      <c r="H38" s="6">
        <v>195</v>
      </c>
    </row>
    <row r="39" spans="1:8" ht="13.2">
      <c r="A39" s="95" t="s">
        <v>99</v>
      </c>
      <c r="B39" s="95"/>
      <c r="C39" s="95">
        <v>185</v>
      </c>
      <c r="D39" s="95">
        <v>196</v>
      </c>
      <c r="F39" s="6" t="s">
        <v>76</v>
      </c>
      <c r="G39" s="6">
        <v>188</v>
      </c>
      <c r="H39" s="6">
        <v>204</v>
      </c>
    </row>
    <row r="40" spans="1:8" ht="13.2">
      <c r="A40" s="95" t="s">
        <v>130</v>
      </c>
      <c r="B40" s="95">
        <v>135</v>
      </c>
      <c r="C40" s="95">
        <v>155</v>
      </c>
      <c r="D40" s="95">
        <v>167</v>
      </c>
      <c r="F40" s="6" t="s">
        <v>129</v>
      </c>
      <c r="G40" s="6">
        <v>232</v>
      </c>
      <c r="H40" s="6">
        <v>220</v>
      </c>
    </row>
    <row r="41" spans="1:8" ht="13.2">
      <c r="A41" s="95" t="s">
        <v>95</v>
      </c>
      <c r="B41" s="95">
        <v>157</v>
      </c>
      <c r="C41" s="95">
        <v>162</v>
      </c>
      <c r="D41" s="95">
        <v>166</v>
      </c>
      <c r="F41" s="6" t="s">
        <v>69</v>
      </c>
      <c r="G41" s="6">
        <v>97</v>
      </c>
      <c r="H41" s="6">
        <v>115</v>
      </c>
    </row>
    <row r="42" spans="1:8" ht="13.2">
      <c r="A42" s="95" t="s">
        <v>90</v>
      </c>
      <c r="B42" s="95">
        <v>181</v>
      </c>
      <c r="C42" s="95">
        <v>195</v>
      </c>
      <c r="D42" s="95">
        <v>187</v>
      </c>
      <c r="F42" s="6" t="s">
        <v>58</v>
      </c>
      <c r="G42" s="6">
        <v>168</v>
      </c>
      <c r="H42" s="6">
        <v>196</v>
      </c>
    </row>
    <row r="43" spans="1:8" ht="13.2">
      <c r="A43" s="95" t="s">
        <v>101</v>
      </c>
      <c r="B43" s="95">
        <v>120</v>
      </c>
      <c r="C43" s="95">
        <v>166</v>
      </c>
      <c r="D43" s="95">
        <v>132</v>
      </c>
      <c r="F43" s="6" t="s">
        <v>81</v>
      </c>
      <c r="G43" s="6">
        <v>198</v>
      </c>
      <c r="H43" s="6">
        <v>203</v>
      </c>
    </row>
    <row r="44" spans="1:8" ht="13.2">
      <c r="A44" s="95" t="s">
        <v>98</v>
      </c>
      <c r="B44" s="95">
        <v>157</v>
      </c>
      <c r="C44" s="95">
        <v>163</v>
      </c>
      <c r="D44" s="95">
        <v>187</v>
      </c>
      <c r="F44" s="6" t="s">
        <v>124</v>
      </c>
    </row>
    <row r="45" spans="1:8" ht="13.2">
      <c r="A45" s="95" t="s">
        <v>93</v>
      </c>
      <c r="B45" s="95">
        <v>181</v>
      </c>
      <c r="C45" s="95">
        <v>202</v>
      </c>
      <c r="D45" s="95">
        <v>173</v>
      </c>
      <c r="F45" s="6" t="s">
        <v>74</v>
      </c>
      <c r="G45" s="6">
        <v>136</v>
      </c>
      <c r="H45" s="6">
        <v>162</v>
      </c>
    </row>
    <row r="46" spans="1:8" ht="13.2">
      <c r="F46" s="6" t="s">
        <v>66</v>
      </c>
      <c r="G46" s="6">
        <v>161</v>
      </c>
      <c r="H46" s="6">
        <v>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U151"/>
  <sheetViews>
    <sheetView workbookViewId="0"/>
  </sheetViews>
  <sheetFormatPr defaultColWidth="14.44140625" defaultRowHeight="15.75" customHeight="1"/>
  <sheetData>
    <row r="1" spans="2:47" ht="15.75" customHeight="1">
      <c r="B1" s="6" t="s">
        <v>362</v>
      </c>
      <c r="D1" s="68" t="s">
        <v>335</v>
      </c>
      <c r="E1" s="6" t="s">
        <v>363</v>
      </c>
      <c r="F1" s="6" t="s">
        <v>364</v>
      </c>
      <c r="J1" s="6" t="s">
        <v>363</v>
      </c>
      <c r="K1" s="6" t="s">
        <v>365</v>
      </c>
      <c r="AM1" s="160"/>
      <c r="AN1" s="160"/>
      <c r="AO1" s="160"/>
      <c r="AU1" s="160"/>
    </row>
    <row r="2" spans="2:47" ht="15.75" customHeight="1">
      <c r="B2" s="6" t="s">
        <v>366</v>
      </c>
      <c r="C2" s="6">
        <v>0</v>
      </c>
      <c r="D2">
        <f>AVERAGE(AE36,AF36,AE44,AF44,AE57,AF57,AE61,AF61,AE65,AF65)</f>
        <v>140</v>
      </c>
      <c r="E2">
        <f>STDEV(AE36,AF36,AE44,AF44,AE57,AF57,AE61,AF61,AE65,AF65)</f>
        <v>19.367785395111934</v>
      </c>
      <c r="F2">
        <f t="shared" ref="F2:F4" si="0">E2/SQRT(10)</f>
        <v>6.1246315081897871</v>
      </c>
      <c r="H2" s="6" t="s">
        <v>42</v>
      </c>
      <c r="I2" s="197">
        <f>AVERAGE(AE36,AF36,AE44,AF44,AE57,AF57,AE61,AF61,AE65,AF65,AE22,AF22,AE19,AF19,AE53,AF53,AE40,AF40)</f>
        <v>151.5</v>
      </c>
      <c r="J2">
        <f>STDEV(AE36,AF36,AE44,AF44,AE57,AF57,AE61,AF61,AE65,AF65,AE22,AF22,AE19,AF19,AE53,AF53,AE40,AF40)</f>
        <v>24.959378763007987</v>
      </c>
      <c r="K2">
        <f t="shared" ref="K2:K4" si="1">J2/SQRT(10)</f>
        <v>7.8928485873941225</v>
      </c>
      <c r="AM2" s="160"/>
      <c r="AN2" s="160"/>
      <c r="AO2" s="160"/>
      <c r="AU2" s="160"/>
    </row>
    <row r="3" spans="2:47" ht="15.75" customHeight="1">
      <c r="C3" s="6">
        <v>20</v>
      </c>
      <c r="D3">
        <f>AVERAGE(AH65,AI65,AH61,AI61,AH57,AI57,AH44,AI44,AH36)</f>
        <v>305.33333333333331</v>
      </c>
      <c r="E3">
        <f>STDEV(AH65,AI65,AH61,AI61,AH57,AI57,AH44,AI44,AH36)</f>
        <v>35.482389998420345</v>
      </c>
      <c r="F3">
        <f t="shared" si="0"/>
        <v>11.220516922138659</v>
      </c>
      <c r="H3" s="6" t="s">
        <v>22</v>
      </c>
      <c r="I3" s="197">
        <f>AVERAGE(AE56,AE31,AF31,AE35,AF35,AE39,AF39,AE43,AF43,AE21,AF21,AE18,AF18,AE52,AF52,AE60,AF60,AE64,AF64)</f>
        <v>201.26315789473685</v>
      </c>
      <c r="J3">
        <f>STDEV(AE56,AE31,AF31,AE35,AF35,AE39,AF39,AE43,AF43,AE21,AF21,AE18,AF18,AE52,AF52,AE60,AF60,AE64,AF64)</f>
        <v>28.423077683974309</v>
      </c>
      <c r="K3">
        <f t="shared" si="1"/>
        <v>8.988166359326236</v>
      </c>
      <c r="AM3" s="160"/>
      <c r="AN3" s="160"/>
      <c r="AO3" s="160"/>
      <c r="AU3" s="160"/>
    </row>
    <row r="4" spans="2:47" ht="15.75" customHeight="1">
      <c r="C4" s="6">
        <v>40</v>
      </c>
      <c r="D4">
        <f>AVERAGE(AK65,AL65,AK61,AL61,AK57,AL57,AK44,AL44,AK36,)</f>
        <v>185.3</v>
      </c>
      <c r="E4">
        <f>STDEV(AK65,AL65,AK61,AL61,AK57,AL57,AK44,AL44,AK36)</f>
        <v>25.097033910625964</v>
      </c>
      <c r="F4">
        <f t="shared" si="0"/>
        <v>7.9363789672060738</v>
      </c>
      <c r="H4" s="6" t="s">
        <v>327</v>
      </c>
      <c r="I4" s="197">
        <f>AVERAGE(AE50,AF50,AE54,AF54,AE58,AF58,AE62,AF62,AE29,AF29,AE33,AF33,AE37,AF37,AE41,AF41,AE16,AF16,AE20,AF20)</f>
        <v>205.05</v>
      </c>
      <c r="J4">
        <f>STDEV(AE50,AF50,AE54,AF54,AE58,AF58,AE62,AF62,AE29,AF29,AE33,AF33,AE37,AF37,AE41,AF41,AE16,AF16,AE20,AF20)</f>
        <v>36.1218333159498</v>
      </c>
      <c r="K4">
        <f t="shared" si="1"/>
        <v>11.422726653935394</v>
      </c>
      <c r="AM4" s="160"/>
      <c r="AN4" s="160"/>
      <c r="AO4" s="160"/>
      <c r="AU4" s="160"/>
    </row>
    <row r="5" spans="2:47" ht="15.75" customHeight="1">
      <c r="C5" s="6">
        <v>60</v>
      </c>
      <c r="D5">
        <f>AVERAGE(AN65,AN61,AN57,AN44,AN36)</f>
        <v>166.2</v>
      </c>
      <c r="E5">
        <f>STDEV(AN65,AN61,AN57,AN44,AN36)</f>
        <v>39.047407084209794</v>
      </c>
      <c r="F5">
        <f t="shared" ref="F5:F7" si="2">E5/SQRT(5)</f>
        <v>17.462531317079989</v>
      </c>
      <c r="H5" s="6" t="s">
        <v>384</v>
      </c>
      <c r="I5" s="197">
        <f>AVERAGE(AE17,AF17,AE30,AF30,AE34,AF34,AE42,192,183,AE51,AF51,AE55,AF55,AE59,AF59,AE63,AF63,AE38,AF38)</f>
        <v>216.05263157894737</v>
      </c>
      <c r="J5">
        <f>STDEV(AE17,AF17,AE30,AF30,AE34,AF34,AE42,192,183,AE51,AF51,AE55,AF55,AE59,AF59,AE63,AF63,AE38,AF38)</f>
        <v>32.012972516727075</v>
      </c>
      <c r="K5">
        <f>J5/SQRT(9)</f>
        <v>10.670990838909026</v>
      </c>
      <c r="AM5" s="160"/>
      <c r="AN5" s="160"/>
      <c r="AO5" s="160"/>
      <c r="AU5" s="160"/>
    </row>
    <row r="6" spans="2:47" ht="15.75" customHeight="1">
      <c r="C6" s="6">
        <v>90</v>
      </c>
      <c r="D6">
        <f>AVERAGE(AQ65,AQ61,AQ56,AQ44,AQ36)</f>
        <v>175.4</v>
      </c>
      <c r="E6">
        <f>STDEV(AQ65,AQ61,AQ56,AQ44,AQ36)</f>
        <v>33.857052441108969</v>
      </c>
      <c r="F6">
        <f t="shared" si="2"/>
        <v>15.141334155218969</v>
      </c>
      <c r="H6" s="6"/>
      <c r="AM6" s="160"/>
      <c r="AN6" s="160"/>
      <c r="AO6" s="160"/>
      <c r="AU6" s="160"/>
    </row>
    <row r="7" spans="2:47" ht="15.75" customHeight="1">
      <c r="C7" s="6">
        <v>120</v>
      </c>
      <c r="D7">
        <f>AVERAGE(AT65,AT61,AT57,AT44,AU44,AT36)</f>
        <v>144.83333333333334</v>
      </c>
      <c r="E7">
        <f>STDEV(AT65,AT61,AT57,AT44,AU44,AT36)</f>
        <v>31.224456226917159</v>
      </c>
      <c r="F7">
        <f t="shared" si="2"/>
        <v>13.964001336770673</v>
      </c>
      <c r="H7" s="6"/>
      <c r="AM7" s="160"/>
      <c r="AN7" s="160"/>
      <c r="AO7" s="160"/>
      <c r="AU7" s="160"/>
    </row>
    <row r="8" spans="2:47" ht="15.75" customHeight="1">
      <c r="AM8" s="160"/>
      <c r="AN8" s="160"/>
      <c r="AO8" s="160"/>
      <c r="AU8" s="160"/>
    </row>
    <row r="9" spans="2:47" ht="15.75" customHeight="1">
      <c r="AM9" s="160"/>
      <c r="AN9" s="160"/>
      <c r="AO9" s="160"/>
      <c r="AU9" s="160"/>
    </row>
    <row r="12" spans="2:47" ht="15.75" customHeight="1">
      <c r="B12" s="6" t="s">
        <v>367</v>
      </c>
      <c r="D12" s="68" t="s">
        <v>335</v>
      </c>
    </row>
    <row r="13" spans="2:47" ht="15.75" customHeight="1">
      <c r="B13" s="6" t="s">
        <v>388</v>
      </c>
      <c r="C13" s="6">
        <v>0</v>
      </c>
      <c r="D13">
        <f>AVERAGE(AE22,AF22,AE19,AF19,AE53,AF53,AE40,AF40)</f>
        <v>165.875</v>
      </c>
    </row>
    <row r="14" spans="2:47" ht="15.75" customHeight="1">
      <c r="C14" s="6">
        <v>20</v>
      </c>
      <c r="D14">
        <f>AVERAGE(AH22,AI22,AH32,AI32,AH40,AI40,AH53,AI53)</f>
        <v>309.125</v>
      </c>
      <c r="AA14" s="160"/>
      <c r="AB14" s="49"/>
      <c r="AC14" s="37" t="s">
        <v>386</v>
      </c>
      <c r="AD14" s="49"/>
      <c r="AE14" s="37" t="s">
        <v>358</v>
      </c>
      <c r="AF14" s="37" t="s">
        <v>389</v>
      </c>
      <c r="AG14" s="49"/>
      <c r="AH14" s="37" t="s">
        <v>358</v>
      </c>
      <c r="AI14" s="37" t="s">
        <v>389</v>
      </c>
      <c r="AJ14" s="37"/>
      <c r="AK14" s="37" t="s">
        <v>358</v>
      </c>
      <c r="AL14" s="37" t="s">
        <v>389</v>
      </c>
      <c r="AM14" s="37"/>
      <c r="AN14" s="37" t="s">
        <v>358</v>
      </c>
      <c r="AO14" s="37" t="s">
        <v>389</v>
      </c>
      <c r="AP14" s="37"/>
      <c r="AQ14" s="37" t="s">
        <v>358</v>
      </c>
      <c r="AR14" s="37" t="s">
        <v>389</v>
      </c>
      <c r="AS14" s="37"/>
      <c r="AT14" s="37" t="s">
        <v>358</v>
      </c>
      <c r="AU14" s="37" t="s">
        <v>389</v>
      </c>
    </row>
    <row r="15" spans="2:47" ht="15.75" customHeight="1">
      <c r="C15" s="6">
        <v>40</v>
      </c>
      <c r="D15">
        <f>AVERAGE(AK22,AL22,AK19,AL19,AK32,AL32,AK40,AL40,AK53,AL53)</f>
        <v>251</v>
      </c>
      <c r="AA15" s="37" t="s">
        <v>377</v>
      </c>
      <c r="AB15" s="37" t="s">
        <v>382</v>
      </c>
      <c r="AC15" s="37" t="s">
        <v>387</v>
      </c>
      <c r="AD15" s="37" t="s">
        <v>390</v>
      </c>
      <c r="AE15" s="37" t="s">
        <v>391</v>
      </c>
      <c r="AF15" s="37" t="s">
        <v>392</v>
      </c>
      <c r="AG15" s="37" t="s">
        <v>390</v>
      </c>
      <c r="AH15" s="37" t="s">
        <v>393</v>
      </c>
      <c r="AI15" s="37" t="s">
        <v>393</v>
      </c>
      <c r="AJ15" s="37" t="s">
        <v>390</v>
      </c>
      <c r="AK15" s="37" t="s">
        <v>394</v>
      </c>
      <c r="AL15" s="37" t="s">
        <v>394</v>
      </c>
      <c r="AM15" s="37" t="s">
        <v>390</v>
      </c>
      <c r="AN15" s="37" t="s">
        <v>395</v>
      </c>
      <c r="AO15" s="37" t="s">
        <v>395</v>
      </c>
      <c r="AP15" s="37" t="s">
        <v>390</v>
      </c>
      <c r="AQ15" s="37" t="s">
        <v>396</v>
      </c>
      <c r="AR15" s="37" t="s">
        <v>396</v>
      </c>
      <c r="AS15" s="37" t="s">
        <v>390</v>
      </c>
      <c r="AT15" s="37" t="s">
        <v>397</v>
      </c>
      <c r="AU15" s="202" t="s">
        <v>397</v>
      </c>
    </row>
    <row r="16" spans="2:47" ht="15.75" customHeight="1">
      <c r="C16" s="6">
        <v>60</v>
      </c>
      <c r="D16">
        <f>AVERAGE(AN19,AO19,AN22,AO22,AN32,AN40,AN53,AO53)</f>
        <v>213.25</v>
      </c>
      <c r="Z16" s="198">
        <v>43085</v>
      </c>
      <c r="AA16" s="37" t="s">
        <v>120</v>
      </c>
      <c r="AB16" s="37">
        <v>38.200000000000003</v>
      </c>
      <c r="AC16" s="110">
        <f t="shared" ref="AC16:AC22" si="3">AB16/100</f>
        <v>0.38200000000000001</v>
      </c>
      <c r="AD16" s="203">
        <v>0.66666666666666663</v>
      </c>
      <c r="AE16" s="37">
        <v>185</v>
      </c>
      <c r="AF16" s="37">
        <v>201</v>
      </c>
      <c r="AG16" s="203">
        <v>0.67777777777777781</v>
      </c>
      <c r="AH16" s="37">
        <v>327</v>
      </c>
      <c r="AI16" s="37">
        <v>322</v>
      </c>
      <c r="AJ16" s="203">
        <v>0.68888888888888888</v>
      </c>
      <c r="AK16" s="37">
        <v>263</v>
      </c>
      <c r="AL16" s="37">
        <v>249</v>
      </c>
      <c r="AM16" s="203">
        <v>0.70833333333333337</v>
      </c>
      <c r="AN16" s="37">
        <v>220</v>
      </c>
      <c r="AO16" s="37">
        <v>218</v>
      </c>
      <c r="AP16" s="203">
        <v>0.72916666666666663</v>
      </c>
      <c r="AQ16" s="37">
        <v>188</v>
      </c>
      <c r="AR16" s="37">
        <v>189</v>
      </c>
      <c r="AS16" s="203">
        <v>0.75</v>
      </c>
      <c r="AT16" s="37">
        <v>182</v>
      </c>
      <c r="AU16" s="37">
        <v>159</v>
      </c>
    </row>
    <row r="17" spans="2:47" ht="15.75" customHeight="1">
      <c r="C17" s="6">
        <v>90</v>
      </c>
      <c r="D17">
        <f>AVERAGE(AQ19,AQ22,AR22,AQ40,AR40,AQ53,AQ19)</f>
        <v>207.71428571428572</v>
      </c>
      <c r="AA17" s="37" t="s">
        <v>130</v>
      </c>
      <c r="AB17" s="37">
        <v>35.4</v>
      </c>
      <c r="AC17" s="110">
        <f t="shared" si="3"/>
        <v>0.35399999999999998</v>
      </c>
      <c r="AD17" s="203">
        <v>0.66736111111111107</v>
      </c>
      <c r="AE17" s="37">
        <v>197</v>
      </c>
      <c r="AF17" s="37">
        <v>196</v>
      </c>
      <c r="AG17" s="203">
        <v>0.67847222222222225</v>
      </c>
      <c r="AH17" s="37">
        <v>362</v>
      </c>
      <c r="AI17" s="37">
        <v>283</v>
      </c>
      <c r="AJ17" s="203">
        <v>0.68958333333333333</v>
      </c>
      <c r="AK17" s="37">
        <v>259</v>
      </c>
      <c r="AL17" s="49"/>
      <c r="AM17" s="203">
        <v>0.70902777777777781</v>
      </c>
      <c r="AN17" s="37">
        <v>236</v>
      </c>
      <c r="AO17" s="37">
        <v>206</v>
      </c>
      <c r="AP17" s="203">
        <v>0.72986111111111107</v>
      </c>
      <c r="AQ17" s="37">
        <v>173</v>
      </c>
      <c r="AR17" s="37">
        <v>195</v>
      </c>
      <c r="AS17" s="203">
        <v>0.75069444444444444</v>
      </c>
      <c r="AT17" s="37">
        <v>172</v>
      </c>
      <c r="AU17" s="37">
        <v>177</v>
      </c>
    </row>
    <row r="18" spans="2:47" ht="15.75" customHeight="1">
      <c r="C18" s="6">
        <v>120</v>
      </c>
      <c r="D18">
        <f>AVERAGE(AT19,AU19,AT22,AU22,AT32,AU32,AT40,AT53)</f>
        <v>182.5</v>
      </c>
      <c r="AA18" s="37" t="s">
        <v>90</v>
      </c>
      <c r="AB18" s="37">
        <v>53.2</v>
      </c>
      <c r="AC18" s="110">
        <f t="shared" si="3"/>
        <v>0.53200000000000003</v>
      </c>
      <c r="AD18" s="203">
        <v>0.66805555555555551</v>
      </c>
      <c r="AE18" s="37">
        <v>183</v>
      </c>
      <c r="AF18" s="37">
        <v>197</v>
      </c>
      <c r="AG18" s="203">
        <v>0.6791666666666667</v>
      </c>
      <c r="AH18" s="37">
        <v>532</v>
      </c>
      <c r="AI18" s="37">
        <v>524</v>
      </c>
      <c r="AJ18" s="203">
        <v>0.69027777777777777</v>
      </c>
      <c r="AK18" s="37">
        <v>451</v>
      </c>
      <c r="AL18" s="37">
        <v>537</v>
      </c>
      <c r="AM18" s="203">
        <v>0.70972222222222225</v>
      </c>
      <c r="AN18" s="37">
        <v>545</v>
      </c>
      <c r="AO18" s="37">
        <v>521</v>
      </c>
      <c r="AP18" s="203">
        <v>0.73055555555555551</v>
      </c>
      <c r="AQ18" s="37">
        <v>494</v>
      </c>
      <c r="AR18" s="37">
        <v>486</v>
      </c>
      <c r="AS18" s="203">
        <v>0.75138888888888888</v>
      </c>
      <c r="AT18" s="37">
        <v>420</v>
      </c>
      <c r="AU18" s="37">
        <v>430</v>
      </c>
    </row>
    <row r="19" spans="2:47" ht="15.75" customHeight="1">
      <c r="AA19" s="199" t="s">
        <v>95</v>
      </c>
      <c r="AB19" s="199">
        <v>27.4</v>
      </c>
      <c r="AC19" s="200">
        <f t="shared" si="3"/>
        <v>0.27399999999999997</v>
      </c>
      <c r="AD19" s="204">
        <v>0.66874999999999996</v>
      </c>
      <c r="AE19" s="199">
        <v>173</v>
      </c>
      <c r="AF19" s="199">
        <v>168</v>
      </c>
      <c r="AG19" s="204">
        <v>0.67986111111111114</v>
      </c>
      <c r="AH19" s="199">
        <v>309</v>
      </c>
      <c r="AI19" s="199">
        <v>309</v>
      </c>
      <c r="AJ19" s="204">
        <v>0.69097222222222221</v>
      </c>
      <c r="AK19" s="199">
        <v>266</v>
      </c>
      <c r="AL19" s="199">
        <v>205</v>
      </c>
      <c r="AM19" s="204">
        <v>0.7104166666666667</v>
      </c>
      <c r="AN19" s="199">
        <v>199</v>
      </c>
      <c r="AO19" s="199">
        <v>184</v>
      </c>
      <c r="AP19" s="204">
        <v>0.73124999999999996</v>
      </c>
      <c r="AQ19" s="199">
        <v>201</v>
      </c>
      <c r="AR19" s="206"/>
      <c r="AS19" s="204">
        <v>0.75208333333333333</v>
      </c>
      <c r="AT19" s="37">
        <v>185</v>
      </c>
      <c r="AU19" s="37">
        <v>207</v>
      </c>
    </row>
    <row r="20" spans="2:47" ht="15.75" customHeight="1">
      <c r="AA20" s="37" t="s">
        <v>122</v>
      </c>
      <c r="AB20" s="37">
        <v>37.4</v>
      </c>
      <c r="AC20" s="110">
        <f t="shared" si="3"/>
        <v>0.374</v>
      </c>
      <c r="AD20" s="203">
        <v>0.6694444444444444</v>
      </c>
      <c r="AE20" s="37">
        <v>186</v>
      </c>
      <c r="AF20" s="37">
        <v>166</v>
      </c>
      <c r="AG20" s="203">
        <v>0.68055555555555558</v>
      </c>
      <c r="AH20" s="37">
        <v>362</v>
      </c>
      <c r="AI20" s="37">
        <v>332</v>
      </c>
      <c r="AJ20" s="203">
        <v>0.69166666666666665</v>
      </c>
      <c r="AK20" s="37">
        <v>311</v>
      </c>
      <c r="AL20" s="37">
        <v>280</v>
      </c>
      <c r="AM20" s="203">
        <v>0.71111111111111114</v>
      </c>
      <c r="AN20" s="37">
        <v>248</v>
      </c>
      <c r="AO20" s="37">
        <v>241</v>
      </c>
      <c r="AP20" s="203">
        <v>0.7319444444444444</v>
      </c>
      <c r="AQ20" s="37">
        <v>207</v>
      </c>
      <c r="AR20" s="37">
        <v>175</v>
      </c>
      <c r="AS20" s="203">
        <v>0.75277777777777777</v>
      </c>
      <c r="AT20" s="37">
        <v>183</v>
      </c>
      <c r="AU20" s="37">
        <v>179</v>
      </c>
    </row>
    <row r="21" spans="2:47" ht="15.75" customHeight="1">
      <c r="AA21" s="37" t="s">
        <v>93</v>
      </c>
      <c r="AB21" s="37">
        <v>49.1</v>
      </c>
      <c r="AC21" s="110">
        <f t="shared" si="3"/>
        <v>0.49099999999999999</v>
      </c>
      <c r="AD21" s="203">
        <v>0.67013888888888884</v>
      </c>
      <c r="AE21" s="37">
        <v>163</v>
      </c>
      <c r="AF21" s="37">
        <v>170</v>
      </c>
      <c r="AG21" s="203">
        <v>0.68125000000000002</v>
      </c>
      <c r="AH21" s="37">
        <v>300</v>
      </c>
      <c r="AI21" s="37">
        <v>286</v>
      </c>
      <c r="AJ21" s="203">
        <v>0.69236111111111109</v>
      </c>
      <c r="AK21" s="37">
        <v>256</v>
      </c>
      <c r="AL21" s="37">
        <v>219</v>
      </c>
      <c r="AM21" s="203">
        <v>0.71180555555555558</v>
      </c>
      <c r="AN21" s="37">
        <v>238</v>
      </c>
      <c r="AO21" s="37">
        <v>249</v>
      </c>
      <c r="AP21" s="203">
        <v>0.73263888888888884</v>
      </c>
      <c r="AQ21" s="37">
        <v>244</v>
      </c>
      <c r="AR21" s="37">
        <v>255</v>
      </c>
      <c r="AS21" s="203">
        <v>0.75347222222222221</v>
      </c>
      <c r="AT21" s="37">
        <v>278</v>
      </c>
      <c r="AU21" s="37">
        <v>246</v>
      </c>
    </row>
    <row r="22" spans="2:47" ht="15.75" customHeight="1">
      <c r="B22" s="6" t="s">
        <v>399</v>
      </c>
      <c r="D22" s="68" t="s">
        <v>335</v>
      </c>
      <c r="AA22" s="37" t="s">
        <v>98</v>
      </c>
      <c r="AB22" s="37">
        <v>31.4</v>
      </c>
      <c r="AC22" s="110">
        <f t="shared" si="3"/>
        <v>0.314</v>
      </c>
      <c r="AD22" s="203">
        <v>0.67083333333333328</v>
      </c>
      <c r="AE22" s="37">
        <v>168</v>
      </c>
      <c r="AF22" s="37">
        <v>172</v>
      </c>
      <c r="AG22" s="203">
        <v>0.68194444444444446</v>
      </c>
      <c r="AH22" s="37">
        <v>188</v>
      </c>
      <c r="AI22" s="37">
        <v>188</v>
      </c>
      <c r="AJ22" s="203">
        <v>0.69305555555555554</v>
      </c>
      <c r="AK22" s="37">
        <v>213</v>
      </c>
      <c r="AL22" s="37">
        <v>179</v>
      </c>
      <c r="AM22" s="203">
        <v>0.71250000000000002</v>
      </c>
      <c r="AN22" s="37">
        <v>232</v>
      </c>
      <c r="AO22" s="37">
        <v>191</v>
      </c>
      <c r="AP22" s="203">
        <v>0.73333333333333328</v>
      </c>
      <c r="AQ22" s="37">
        <v>183</v>
      </c>
      <c r="AR22" s="37">
        <v>185</v>
      </c>
      <c r="AS22" s="203">
        <v>0.75416666666666665</v>
      </c>
      <c r="AT22" s="37">
        <v>166</v>
      </c>
      <c r="AU22" s="37">
        <v>177</v>
      </c>
    </row>
    <row r="23" spans="2:47" ht="15.75" customHeight="1">
      <c r="B23" s="6" t="s">
        <v>400</v>
      </c>
      <c r="C23" s="6">
        <v>0</v>
      </c>
      <c r="D23">
        <f>AVERAGE(AE56,AE31,AF31,AE35,AF35,AE39,AF39,AE43,AF43)</f>
        <v>196.22222222222223</v>
      </c>
    </row>
    <row r="24" spans="2:47" ht="15.75" customHeight="1">
      <c r="C24" s="6">
        <v>20</v>
      </c>
      <c r="D24">
        <f>AVERAGE(AH56,AI56,AH31,AI31,AH35,AI35,AH39,AI39,AH43,AI43)</f>
        <v>376.7</v>
      </c>
    </row>
    <row r="25" spans="2:47" ht="15.75" customHeight="1">
      <c r="C25" s="6">
        <v>40</v>
      </c>
      <c r="D25">
        <f>AVERAGE(AK31,AL31,AK35,AL35,AK39,AL39,AK43,AL43,AK56,AL56)</f>
        <v>391.6</v>
      </c>
    </row>
    <row r="26" spans="2:47" ht="15.75" customHeight="1">
      <c r="C26" s="6">
        <v>60</v>
      </c>
      <c r="D26">
        <f>AVERAGE(AN31,AO31,AN35,AO35,AN39,AO39,AN43,AO43,AN56,AO56)</f>
        <v>294.2</v>
      </c>
    </row>
    <row r="27" spans="2:47" ht="15.75" customHeight="1">
      <c r="C27" s="6">
        <v>90</v>
      </c>
      <c r="D27">
        <f>AVERAGE(AQ31,AR31,AQ35,AR35,AQ39,AR39,AQ43,AR43,AQ56)</f>
        <v>252.77777777777777</v>
      </c>
      <c r="AA27" s="160"/>
      <c r="AB27" s="49"/>
      <c r="AC27" s="37" t="s">
        <v>386</v>
      </c>
      <c r="AD27" s="49"/>
      <c r="AE27" s="37" t="s">
        <v>358</v>
      </c>
      <c r="AF27" s="37" t="s">
        <v>389</v>
      </c>
      <c r="AG27" s="49"/>
      <c r="AH27" s="37" t="s">
        <v>358</v>
      </c>
      <c r="AI27" s="37" t="s">
        <v>389</v>
      </c>
      <c r="AJ27" s="37"/>
      <c r="AK27" s="37" t="s">
        <v>358</v>
      </c>
      <c r="AL27" s="37" t="s">
        <v>389</v>
      </c>
      <c r="AM27" s="37"/>
      <c r="AN27" s="37" t="s">
        <v>358</v>
      </c>
      <c r="AO27" s="37" t="s">
        <v>389</v>
      </c>
      <c r="AP27" s="37"/>
      <c r="AQ27" s="37" t="s">
        <v>358</v>
      </c>
      <c r="AR27" s="37" t="s">
        <v>389</v>
      </c>
      <c r="AS27" s="37"/>
      <c r="AT27" s="37" t="s">
        <v>358</v>
      </c>
      <c r="AU27" s="37" t="s">
        <v>389</v>
      </c>
    </row>
    <row r="28" spans="2:47" ht="15.75" customHeight="1">
      <c r="C28" s="6">
        <v>120</v>
      </c>
      <c r="D28">
        <f>AVERAGE(AT31,AU31,AT35,AU35,AT39,AU39,AT43,AU43,AT57)</f>
        <v>211.88888888888889</v>
      </c>
      <c r="AA28" s="37" t="s">
        <v>377</v>
      </c>
      <c r="AB28" s="37" t="s">
        <v>382</v>
      </c>
      <c r="AC28" s="37" t="s">
        <v>387</v>
      </c>
      <c r="AD28" s="37" t="s">
        <v>390</v>
      </c>
      <c r="AE28" s="37" t="s">
        <v>391</v>
      </c>
      <c r="AF28" s="37" t="s">
        <v>392</v>
      </c>
      <c r="AG28" s="37" t="s">
        <v>390</v>
      </c>
      <c r="AH28" s="37" t="s">
        <v>393</v>
      </c>
      <c r="AI28" s="37" t="s">
        <v>393</v>
      </c>
      <c r="AJ28" s="37" t="s">
        <v>390</v>
      </c>
      <c r="AK28" s="37" t="s">
        <v>394</v>
      </c>
      <c r="AL28" s="37" t="s">
        <v>394</v>
      </c>
      <c r="AM28" s="37" t="s">
        <v>390</v>
      </c>
      <c r="AN28" s="37" t="s">
        <v>395</v>
      </c>
      <c r="AO28" s="37" t="s">
        <v>395</v>
      </c>
      <c r="AP28" s="37" t="s">
        <v>390</v>
      </c>
      <c r="AQ28" s="37" t="s">
        <v>396</v>
      </c>
      <c r="AR28" s="37" t="s">
        <v>396</v>
      </c>
      <c r="AS28" s="37" t="s">
        <v>390</v>
      </c>
      <c r="AT28" s="37" t="s">
        <v>397</v>
      </c>
      <c r="AU28" s="202" t="s">
        <v>397</v>
      </c>
    </row>
    <row r="29" spans="2:47" ht="15.75" customHeight="1">
      <c r="Z29" s="198">
        <v>43084</v>
      </c>
      <c r="AA29" s="37" t="s">
        <v>121</v>
      </c>
      <c r="AB29" s="37">
        <v>50</v>
      </c>
      <c r="AC29" s="110">
        <f t="shared" ref="AC29:AC44" si="4">AB29/100</f>
        <v>0.5</v>
      </c>
      <c r="AD29" s="203">
        <v>0.66388888888888886</v>
      </c>
      <c r="AE29" s="37">
        <v>303</v>
      </c>
      <c r="AF29" s="37">
        <v>272</v>
      </c>
      <c r="AG29" s="203">
        <v>0.67777777777777781</v>
      </c>
      <c r="AH29" s="37">
        <v>517</v>
      </c>
      <c r="AI29" s="37" t="s">
        <v>403</v>
      </c>
      <c r="AJ29" s="203">
        <v>0.68888888888888888</v>
      </c>
      <c r="AK29" s="37">
        <v>503</v>
      </c>
      <c r="AL29" s="37">
        <v>479</v>
      </c>
      <c r="AM29" s="203">
        <v>0.70833333333333337</v>
      </c>
      <c r="AN29" s="37">
        <v>476</v>
      </c>
      <c r="AO29" s="37">
        <v>445</v>
      </c>
      <c r="AP29" s="203">
        <v>0.72916666666666663</v>
      </c>
      <c r="AQ29" s="37">
        <v>395</v>
      </c>
      <c r="AR29" s="37">
        <v>413</v>
      </c>
      <c r="AS29" s="203">
        <v>0.75</v>
      </c>
      <c r="AT29" s="37">
        <v>355</v>
      </c>
      <c r="AU29" s="37">
        <v>348</v>
      </c>
    </row>
    <row r="30" spans="2:47" ht="15.75" customHeight="1">
      <c r="AA30" s="37" t="s">
        <v>124</v>
      </c>
      <c r="AB30" s="37">
        <v>27.8</v>
      </c>
      <c r="AC30" s="110">
        <f t="shared" si="4"/>
        <v>0.27800000000000002</v>
      </c>
      <c r="AD30" s="203">
        <v>0.66736111111111107</v>
      </c>
      <c r="AE30" s="37">
        <v>195</v>
      </c>
      <c r="AF30" s="37">
        <v>173</v>
      </c>
      <c r="AG30" s="203">
        <v>0.67847222222222225</v>
      </c>
      <c r="AH30" s="37">
        <v>340</v>
      </c>
      <c r="AI30" s="37">
        <v>322</v>
      </c>
      <c r="AJ30" s="203">
        <v>0.68958333333333333</v>
      </c>
      <c r="AK30" s="37">
        <v>340</v>
      </c>
      <c r="AL30" s="37">
        <v>372</v>
      </c>
      <c r="AM30" s="203">
        <v>0.70902777777777781</v>
      </c>
      <c r="AN30" s="37">
        <v>242</v>
      </c>
      <c r="AO30" s="37">
        <v>235</v>
      </c>
      <c r="AP30" s="203">
        <v>0.72986111111111107</v>
      </c>
      <c r="AQ30" s="37">
        <v>206</v>
      </c>
      <c r="AR30" s="37">
        <v>201</v>
      </c>
      <c r="AS30" s="203">
        <v>0.75069444444444444</v>
      </c>
      <c r="AT30" s="37">
        <v>176</v>
      </c>
      <c r="AU30" s="37">
        <v>184</v>
      </c>
    </row>
    <row r="31" spans="2:47" ht="15.75" customHeight="1">
      <c r="AA31" s="37" t="s">
        <v>66</v>
      </c>
      <c r="AB31" s="37">
        <v>46.8</v>
      </c>
      <c r="AC31" s="110">
        <f t="shared" si="4"/>
        <v>0.46799999999999997</v>
      </c>
      <c r="AD31" s="203">
        <v>0.66805555555555551</v>
      </c>
      <c r="AE31" s="37">
        <v>197</v>
      </c>
      <c r="AF31" s="37">
        <v>189</v>
      </c>
      <c r="AG31" s="203">
        <v>0.6791666666666667</v>
      </c>
      <c r="AH31" s="37">
        <v>395</v>
      </c>
      <c r="AI31" s="37">
        <v>409</v>
      </c>
      <c r="AJ31" s="203">
        <v>0.69027777777777777</v>
      </c>
      <c r="AK31" s="37">
        <v>340</v>
      </c>
      <c r="AL31" s="37">
        <v>350</v>
      </c>
      <c r="AM31" s="203">
        <v>0.70972222222222225</v>
      </c>
      <c r="AN31" s="37">
        <v>296</v>
      </c>
      <c r="AO31" s="37">
        <v>291</v>
      </c>
      <c r="AP31" s="203">
        <v>0.73055555555555551</v>
      </c>
      <c r="AQ31" s="37">
        <v>280</v>
      </c>
      <c r="AR31" s="37">
        <v>281</v>
      </c>
      <c r="AS31" s="203">
        <v>0.75138888888888888</v>
      </c>
      <c r="AT31" s="37">
        <v>224</v>
      </c>
      <c r="AU31" s="37">
        <v>241</v>
      </c>
    </row>
    <row r="32" spans="2:47" ht="15.75" customHeight="1">
      <c r="B32" s="6" t="s">
        <v>404</v>
      </c>
      <c r="D32" s="68" t="s">
        <v>335</v>
      </c>
      <c r="AA32" s="207" t="s">
        <v>74</v>
      </c>
      <c r="AB32" s="207">
        <v>28.6</v>
      </c>
      <c r="AC32" s="208">
        <f t="shared" si="4"/>
        <v>0.28600000000000003</v>
      </c>
      <c r="AD32" s="209">
        <v>0.66874999999999996</v>
      </c>
      <c r="AE32" s="207">
        <v>233</v>
      </c>
      <c r="AF32" s="207">
        <v>189</v>
      </c>
      <c r="AG32" s="209">
        <v>0.67986111111111114</v>
      </c>
      <c r="AH32" s="207">
        <v>366</v>
      </c>
      <c r="AI32" s="207">
        <v>369</v>
      </c>
      <c r="AJ32" s="209">
        <v>0.69097222222222221</v>
      </c>
      <c r="AK32" s="207">
        <v>276</v>
      </c>
      <c r="AL32" s="207">
        <v>347</v>
      </c>
      <c r="AM32" s="209">
        <v>0.7104166666666667</v>
      </c>
      <c r="AN32" s="207">
        <v>218</v>
      </c>
      <c r="AO32" s="65"/>
      <c r="AP32" s="209">
        <v>0.73124999999999996</v>
      </c>
      <c r="AQ32" s="65"/>
      <c r="AR32" s="65"/>
      <c r="AS32" s="209">
        <v>0.75208333333333333</v>
      </c>
      <c r="AT32" s="207">
        <v>178</v>
      </c>
      <c r="AU32" s="207">
        <v>184</v>
      </c>
    </row>
    <row r="33" spans="2:47" ht="15.75" customHeight="1">
      <c r="B33" s="6" t="s">
        <v>405</v>
      </c>
      <c r="C33" s="6">
        <v>0</v>
      </c>
      <c r="D33">
        <f>AVERAGE(AE21,AF21,AE18,AF18,AE52,AF52,AE60,AF60,AE64,AF64)</f>
        <v>205.8</v>
      </c>
      <c r="AA33" s="37" t="s">
        <v>114</v>
      </c>
      <c r="AB33" s="37">
        <v>46.1</v>
      </c>
      <c r="AC33" s="110">
        <f t="shared" si="4"/>
        <v>0.46100000000000002</v>
      </c>
      <c r="AD33" s="203">
        <v>0.6694444444444444</v>
      </c>
      <c r="AE33" s="37">
        <v>171</v>
      </c>
      <c r="AF33" s="37">
        <v>226</v>
      </c>
      <c r="AG33" s="203">
        <v>0.68055555555555558</v>
      </c>
      <c r="AH33" s="37">
        <v>310</v>
      </c>
      <c r="AI33" s="37">
        <v>293</v>
      </c>
      <c r="AJ33" s="203">
        <v>0.69166666666666665</v>
      </c>
      <c r="AK33" s="37">
        <v>296</v>
      </c>
      <c r="AL33" s="37">
        <v>361</v>
      </c>
      <c r="AM33" s="203">
        <v>0.71111111111111114</v>
      </c>
      <c r="AN33" s="37">
        <v>271</v>
      </c>
      <c r="AO33" s="37">
        <v>259</v>
      </c>
      <c r="AP33" s="203">
        <v>0.7319444444444444</v>
      </c>
      <c r="AQ33" s="37">
        <v>258</v>
      </c>
      <c r="AR33" s="37">
        <v>273</v>
      </c>
      <c r="AS33" s="203">
        <v>0.75277777777777777</v>
      </c>
      <c r="AT33" s="37">
        <v>248</v>
      </c>
      <c r="AU33" s="37">
        <v>212</v>
      </c>
    </row>
    <row r="34" spans="2:47" ht="15.75" customHeight="1">
      <c r="C34" s="6">
        <v>20</v>
      </c>
      <c r="D34">
        <f>AVERAGE(AH18,AI18,AH21,AI21,AH52,AI52,AH60,AI60,AH64,AI64)</f>
        <v>431.9</v>
      </c>
      <c r="AA34" s="37" t="s">
        <v>126</v>
      </c>
      <c r="AB34" s="37">
        <v>43.9</v>
      </c>
      <c r="AC34" s="110">
        <f t="shared" si="4"/>
        <v>0.439</v>
      </c>
      <c r="AD34" s="203">
        <v>0.67013888888888884</v>
      </c>
      <c r="AE34" s="37">
        <v>258</v>
      </c>
      <c r="AF34" s="37">
        <v>216</v>
      </c>
      <c r="AG34" s="203">
        <v>0.68125000000000002</v>
      </c>
      <c r="AH34" s="37">
        <v>381</v>
      </c>
      <c r="AI34" s="37">
        <v>399</v>
      </c>
      <c r="AJ34" s="203">
        <v>0.69236111111111109</v>
      </c>
      <c r="AK34" s="37">
        <v>365</v>
      </c>
      <c r="AL34" s="37">
        <v>535</v>
      </c>
      <c r="AM34" s="203">
        <v>0.71180555555555558</v>
      </c>
      <c r="AN34" s="37">
        <v>373</v>
      </c>
      <c r="AO34" s="37" t="s">
        <v>408</v>
      </c>
      <c r="AP34" s="203">
        <v>0.73263888888888884</v>
      </c>
      <c r="AQ34" s="37">
        <v>262</v>
      </c>
      <c r="AR34" s="37">
        <v>258</v>
      </c>
      <c r="AS34" s="203">
        <v>0.75347222222222221</v>
      </c>
      <c r="AT34" s="37">
        <v>234</v>
      </c>
      <c r="AU34" s="37">
        <v>252</v>
      </c>
    </row>
    <row r="35" spans="2:47" ht="13.2">
      <c r="C35" s="6">
        <v>40</v>
      </c>
      <c r="D35">
        <f>AVERAGE(AK18,AL18,AK21,AL21,AK52,AL52,AK60,AL60,AK64,AL64)</f>
        <v>432.1</v>
      </c>
      <c r="AA35" s="37" t="s">
        <v>72</v>
      </c>
      <c r="AB35" s="37">
        <v>33.5</v>
      </c>
      <c r="AC35" s="110">
        <f t="shared" si="4"/>
        <v>0.33500000000000002</v>
      </c>
      <c r="AD35" s="203">
        <v>0.67083333333333328</v>
      </c>
      <c r="AE35" s="37">
        <v>192</v>
      </c>
      <c r="AF35" s="37">
        <v>196</v>
      </c>
      <c r="AG35" s="203">
        <v>0.68194444444444446</v>
      </c>
      <c r="AH35" s="37">
        <v>369</v>
      </c>
      <c r="AI35" s="37">
        <v>403</v>
      </c>
      <c r="AJ35" s="203">
        <v>0.69305555555555554</v>
      </c>
      <c r="AK35" s="37">
        <v>381</v>
      </c>
      <c r="AL35" s="37">
        <v>465</v>
      </c>
      <c r="AM35" s="203">
        <v>0.71250000000000002</v>
      </c>
      <c r="AN35" s="37">
        <v>324</v>
      </c>
      <c r="AO35" s="37">
        <v>324</v>
      </c>
      <c r="AP35" s="203">
        <v>0.73333333333333328</v>
      </c>
      <c r="AQ35" s="37">
        <v>285</v>
      </c>
      <c r="AR35" s="37">
        <v>286</v>
      </c>
      <c r="AS35" s="203">
        <v>0.75416666666666665</v>
      </c>
      <c r="AT35" s="37">
        <v>200</v>
      </c>
      <c r="AU35" s="37">
        <v>207</v>
      </c>
    </row>
    <row r="36" spans="2:47" ht="13.2">
      <c r="C36" s="6">
        <v>60</v>
      </c>
      <c r="D36">
        <f>AVERAGE(AN18,AO18,AN21,AO21,AN52,AN56,AO56,AN60,AO60,AN64)</f>
        <v>376.6</v>
      </c>
      <c r="AA36" s="210" t="s">
        <v>78</v>
      </c>
      <c r="AB36" s="210">
        <v>22</v>
      </c>
      <c r="AC36" s="211">
        <f t="shared" si="4"/>
        <v>0.22</v>
      </c>
      <c r="AD36" s="212">
        <v>0.67152777777777772</v>
      </c>
      <c r="AE36" s="210">
        <v>133</v>
      </c>
      <c r="AF36" s="210">
        <v>149</v>
      </c>
      <c r="AG36" s="212">
        <v>0.68263888888888891</v>
      </c>
      <c r="AH36" s="210">
        <v>307</v>
      </c>
      <c r="AI36" s="213"/>
      <c r="AJ36" s="212">
        <v>0.69374999999999998</v>
      </c>
      <c r="AK36" s="210">
        <v>183</v>
      </c>
      <c r="AL36" s="213"/>
      <c r="AM36" s="212">
        <v>0.71319444444444446</v>
      </c>
      <c r="AN36" s="210">
        <v>178</v>
      </c>
      <c r="AO36" s="213"/>
      <c r="AP36" s="212">
        <v>0.73402777777777772</v>
      </c>
      <c r="AQ36" s="210">
        <v>181</v>
      </c>
      <c r="AR36" s="213"/>
      <c r="AS36" s="212">
        <v>0.75486111111111109</v>
      </c>
      <c r="AT36" s="210">
        <v>120</v>
      </c>
      <c r="AU36" s="213"/>
    </row>
    <row r="37" spans="2:47" ht="13.2">
      <c r="C37" s="6">
        <v>90</v>
      </c>
      <c r="D37">
        <f>AVERAGE(AQ18,AR18,AQ21,AR21,AQ52,AR52,AQ56,AQ60,AR60,AQ64,AR64)</f>
        <v>386.54545454545456</v>
      </c>
      <c r="AA37" s="37" t="s">
        <v>116</v>
      </c>
      <c r="AB37" s="37">
        <v>36</v>
      </c>
      <c r="AC37" s="110">
        <f t="shared" si="4"/>
        <v>0.36</v>
      </c>
      <c r="AD37" s="203">
        <v>0.67222222222222228</v>
      </c>
      <c r="AE37" s="37">
        <v>176</v>
      </c>
      <c r="AF37" s="37">
        <v>184</v>
      </c>
      <c r="AG37" s="203">
        <v>0.68333333333333335</v>
      </c>
      <c r="AH37" s="37">
        <v>468</v>
      </c>
      <c r="AI37" s="37">
        <v>353</v>
      </c>
      <c r="AJ37" s="203">
        <v>0.69444444444444442</v>
      </c>
      <c r="AK37" s="37">
        <v>339</v>
      </c>
      <c r="AL37" s="37">
        <v>349</v>
      </c>
      <c r="AM37" s="203">
        <v>0.71388888888888891</v>
      </c>
      <c r="AN37" s="37">
        <v>204</v>
      </c>
      <c r="AO37" s="37">
        <v>241</v>
      </c>
      <c r="AP37" s="203">
        <v>0.73472222222222228</v>
      </c>
      <c r="AQ37" s="37">
        <v>235</v>
      </c>
      <c r="AR37" s="37">
        <v>242</v>
      </c>
      <c r="AS37" s="203">
        <v>0.75555555555555554</v>
      </c>
      <c r="AT37" s="37">
        <v>204</v>
      </c>
      <c r="AU37" s="37">
        <v>217</v>
      </c>
    </row>
    <row r="38" spans="2:47" ht="13.2">
      <c r="C38" s="6">
        <v>120</v>
      </c>
      <c r="D38">
        <f>AVERAGE(AT18,AU18,AT21,AU21,AT52,AU52,AT61,AT64,AU64)</f>
        <v>368.11111111111109</v>
      </c>
      <c r="AA38" s="37" t="s">
        <v>131</v>
      </c>
      <c r="AB38" s="37">
        <v>50.2</v>
      </c>
      <c r="AC38" s="110">
        <f t="shared" si="4"/>
        <v>0.502</v>
      </c>
      <c r="AD38" s="203">
        <v>0.67291666666666672</v>
      </c>
      <c r="AE38" s="37">
        <v>229</v>
      </c>
      <c r="AF38" s="37">
        <v>213</v>
      </c>
      <c r="AG38" s="203">
        <v>0.68402777777777779</v>
      </c>
      <c r="AH38" s="37">
        <v>516</v>
      </c>
      <c r="AI38" s="37">
        <v>486</v>
      </c>
      <c r="AJ38" s="203">
        <v>0.69513888888888886</v>
      </c>
      <c r="AK38" s="37">
        <v>454</v>
      </c>
      <c r="AL38" s="37">
        <v>479</v>
      </c>
      <c r="AM38" s="203">
        <v>0.71458333333333335</v>
      </c>
      <c r="AN38" s="37">
        <v>467</v>
      </c>
      <c r="AO38" s="37">
        <v>455</v>
      </c>
      <c r="AP38" s="203">
        <v>0.73541666666666672</v>
      </c>
      <c r="AQ38" s="37">
        <v>419</v>
      </c>
      <c r="AR38" s="37">
        <v>416</v>
      </c>
      <c r="AS38" s="203">
        <v>0.75624999999999998</v>
      </c>
      <c r="AT38" s="37">
        <v>361</v>
      </c>
      <c r="AU38" s="37">
        <v>344</v>
      </c>
    </row>
    <row r="39" spans="2:47" ht="13.2">
      <c r="AA39" s="37" t="s">
        <v>79</v>
      </c>
      <c r="AB39" s="37">
        <v>28.1</v>
      </c>
      <c r="AC39" s="110">
        <f t="shared" si="4"/>
        <v>0.28100000000000003</v>
      </c>
      <c r="AD39" s="203">
        <v>0.67361111111111116</v>
      </c>
      <c r="AE39" s="37">
        <v>193</v>
      </c>
      <c r="AF39" s="37">
        <v>143</v>
      </c>
      <c r="AG39" s="203">
        <v>0.68472222222222223</v>
      </c>
      <c r="AH39" s="37">
        <v>326</v>
      </c>
      <c r="AI39" s="37">
        <v>306</v>
      </c>
      <c r="AJ39" s="203">
        <v>0.6958333333333333</v>
      </c>
      <c r="AK39" s="37">
        <v>329</v>
      </c>
      <c r="AL39" s="37">
        <v>310</v>
      </c>
      <c r="AM39" s="203">
        <v>0.71527777777777779</v>
      </c>
      <c r="AN39" s="37">
        <v>249</v>
      </c>
      <c r="AO39" s="37">
        <v>190</v>
      </c>
      <c r="AP39" s="203">
        <v>0.73611111111111116</v>
      </c>
      <c r="AQ39" s="37">
        <v>190</v>
      </c>
      <c r="AR39" s="37">
        <v>194</v>
      </c>
      <c r="AS39" s="203">
        <v>0.75694444444444442</v>
      </c>
      <c r="AT39" s="37">
        <v>187</v>
      </c>
      <c r="AU39" s="37">
        <v>187</v>
      </c>
    </row>
    <row r="40" spans="2:47" ht="13.2">
      <c r="AA40" s="199" t="s">
        <v>84</v>
      </c>
      <c r="AB40" s="199">
        <v>30</v>
      </c>
      <c r="AC40" s="200">
        <f t="shared" si="4"/>
        <v>0.3</v>
      </c>
      <c r="AD40" s="204">
        <v>0.6743055555555556</v>
      </c>
      <c r="AE40" s="199">
        <v>203</v>
      </c>
      <c r="AF40" s="199">
        <v>182</v>
      </c>
      <c r="AG40" s="204">
        <v>0.68541666666666667</v>
      </c>
      <c r="AH40" s="199">
        <v>416</v>
      </c>
      <c r="AI40" s="199">
        <v>382</v>
      </c>
      <c r="AJ40" s="204">
        <v>0.69652777777777775</v>
      </c>
      <c r="AK40" s="199">
        <v>299</v>
      </c>
      <c r="AL40" s="199">
        <v>377</v>
      </c>
      <c r="AM40" s="204">
        <v>0.71666666666666667</v>
      </c>
      <c r="AN40" s="199">
        <v>312</v>
      </c>
      <c r="AO40" s="206"/>
      <c r="AP40" s="204">
        <v>0.7368055555555556</v>
      </c>
      <c r="AQ40" s="199">
        <v>263</v>
      </c>
      <c r="AR40" s="199">
        <v>267</v>
      </c>
      <c r="AS40" s="204">
        <v>0.75763888888888886</v>
      </c>
      <c r="AT40" s="199">
        <v>222</v>
      </c>
      <c r="AU40" s="206"/>
    </row>
    <row r="41" spans="2:47" ht="39.6">
      <c r="B41" s="6" t="s">
        <v>409</v>
      </c>
      <c r="D41" s="68" t="s">
        <v>335</v>
      </c>
      <c r="AA41" s="37" t="s">
        <v>118</v>
      </c>
      <c r="AB41" s="37">
        <v>31</v>
      </c>
      <c r="AC41" s="110">
        <f t="shared" si="4"/>
        <v>0.31</v>
      </c>
      <c r="AD41" s="203">
        <v>0.67500000000000004</v>
      </c>
      <c r="AE41" s="37">
        <v>177</v>
      </c>
      <c r="AF41" s="37">
        <v>160</v>
      </c>
      <c r="AG41" s="203">
        <v>0.68611111111111112</v>
      </c>
      <c r="AH41" s="37">
        <v>431</v>
      </c>
      <c r="AI41" s="37">
        <v>392</v>
      </c>
      <c r="AJ41" s="203">
        <v>0.69722222222222219</v>
      </c>
      <c r="AK41" s="37">
        <v>366</v>
      </c>
      <c r="AL41" s="37">
        <v>368</v>
      </c>
      <c r="AM41" s="203">
        <v>0.71736111111111112</v>
      </c>
      <c r="AN41" s="37">
        <v>240</v>
      </c>
      <c r="AO41" s="37">
        <v>253</v>
      </c>
      <c r="AP41" s="203">
        <v>0.73750000000000004</v>
      </c>
      <c r="AQ41" s="37">
        <v>201</v>
      </c>
      <c r="AR41" s="37">
        <v>219</v>
      </c>
      <c r="AS41" s="203">
        <v>0.7583333333333333</v>
      </c>
      <c r="AT41" s="37">
        <v>173</v>
      </c>
      <c r="AU41" s="37">
        <v>177</v>
      </c>
    </row>
    <row r="42" spans="2:47" ht="13.2">
      <c r="B42" s="6" t="s">
        <v>410</v>
      </c>
      <c r="C42" s="6">
        <v>0</v>
      </c>
      <c r="D42">
        <f>AVERAGE(AE17,AF17,AE30,AF30,AE34,AF34,AE42,192, 183)</f>
        <v>210.33333333333334</v>
      </c>
      <c r="AA42" s="37" t="s">
        <v>128</v>
      </c>
      <c r="AB42" s="37">
        <v>47</v>
      </c>
      <c r="AC42" s="110">
        <f t="shared" si="4"/>
        <v>0.47</v>
      </c>
      <c r="AD42" s="203">
        <v>0.67569444444444449</v>
      </c>
      <c r="AE42" s="37">
        <v>283</v>
      </c>
      <c r="AF42" s="37" t="s">
        <v>413</v>
      </c>
      <c r="AG42" s="203">
        <v>0.68680555555555556</v>
      </c>
      <c r="AH42" s="37">
        <v>385</v>
      </c>
      <c r="AI42" s="37">
        <v>381</v>
      </c>
      <c r="AJ42" s="203">
        <v>0.69791666666666663</v>
      </c>
      <c r="AK42" s="37">
        <v>368</v>
      </c>
      <c r="AL42" s="37">
        <v>362</v>
      </c>
      <c r="AM42" s="203">
        <v>0.71805555555555556</v>
      </c>
      <c r="AN42" s="37">
        <v>283</v>
      </c>
      <c r="AO42" s="37">
        <v>286</v>
      </c>
      <c r="AP42" s="203">
        <v>0.73819444444444449</v>
      </c>
      <c r="AQ42" s="37">
        <v>254</v>
      </c>
      <c r="AR42" s="37">
        <v>275</v>
      </c>
      <c r="AS42" s="203">
        <v>0.75902777777777775</v>
      </c>
      <c r="AT42" s="37">
        <v>230</v>
      </c>
      <c r="AU42" s="37">
        <v>236</v>
      </c>
    </row>
    <row r="43" spans="2:47" ht="13.2">
      <c r="C43" s="6">
        <v>20</v>
      </c>
      <c r="D43">
        <f>AVERAGE(AH17,AI17,AH42,AI42,AH30,AI30,AH34,AI34)</f>
        <v>356.625</v>
      </c>
      <c r="AA43" s="37" t="s">
        <v>83</v>
      </c>
      <c r="AB43" s="37">
        <v>42.4</v>
      </c>
      <c r="AC43" s="110">
        <f t="shared" si="4"/>
        <v>0.42399999999999999</v>
      </c>
      <c r="AD43" s="203">
        <v>0.67638888888888893</v>
      </c>
      <c r="AE43" s="37">
        <v>267</v>
      </c>
      <c r="AF43" s="37">
        <v>202</v>
      </c>
      <c r="AG43" s="203">
        <v>0.6875</v>
      </c>
      <c r="AH43" s="37">
        <v>359</v>
      </c>
      <c r="AI43" s="37">
        <v>326</v>
      </c>
      <c r="AJ43" s="203">
        <v>0.69861111111111107</v>
      </c>
      <c r="AK43" s="37">
        <v>407</v>
      </c>
      <c r="AL43" s="37">
        <v>419</v>
      </c>
      <c r="AM43" s="203">
        <v>0.71875</v>
      </c>
      <c r="AN43" s="37">
        <v>252</v>
      </c>
      <c r="AO43" s="37">
        <v>357</v>
      </c>
      <c r="AP43" s="203">
        <v>0.73888888888888893</v>
      </c>
      <c r="AQ43" s="37">
        <v>254</v>
      </c>
      <c r="AR43" s="37">
        <v>273</v>
      </c>
      <c r="AS43" s="203">
        <v>0.75972222222222219</v>
      </c>
      <c r="AT43" s="37">
        <v>225</v>
      </c>
      <c r="AU43" s="37">
        <v>236</v>
      </c>
    </row>
    <row r="44" spans="2:47" ht="13.2">
      <c r="C44" s="6">
        <v>40</v>
      </c>
      <c r="D44">
        <f>AVERAGE(AK17,AK30,AL30,AK34,AL34,AK42,AL42)</f>
        <v>371.57142857142856</v>
      </c>
      <c r="AA44" s="37" t="s">
        <v>89</v>
      </c>
      <c r="AB44" s="37">
        <v>20.9</v>
      </c>
      <c r="AC44" s="110">
        <f t="shared" si="4"/>
        <v>0.20899999999999999</v>
      </c>
      <c r="AD44" s="203">
        <v>0.67708333333333337</v>
      </c>
      <c r="AE44" s="37">
        <v>150</v>
      </c>
      <c r="AF44" s="37">
        <v>136</v>
      </c>
      <c r="AG44" s="203">
        <v>0.68819444444444444</v>
      </c>
      <c r="AH44" s="37">
        <v>350</v>
      </c>
      <c r="AI44" s="37">
        <v>363</v>
      </c>
      <c r="AJ44" s="203">
        <v>0.69930555555555551</v>
      </c>
      <c r="AK44" s="37">
        <v>203</v>
      </c>
      <c r="AL44" s="37">
        <v>193</v>
      </c>
      <c r="AM44" s="203">
        <v>0.71944444444444444</v>
      </c>
      <c r="AN44" s="37">
        <v>175</v>
      </c>
      <c r="AO44" s="49"/>
      <c r="AP44" s="203">
        <v>0.73958333333333337</v>
      </c>
      <c r="AQ44" s="37">
        <v>155</v>
      </c>
      <c r="AR44" s="49"/>
      <c r="AS44" s="203">
        <v>0.76041666666666663</v>
      </c>
      <c r="AT44" s="37">
        <v>130</v>
      </c>
      <c r="AU44" s="37">
        <v>135</v>
      </c>
    </row>
    <row r="45" spans="2:47" ht="13.2">
      <c r="C45" s="6">
        <v>60</v>
      </c>
      <c r="D45">
        <f>AVERAGE(AN17,AO17,AN30,AO30,AN42,AO42,AN34,261,335)</f>
        <v>273</v>
      </c>
    </row>
    <row r="46" spans="2:47" ht="13.2">
      <c r="C46" s="6">
        <v>90</v>
      </c>
      <c r="D46">
        <f>AVERAGE(AQ17,AR17,AQ30,AR30,AQ38,AR38,AQ42,AR42)</f>
        <v>267.375</v>
      </c>
    </row>
    <row r="47" spans="2:47" ht="13.2">
      <c r="C47" s="6">
        <v>120</v>
      </c>
      <c r="D47">
        <f>AVERAGE(AT17,AU17,AT30,AU30,AT34,AU34,AT38,AU38,AT42,AU42)</f>
        <v>236.6</v>
      </c>
    </row>
    <row r="48" spans="2:47" ht="26.4">
      <c r="Z48" s="198">
        <v>43083</v>
      </c>
      <c r="AA48" s="160"/>
      <c r="AB48" s="49"/>
      <c r="AC48" s="37" t="s">
        <v>386</v>
      </c>
      <c r="AD48" s="49"/>
      <c r="AE48" s="37" t="s">
        <v>358</v>
      </c>
      <c r="AF48" s="37" t="s">
        <v>358</v>
      </c>
      <c r="AG48" s="49"/>
      <c r="AH48" s="37" t="s">
        <v>358</v>
      </c>
      <c r="AI48" s="37" t="s">
        <v>358</v>
      </c>
      <c r="AJ48" s="37"/>
      <c r="AK48" s="37" t="s">
        <v>358</v>
      </c>
      <c r="AL48" s="37" t="s">
        <v>358</v>
      </c>
      <c r="AM48" s="37"/>
      <c r="AN48" s="37" t="s">
        <v>358</v>
      </c>
      <c r="AO48" s="37" t="s">
        <v>358</v>
      </c>
      <c r="AP48" s="37"/>
      <c r="AQ48" s="37" t="s">
        <v>358</v>
      </c>
      <c r="AR48" s="37" t="s">
        <v>358</v>
      </c>
      <c r="AS48" s="37"/>
      <c r="AT48" s="37" t="s">
        <v>358</v>
      </c>
      <c r="AU48" s="37" t="s">
        <v>358</v>
      </c>
    </row>
    <row r="49" spans="2:47" ht="26.4">
      <c r="AA49" s="214" t="s">
        <v>377</v>
      </c>
      <c r="AB49" s="214" t="s">
        <v>382</v>
      </c>
      <c r="AC49" s="214" t="s">
        <v>387</v>
      </c>
      <c r="AD49" s="214" t="s">
        <v>390</v>
      </c>
      <c r="AE49" s="214" t="s">
        <v>391</v>
      </c>
      <c r="AF49" s="214" t="s">
        <v>391</v>
      </c>
      <c r="AG49" s="214" t="s">
        <v>390</v>
      </c>
      <c r="AH49" s="214" t="s">
        <v>393</v>
      </c>
      <c r="AI49" s="214" t="s">
        <v>393</v>
      </c>
      <c r="AJ49" s="214" t="s">
        <v>390</v>
      </c>
      <c r="AK49" s="214" t="s">
        <v>394</v>
      </c>
      <c r="AL49" s="214" t="s">
        <v>394</v>
      </c>
      <c r="AM49" s="214" t="s">
        <v>390</v>
      </c>
      <c r="AN49" s="214" t="s">
        <v>395</v>
      </c>
      <c r="AO49" s="214" t="s">
        <v>395</v>
      </c>
      <c r="AP49" s="214" t="s">
        <v>390</v>
      </c>
      <c r="AQ49" s="214" t="s">
        <v>396</v>
      </c>
      <c r="AR49" s="214" t="s">
        <v>396</v>
      </c>
      <c r="AS49" s="214" t="s">
        <v>390</v>
      </c>
      <c r="AT49" s="214" t="s">
        <v>397</v>
      </c>
      <c r="AU49" s="215" t="s">
        <v>397</v>
      </c>
    </row>
    <row r="50" spans="2:47" ht="39.6">
      <c r="B50" s="6" t="s">
        <v>414</v>
      </c>
      <c r="D50" s="68" t="s">
        <v>335</v>
      </c>
      <c r="AA50" s="216" t="s">
        <v>415</v>
      </c>
      <c r="AB50" s="37">
        <v>48.3</v>
      </c>
      <c r="AC50" s="49">
        <f t="shared" ref="AC50:AC65" si="5">AB50*0.01</f>
        <v>0.48299999999999998</v>
      </c>
      <c r="AD50" s="203">
        <v>0.66666666666666663</v>
      </c>
      <c r="AE50" s="37">
        <v>219</v>
      </c>
      <c r="AF50" s="37">
        <v>186</v>
      </c>
      <c r="AG50" s="203">
        <v>0.67777777777777781</v>
      </c>
      <c r="AH50" s="37">
        <v>448</v>
      </c>
      <c r="AI50" s="37">
        <v>441</v>
      </c>
      <c r="AJ50" s="203">
        <v>0.68888888888888888</v>
      </c>
      <c r="AK50" s="37">
        <v>467</v>
      </c>
      <c r="AL50" s="37">
        <v>448</v>
      </c>
      <c r="AM50" s="203">
        <v>0.70833333333333337</v>
      </c>
      <c r="AN50" s="37">
        <v>395</v>
      </c>
      <c r="AO50" s="37">
        <v>406</v>
      </c>
      <c r="AP50" s="203">
        <v>0.72916666666666663</v>
      </c>
      <c r="AQ50" s="37">
        <v>352</v>
      </c>
      <c r="AR50" s="37">
        <v>362</v>
      </c>
      <c r="AS50" s="203">
        <v>0.75</v>
      </c>
      <c r="AT50" s="37">
        <v>296</v>
      </c>
      <c r="AU50" s="37">
        <v>317</v>
      </c>
    </row>
    <row r="51" spans="2:47" ht="13.2">
      <c r="B51" s="6" t="s">
        <v>416</v>
      </c>
      <c r="C51" s="6">
        <v>0</v>
      </c>
      <c r="D51">
        <f>AVERAGE(AE51,AF51,AE55,AF55,AE59,AF59,AE63,AF63,AE38,AF38)</f>
        <v>221.2</v>
      </c>
      <c r="AA51" s="199" t="s">
        <v>123</v>
      </c>
      <c r="AB51" s="37">
        <v>49.1</v>
      </c>
      <c r="AC51" s="49">
        <f t="shared" si="5"/>
        <v>0.49100000000000005</v>
      </c>
      <c r="AD51" s="203">
        <v>0.66736111111111107</v>
      </c>
      <c r="AE51" s="37">
        <v>187</v>
      </c>
      <c r="AF51" s="37">
        <v>206</v>
      </c>
      <c r="AG51" s="203">
        <v>0.67847222222222225</v>
      </c>
      <c r="AH51" s="37">
        <v>452</v>
      </c>
      <c r="AI51" s="37">
        <v>376</v>
      </c>
      <c r="AJ51" s="203">
        <v>0.68958333333333333</v>
      </c>
      <c r="AK51" s="37">
        <v>378</v>
      </c>
      <c r="AL51" s="37">
        <v>371</v>
      </c>
      <c r="AM51" s="203">
        <v>0.70902777777777781</v>
      </c>
      <c r="AN51" s="37">
        <v>358</v>
      </c>
      <c r="AO51" s="37">
        <v>298</v>
      </c>
      <c r="AP51" s="203">
        <v>0.72986111111111107</v>
      </c>
      <c r="AQ51" s="37">
        <v>356</v>
      </c>
      <c r="AR51" s="37">
        <v>324</v>
      </c>
      <c r="AS51" s="203">
        <v>0.75069444444444444</v>
      </c>
      <c r="AT51" s="37">
        <v>232</v>
      </c>
      <c r="AU51" s="37">
        <v>218</v>
      </c>
    </row>
    <row r="52" spans="2:47" ht="13.2">
      <c r="C52" s="6">
        <v>20</v>
      </c>
      <c r="D52">
        <f>AVERAGE(AH51,AI51,AH55,AI55,AH59,AI59,AH63,AI63,AH38,AI38)</f>
        <v>449.6</v>
      </c>
      <c r="AA52" s="210" t="s">
        <v>20</v>
      </c>
      <c r="AB52" s="37">
        <v>51.5</v>
      </c>
      <c r="AC52" s="49">
        <f t="shared" si="5"/>
        <v>0.51500000000000001</v>
      </c>
      <c r="AD52" s="203">
        <v>0.66805555555555551</v>
      </c>
      <c r="AE52" s="37">
        <v>231</v>
      </c>
      <c r="AF52" s="37">
        <v>219</v>
      </c>
      <c r="AG52" s="203">
        <v>0.6791666666666667</v>
      </c>
      <c r="AH52" s="37">
        <v>475</v>
      </c>
      <c r="AI52" s="37">
        <v>497</v>
      </c>
      <c r="AJ52" s="203">
        <v>0.69027777777777777</v>
      </c>
      <c r="AK52" s="37">
        <v>498</v>
      </c>
      <c r="AL52" s="37">
        <v>504</v>
      </c>
      <c r="AM52" s="203">
        <v>0.70972222222222225</v>
      </c>
      <c r="AN52" s="37">
        <v>471</v>
      </c>
      <c r="AO52" s="49"/>
      <c r="AP52" s="203">
        <v>0.73055555555555551</v>
      </c>
      <c r="AQ52" s="37">
        <v>463</v>
      </c>
      <c r="AR52" s="37">
        <v>473</v>
      </c>
      <c r="AS52" s="203">
        <v>0.75138888888888888</v>
      </c>
      <c r="AT52" s="37">
        <v>423</v>
      </c>
      <c r="AU52" s="37">
        <v>428</v>
      </c>
    </row>
    <row r="53" spans="2:47" ht="13.2">
      <c r="C53" s="6">
        <v>40</v>
      </c>
      <c r="D53">
        <f>AVERAGE(AK51,AL51,AK55,AL55,AK59,AL59,AK63,AL63,AK38,AL38)</f>
        <v>468</v>
      </c>
      <c r="AA53" s="207" t="s">
        <v>41</v>
      </c>
      <c r="AB53" s="37">
        <v>27</v>
      </c>
      <c r="AC53" s="49">
        <f t="shared" si="5"/>
        <v>0.27</v>
      </c>
      <c r="AD53" s="203">
        <v>0.66874999999999996</v>
      </c>
      <c r="AE53" s="37">
        <v>130</v>
      </c>
      <c r="AF53" s="37">
        <v>131</v>
      </c>
      <c r="AG53" s="203">
        <v>0.67986111111111114</v>
      </c>
      <c r="AH53" s="37">
        <v>280</v>
      </c>
      <c r="AI53" s="37">
        <v>284</v>
      </c>
      <c r="AJ53" s="203">
        <v>0.69097222222222221</v>
      </c>
      <c r="AK53" s="37">
        <v>173</v>
      </c>
      <c r="AL53" s="37">
        <v>175</v>
      </c>
      <c r="AM53" s="203">
        <v>0.7104166666666667</v>
      </c>
      <c r="AN53" s="37">
        <v>183</v>
      </c>
      <c r="AO53" s="37">
        <v>187</v>
      </c>
      <c r="AP53" s="203">
        <v>0.73124999999999996</v>
      </c>
      <c r="AQ53" s="37">
        <v>154</v>
      </c>
      <c r="AR53" s="49"/>
      <c r="AS53" s="203">
        <v>0.75208333333333333</v>
      </c>
      <c r="AT53" s="37">
        <v>141</v>
      </c>
      <c r="AU53" s="49"/>
    </row>
    <row r="54" spans="2:47" ht="13.2">
      <c r="C54" s="6">
        <v>60</v>
      </c>
      <c r="D54">
        <f>AVERAGE(AN51,AO51,AN55,AO55,AN59,AO59,AN63,AO63,AN38,AO38)</f>
        <v>475.8</v>
      </c>
      <c r="AA54" s="216" t="s">
        <v>115</v>
      </c>
      <c r="AB54" s="37">
        <v>50</v>
      </c>
      <c r="AC54" s="49">
        <f t="shared" si="5"/>
        <v>0.5</v>
      </c>
      <c r="AD54" s="203">
        <v>0.6694444444444444</v>
      </c>
      <c r="AE54" s="37">
        <v>227</v>
      </c>
      <c r="AF54" s="37">
        <v>203</v>
      </c>
      <c r="AG54" s="203">
        <v>0.68055555555555558</v>
      </c>
      <c r="AH54" s="37">
        <v>437</v>
      </c>
      <c r="AI54" s="37">
        <v>455</v>
      </c>
      <c r="AJ54" s="203">
        <v>0.69166666666666665</v>
      </c>
      <c r="AK54" s="37">
        <v>360</v>
      </c>
      <c r="AL54" s="37">
        <v>358</v>
      </c>
      <c r="AM54" s="203">
        <v>0.71111111111111114</v>
      </c>
      <c r="AN54" s="37">
        <v>312</v>
      </c>
      <c r="AO54" s="37">
        <v>318</v>
      </c>
      <c r="AP54" s="203">
        <v>0.7319444444444444</v>
      </c>
      <c r="AQ54" s="37">
        <v>307</v>
      </c>
      <c r="AR54" s="37">
        <v>286</v>
      </c>
      <c r="AS54" s="203">
        <v>0.75277777777777777</v>
      </c>
      <c r="AT54" s="37">
        <v>277</v>
      </c>
      <c r="AU54" s="49"/>
    </row>
    <row r="55" spans="2:47" ht="13.2">
      <c r="C55" s="6">
        <v>90</v>
      </c>
      <c r="D55">
        <f>AVERAGE(AQ38,AR38,AQ51,AR51,AQ55,525,494,AQ60,AR60,AQ63,AR63)</f>
        <v>428.90909090909093</v>
      </c>
      <c r="AA55" s="199" t="s">
        <v>125</v>
      </c>
      <c r="AB55" s="37">
        <v>51</v>
      </c>
      <c r="AC55" s="49">
        <f t="shared" si="5"/>
        <v>0.51</v>
      </c>
      <c r="AD55" s="203">
        <v>0.67013888888888884</v>
      </c>
      <c r="AE55" s="37">
        <v>278</v>
      </c>
      <c r="AF55" s="37">
        <v>251</v>
      </c>
      <c r="AG55" s="203">
        <v>0.68125000000000002</v>
      </c>
      <c r="AH55" s="37">
        <v>533</v>
      </c>
      <c r="AI55" s="37">
        <v>463</v>
      </c>
      <c r="AJ55" s="203">
        <v>0.69236111111111109</v>
      </c>
      <c r="AK55" s="37">
        <v>585</v>
      </c>
      <c r="AL55" s="37">
        <v>522</v>
      </c>
      <c r="AM55" s="203">
        <v>0.71180555555555558</v>
      </c>
      <c r="AN55" s="37">
        <v>593</v>
      </c>
      <c r="AO55" s="37">
        <v>578</v>
      </c>
      <c r="AP55" s="203">
        <v>0.73263888888888884</v>
      </c>
      <c r="AQ55" s="37">
        <v>598</v>
      </c>
      <c r="AR55" s="37" t="s">
        <v>419</v>
      </c>
      <c r="AS55" s="203">
        <v>0.75347222222222221</v>
      </c>
      <c r="AT55" s="37">
        <v>510</v>
      </c>
      <c r="AU55" s="37">
        <v>472</v>
      </c>
    </row>
    <row r="56" spans="2:47" ht="13.2">
      <c r="C56" s="6">
        <v>120</v>
      </c>
      <c r="D56">
        <f>AVERAGE(AT63,AU63,AT59,AU59,AT55,AU55,AT51,AU51,AT38,AU38)</f>
        <v>357.8</v>
      </c>
      <c r="AA56" s="210" t="s">
        <v>29</v>
      </c>
      <c r="AB56" s="37">
        <v>36.200000000000003</v>
      </c>
      <c r="AC56" s="49">
        <f t="shared" si="5"/>
        <v>0.36200000000000004</v>
      </c>
      <c r="AD56" s="203">
        <v>0.67083333333333328</v>
      </c>
      <c r="AE56" s="37">
        <v>187</v>
      </c>
      <c r="AF56" s="49"/>
      <c r="AG56" s="203">
        <v>0.68194444444444446</v>
      </c>
      <c r="AH56" s="37">
        <v>511</v>
      </c>
      <c r="AI56" s="37">
        <v>363</v>
      </c>
      <c r="AJ56" s="203">
        <v>0.69305555555555554</v>
      </c>
      <c r="AK56" s="37">
        <v>444</v>
      </c>
      <c r="AL56" s="37">
        <v>471</v>
      </c>
      <c r="AM56" s="203">
        <v>0.71250000000000002</v>
      </c>
      <c r="AN56" s="37">
        <v>334</v>
      </c>
      <c r="AO56" s="37">
        <v>325</v>
      </c>
      <c r="AP56" s="203">
        <v>0.73333333333333328</v>
      </c>
      <c r="AQ56" s="37">
        <v>232</v>
      </c>
      <c r="AR56" s="49"/>
      <c r="AS56" s="203">
        <v>0.75416666666666665</v>
      </c>
      <c r="AT56" s="37">
        <v>328</v>
      </c>
      <c r="AU56" s="37">
        <v>344</v>
      </c>
    </row>
    <row r="57" spans="2:47" ht="13.2">
      <c r="AA57" s="207" t="s">
        <v>55</v>
      </c>
      <c r="AB57" s="37">
        <v>25.6</v>
      </c>
      <c r="AC57" s="49">
        <f t="shared" si="5"/>
        <v>0.25600000000000001</v>
      </c>
      <c r="AD57" s="203">
        <v>0.67152777777777772</v>
      </c>
      <c r="AE57" s="37">
        <v>151</v>
      </c>
      <c r="AF57" s="37">
        <v>168</v>
      </c>
      <c r="AG57" s="203">
        <v>0.68263888888888891</v>
      </c>
      <c r="AH57" s="37">
        <v>313</v>
      </c>
      <c r="AI57" s="37">
        <v>315</v>
      </c>
      <c r="AJ57" s="203">
        <v>0.69374999999999998</v>
      </c>
      <c r="AK57" s="37">
        <v>233</v>
      </c>
      <c r="AL57" s="37">
        <v>231</v>
      </c>
      <c r="AM57" s="203">
        <v>0.71319444444444446</v>
      </c>
      <c r="AN57" s="37">
        <v>197</v>
      </c>
      <c r="AO57" s="49"/>
      <c r="AP57" s="203">
        <v>0.73402777777777772</v>
      </c>
      <c r="AQ57" s="37">
        <v>181</v>
      </c>
      <c r="AR57" s="49"/>
      <c r="AS57" s="203">
        <v>0.75486111111111109</v>
      </c>
      <c r="AT57" s="37">
        <v>200</v>
      </c>
    </row>
    <row r="58" spans="2:47" ht="13.2">
      <c r="AA58" s="216" t="s">
        <v>117</v>
      </c>
      <c r="AB58" s="37">
        <v>49.2</v>
      </c>
      <c r="AC58" s="49">
        <f t="shared" si="5"/>
        <v>0.49200000000000005</v>
      </c>
      <c r="AD58" s="203">
        <v>0.67222222222222228</v>
      </c>
      <c r="AE58" s="37">
        <v>238</v>
      </c>
      <c r="AF58" s="37">
        <v>188</v>
      </c>
      <c r="AG58" s="203">
        <v>0.68333333333333335</v>
      </c>
      <c r="AH58" s="37">
        <v>473</v>
      </c>
      <c r="AI58" s="37" t="s">
        <v>420</v>
      </c>
      <c r="AJ58" s="203">
        <v>0.69444444444444442</v>
      </c>
      <c r="AK58" s="37">
        <v>402</v>
      </c>
      <c r="AL58" s="37">
        <v>443</v>
      </c>
      <c r="AM58" s="203">
        <v>0.71388888888888891</v>
      </c>
      <c r="AN58" s="37">
        <v>451</v>
      </c>
      <c r="AO58" s="37">
        <v>446</v>
      </c>
      <c r="AP58" s="203">
        <v>0.73472222222222228</v>
      </c>
      <c r="AQ58" s="37">
        <v>414</v>
      </c>
      <c r="AR58" s="37">
        <v>406</v>
      </c>
      <c r="AS58" s="203">
        <v>0.75555555555555554</v>
      </c>
      <c r="AT58" s="37">
        <v>354</v>
      </c>
      <c r="AU58" s="37" t="s">
        <v>421</v>
      </c>
    </row>
    <row r="59" spans="2:47" ht="13.2">
      <c r="AA59" s="199" t="s">
        <v>127</v>
      </c>
      <c r="AB59" s="37">
        <v>53.1</v>
      </c>
      <c r="AC59" s="49">
        <f t="shared" si="5"/>
        <v>0.53100000000000003</v>
      </c>
      <c r="AD59" s="203">
        <v>0.67291666666666672</v>
      </c>
      <c r="AE59" s="37">
        <v>203</v>
      </c>
      <c r="AF59" s="37">
        <v>218</v>
      </c>
      <c r="AG59" s="203">
        <v>0.68402777777777779</v>
      </c>
      <c r="AH59" s="37">
        <v>356</v>
      </c>
      <c r="AI59" s="37">
        <v>335</v>
      </c>
      <c r="AJ59" s="203">
        <v>0.69513888888888886</v>
      </c>
      <c r="AK59" s="37">
        <v>462</v>
      </c>
      <c r="AL59" s="37">
        <v>362</v>
      </c>
      <c r="AM59" s="203">
        <v>0.71458333333333335</v>
      </c>
      <c r="AN59" s="37">
        <v>483</v>
      </c>
      <c r="AO59" s="37">
        <v>495</v>
      </c>
      <c r="AP59" s="203">
        <v>0.73541666666666672</v>
      </c>
      <c r="AQ59" s="37">
        <v>525</v>
      </c>
      <c r="AR59" s="37">
        <v>458</v>
      </c>
      <c r="AS59" s="203">
        <v>0.75624999999999998</v>
      </c>
      <c r="AT59" s="37">
        <v>228</v>
      </c>
      <c r="AU59" s="37">
        <v>211</v>
      </c>
    </row>
    <row r="60" spans="2:47" ht="13.2">
      <c r="AA60" s="210" t="s">
        <v>47</v>
      </c>
      <c r="AB60" s="37">
        <v>47.6</v>
      </c>
      <c r="AC60" s="49">
        <f t="shared" si="5"/>
        <v>0.47600000000000003</v>
      </c>
      <c r="AD60" s="203">
        <v>0.67361111111111116</v>
      </c>
      <c r="AE60" s="37">
        <v>222</v>
      </c>
      <c r="AF60" s="37">
        <v>234</v>
      </c>
      <c r="AG60" s="203">
        <v>0.68472222222222223</v>
      </c>
      <c r="AH60" s="37">
        <v>393</v>
      </c>
      <c r="AI60" s="37">
        <v>450</v>
      </c>
      <c r="AJ60" s="203">
        <v>0.6958333333333333</v>
      </c>
      <c r="AK60" s="37">
        <v>408</v>
      </c>
      <c r="AL60" s="37">
        <v>416</v>
      </c>
      <c r="AM60" s="203">
        <v>0.71527777777777779</v>
      </c>
      <c r="AN60" s="37">
        <v>294</v>
      </c>
      <c r="AO60" s="37">
        <v>284</v>
      </c>
      <c r="AP60" s="203">
        <v>0.73611111111111116</v>
      </c>
      <c r="AQ60" s="37">
        <v>290</v>
      </c>
      <c r="AR60" s="37">
        <v>244</v>
      </c>
      <c r="AS60" s="203">
        <v>0.75694444444444442</v>
      </c>
      <c r="AT60" s="37">
        <v>297</v>
      </c>
      <c r="AU60" s="37">
        <v>336</v>
      </c>
    </row>
    <row r="61" spans="2:47" ht="13.2">
      <c r="AA61" s="207" t="s">
        <v>61</v>
      </c>
      <c r="AB61" s="37">
        <v>23</v>
      </c>
      <c r="AC61" s="49">
        <f t="shared" si="5"/>
        <v>0.23</v>
      </c>
      <c r="AD61" s="203">
        <v>0.6743055555555556</v>
      </c>
      <c r="AE61" s="37">
        <v>104</v>
      </c>
      <c r="AF61" s="37">
        <v>112</v>
      </c>
      <c r="AG61" s="203">
        <v>0.68541666666666667</v>
      </c>
      <c r="AH61" s="37">
        <v>288</v>
      </c>
      <c r="AI61" s="37">
        <v>292</v>
      </c>
      <c r="AJ61" s="203">
        <v>0.69652777777777775</v>
      </c>
      <c r="AK61" s="37">
        <v>229</v>
      </c>
      <c r="AL61" s="37">
        <v>230</v>
      </c>
      <c r="AM61" s="203">
        <v>0.71666666666666667</v>
      </c>
      <c r="AN61" s="37">
        <v>183</v>
      </c>
      <c r="AO61" s="49"/>
      <c r="AP61" s="203">
        <v>0.7368055555555556</v>
      </c>
      <c r="AQ61" s="37">
        <v>149</v>
      </c>
      <c r="AR61" s="49"/>
      <c r="AS61" s="203">
        <v>0.75763888888888886</v>
      </c>
      <c r="AT61" s="37">
        <v>121</v>
      </c>
    </row>
    <row r="62" spans="2:47" ht="39.6">
      <c r="B62" s="6" t="s">
        <v>422</v>
      </c>
      <c r="D62" s="68" t="s">
        <v>335</v>
      </c>
      <c r="AA62" s="216" t="s">
        <v>119</v>
      </c>
      <c r="AB62" s="37">
        <v>46.1</v>
      </c>
      <c r="AC62" s="49">
        <f t="shared" si="5"/>
        <v>0.46100000000000002</v>
      </c>
      <c r="AD62" s="203">
        <v>0.67500000000000004</v>
      </c>
      <c r="AE62" s="37">
        <v>213</v>
      </c>
      <c r="AF62" s="37">
        <v>220</v>
      </c>
      <c r="AG62" s="203">
        <v>0.68611111111111112</v>
      </c>
      <c r="AH62" s="37">
        <v>470</v>
      </c>
      <c r="AI62" s="37">
        <v>437</v>
      </c>
      <c r="AJ62" s="203">
        <v>0.69722222222222219</v>
      </c>
      <c r="AK62" s="37">
        <v>454</v>
      </c>
      <c r="AL62" s="37">
        <v>436</v>
      </c>
      <c r="AM62" s="203">
        <v>0.71736111111111112</v>
      </c>
      <c r="AN62" s="37">
        <v>355</v>
      </c>
      <c r="AO62" s="37">
        <v>383</v>
      </c>
      <c r="AP62" s="203">
        <v>0.73750000000000004</v>
      </c>
      <c r="AQ62" s="37">
        <v>354</v>
      </c>
      <c r="AR62" s="37">
        <v>370</v>
      </c>
      <c r="AS62" s="203">
        <v>0.7583333333333333</v>
      </c>
      <c r="AT62" s="37">
        <v>447</v>
      </c>
      <c r="AU62" s="37">
        <v>440</v>
      </c>
    </row>
    <row r="63" spans="2:47" ht="13.2">
      <c r="B63" s="6" t="s">
        <v>423</v>
      </c>
      <c r="C63" s="6">
        <v>0</v>
      </c>
      <c r="D63">
        <f>AVERAGE(AE50,AF50,AE54,AF54,AE58,AF58,AE62,AF62,AE29,AF29)</f>
        <v>226.9</v>
      </c>
      <c r="AA63" s="199" t="s">
        <v>129</v>
      </c>
      <c r="AB63" s="37">
        <v>52.4</v>
      </c>
      <c r="AC63" s="49">
        <f t="shared" si="5"/>
        <v>0.52400000000000002</v>
      </c>
      <c r="AD63" s="203">
        <v>0.67569444444444449</v>
      </c>
      <c r="AE63" s="37">
        <v>237</v>
      </c>
      <c r="AF63" s="37">
        <v>190</v>
      </c>
      <c r="AG63" s="203">
        <v>0.68680555555555556</v>
      </c>
      <c r="AH63" s="37">
        <v>507</v>
      </c>
      <c r="AI63" s="37">
        <v>472</v>
      </c>
      <c r="AJ63" s="203">
        <v>0.69791666666666663</v>
      </c>
      <c r="AK63" s="37">
        <v>546</v>
      </c>
      <c r="AL63" s="37">
        <v>521</v>
      </c>
      <c r="AM63" s="203">
        <v>0.71805555555555556</v>
      </c>
      <c r="AN63" s="37">
        <v>504</v>
      </c>
      <c r="AO63" s="37">
        <v>527</v>
      </c>
      <c r="AP63" s="203">
        <v>0.73819444444444449</v>
      </c>
      <c r="AQ63" s="37">
        <v>502</v>
      </c>
      <c r="AR63" s="37">
        <v>550</v>
      </c>
      <c r="AS63" s="203">
        <v>0.75902777777777775</v>
      </c>
      <c r="AT63" s="37">
        <v>502</v>
      </c>
      <c r="AU63" s="37">
        <v>500</v>
      </c>
    </row>
    <row r="64" spans="2:47" ht="13.2">
      <c r="C64" s="6">
        <v>20</v>
      </c>
      <c r="D64">
        <f>AVERAGE(337,336,AH50,AI50,AH54,AI54,AH58,370,458,AH62,AI62)</f>
        <v>423.81818181818181</v>
      </c>
      <c r="AA64" s="210" t="s">
        <v>58</v>
      </c>
      <c r="AB64" s="37">
        <v>51.6</v>
      </c>
      <c r="AC64" s="49">
        <f t="shared" si="5"/>
        <v>0.51600000000000001</v>
      </c>
      <c r="AD64" s="203">
        <v>0.67638888888888893</v>
      </c>
      <c r="AE64" s="37">
        <v>227</v>
      </c>
      <c r="AF64" s="37">
        <v>212</v>
      </c>
      <c r="AG64" s="203">
        <v>0.6875</v>
      </c>
      <c r="AH64" s="37">
        <v>438</v>
      </c>
      <c r="AI64" s="37">
        <v>424</v>
      </c>
      <c r="AJ64" s="203">
        <v>0.69861111111111107</v>
      </c>
      <c r="AK64" s="37">
        <v>529</v>
      </c>
      <c r="AL64" s="37">
        <v>503</v>
      </c>
      <c r="AM64" s="203">
        <v>0.71875</v>
      </c>
      <c r="AN64" s="37">
        <v>505</v>
      </c>
      <c r="AO64" s="49"/>
      <c r="AP64" s="203">
        <v>0.73888888888888893</v>
      </c>
      <c r="AQ64" s="37">
        <v>526</v>
      </c>
      <c r="AR64" s="37">
        <v>545</v>
      </c>
      <c r="AS64" s="203">
        <v>0.75972222222222219</v>
      </c>
      <c r="AT64" s="37">
        <v>471</v>
      </c>
      <c r="AU64" s="37">
        <v>496</v>
      </c>
    </row>
    <row r="65" spans="2:47" ht="13.2">
      <c r="C65" s="6">
        <v>40</v>
      </c>
      <c r="D65">
        <f>AVERAGE(AK29,AL29,AK50,AL50,AK54,AL54,AK58,AL58,AK62,AL62)</f>
        <v>435</v>
      </c>
      <c r="AA65" s="207" t="s">
        <v>69</v>
      </c>
      <c r="AB65" s="37">
        <v>23.3</v>
      </c>
      <c r="AC65" s="49">
        <f t="shared" si="5"/>
        <v>0.23300000000000001</v>
      </c>
      <c r="AD65" s="203">
        <v>0.67708333333333337</v>
      </c>
      <c r="AE65" s="37">
        <v>149</v>
      </c>
      <c r="AF65" s="37">
        <v>148</v>
      </c>
      <c r="AG65" s="203">
        <v>0.68819444444444444</v>
      </c>
      <c r="AH65" s="37">
        <v>262</v>
      </c>
      <c r="AI65" s="37">
        <v>258</v>
      </c>
      <c r="AJ65" s="203">
        <v>0.69930555555555551</v>
      </c>
      <c r="AK65" s="37">
        <v>178</v>
      </c>
      <c r="AL65" s="37">
        <v>173</v>
      </c>
      <c r="AM65" s="203">
        <v>0.71944444444444444</v>
      </c>
      <c r="AN65" s="37">
        <v>98</v>
      </c>
      <c r="AO65" s="49"/>
      <c r="AP65" s="203">
        <v>0.73958333333333337</v>
      </c>
      <c r="AQ65" s="37">
        <v>160</v>
      </c>
      <c r="AR65" s="49"/>
      <c r="AS65" s="203">
        <v>0.76041666666666663</v>
      </c>
      <c r="AT65" s="37">
        <v>163</v>
      </c>
      <c r="AU65" s="49"/>
    </row>
    <row r="66" spans="2:47" ht="13.2">
      <c r="C66" s="6">
        <v>60</v>
      </c>
      <c r="D66">
        <f>AVERAGE(AN29,AO29,AN50,AO50,AN54,AO54,AN58,AO58,AN62,AO62)</f>
        <v>398.7</v>
      </c>
    </row>
    <row r="67" spans="2:47" ht="13.2">
      <c r="C67" s="6">
        <v>90</v>
      </c>
      <c r="D67">
        <f>AVERAGE(AQ29,AR29,AQ50,AR50,AQ54,AR54,AQ58,AR58,AQ62,AR62)</f>
        <v>365.9</v>
      </c>
    </row>
    <row r="68" spans="2:47" ht="13.2">
      <c r="C68" s="6">
        <v>120</v>
      </c>
      <c r="D68">
        <f>AVERAGE(AT29,AU29,AT50,AU50,AT54,AT58,430,517,AT62,AU62)</f>
        <v>378.1</v>
      </c>
    </row>
    <row r="72" spans="2:47" ht="39.6">
      <c r="B72" s="6" t="s">
        <v>426</v>
      </c>
      <c r="D72" s="68" t="s">
        <v>335</v>
      </c>
    </row>
    <row r="73" spans="2:47" ht="13.2">
      <c r="B73" s="6" t="s">
        <v>427</v>
      </c>
      <c r="C73" s="6">
        <v>0</v>
      </c>
      <c r="D73">
        <f>AVERAGE(AE33,AF33,AE37,AF37,AE41,AF41,AE16,AF16,AE20,AF20)</f>
        <v>183.2</v>
      </c>
    </row>
    <row r="74" spans="2:47" ht="13.2">
      <c r="C74" s="6">
        <v>20</v>
      </c>
      <c r="D74">
        <f>AVERAGE(AH17,AI17,AH20,AI20,AH33,AI33,AH37,AI37,AH41,AI41,)</f>
        <v>326</v>
      </c>
    </row>
    <row r="75" spans="2:47" ht="13.2">
      <c r="C75" s="6">
        <v>40</v>
      </c>
      <c r="D75">
        <f>AVERAGE(AK33,AL33,AK37,AL37,AK41,AL41,AK16,AL16,AK20,AL20)</f>
        <v>318.2</v>
      </c>
    </row>
    <row r="76" spans="2:47" ht="13.2">
      <c r="C76" s="6">
        <v>60</v>
      </c>
      <c r="D76">
        <f>AVERAGE(AN16,AO16,AN20,AO20,AN33,AO33,AN37,AO37,AN41,AO41)</f>
        <v>239.5</v>
      </c>
    </row>
    <row r="77" spans="2:47" ht="13.2">
      <c r="C77" s="6">
        <v>90</v>
      </c>
      <c r="D77">
        <f>AVERAGE(AQ33,AR33,AQ37,AR37,AQ41,AR41,AQ16,AR16,AQ20,AR20)</f>
        <v>218.7</v>
      </c>
    </row>
    <row r="78" spans="2:47" ht="13.2">
      <c r="C78" s="6">
        <v>120</v>
      </c>
      <c r="D78">
        <f>AVERAGE(AT16,AU16,AT20,AU20,AT33,AU33,AT37,AU37,AT41,AU41)</f>
        <v>193.4</v>
      </c>
    </row>
    <row r="82" spans="1:5" ht="13.2">
      <c r="A82" s="6"/>
      <c r="B82" s="68"/>
      <c r="C82" s="6"/>
      <c r="D82" s="68"/>
    </row>
    <row r="83" spans="1:5" ht="13.2">
      <c r="B83" s="36"/>
      <c r="C83" s="6"/>
      <c r="D83" s="36"/>
    </row>
    <row r="84" spans="1:5" ht="13.2">
      <c r="B84" s="36"/>
      <c r="D84" s="36"/>
    </row>
    <row r="85" spans="1:5" ht="13.2">
      <c r="B85" s="36"/>
      <c r="D85" s="36"/>
    </row>
    <row r="86" spans="1:5" ht="13.2">
      <c r="B86" s="36"/>
      <c r="D86" s="36"/>
    </row>
    <row r="87" spans="1:5" ht="13.2">
      <c r="B87" s="36"/>
      <c r="D87" s="36"/>
    </row>
    <row r="88" spans="1:5" ht="13.2">
      <c r="B88" s="36"/>
      <c r="D88" s="36"/>
    </row>
    <row r="91" spans="1:5" ht="13.2">
      <c r="A91" s="6"/>
      <c r="B91" s="68"/>
      <c r="C91" s="6"/>
      <c r="D91" s="68"/>
    </row>
    <row r="92" spans="1:5" ht="13.2">
      <c r="B92" s="36"/>
      <c r="C92" s="6"/>
      <c r="D92" s="36"/>
    </row>
    <row r="93" spans="1:5" ht="13.2">
      <c r="B93" s="36"/>
      <c r="D93" s="36"/>
    </row>
    <row r="94" spans="1:5" ht="13.2">
      <c r="B94" s="36"/>
      <c r="D94" s="36"/>
    </row>
    <row r="95" spans="1:5" ht="13.2">
      <c r="B95" s="36"/>
      <c r="D95" s="36"/>
      <c r="E95" s="6"/>
    </row>
    <row r="96" spans="1:5" ht="13.2">
      <c r="B96" s="36"/>
      <c r="D96" s="36"/>
    </row>
    <row r="97" spans="1:14" ht="13.2">
      <c r="B97" s="36"/>
      <c r="D97" s="36"/>
    </row>
    <row r="100" spans="1:14" ht="13.2">
      <c r="A100" s="6"/>
      <c r="B100" s="68"/>
      <c r="C100" s="6"/>
      <c r="D100" s="68"/>
    </row>
    <row r="101" spans="1:14" ht="13.2">
      <c r="B101" s="36"/>
      <c r="C101" s="6"/>
      <c r="D101" s="36"/>
    </row>
    <row r="102" spans="1:14" ht="13.2">
      <c r="B102" s="36"/>
      <c r="D102" s="36"/>
    </row>
    <row r="103" spans="1:14" ht="13.2">
      <c r="B103" s="36"/>
      <c r="D103" s="36"/>
    </row>
    <row r="104" spans="1:14" ht="13.2">
      <c r="B104" s="36"/>
      <c r="D104" s="36"/>
    </row>
    <row r="105" spans="1:14" ht="13.2">
      <c r="B105" s="36"/>
      <c r="D105" s="36"/>
    </row>
    <row r="106" spans="1:14" ht="13.2">
      <c r="B106" s="36"/>
      <c r="D106" s="36"/>
    </row>
    <row r="109" spans="1:14" ht="13.2">
      <c r="A109" s="6"/>
      <c r="B109" s="68"/>
      <c r="C109" s="6"/>
      <c r="D109" s="68"/>
    </row>
    <row r="110" spans="1:14" ht="13.2">
      <c r="B110" s="36"/>
      <c r="C110" s="6"/>
      <c r="D110" s="36"/>
    </row>
    <row r="111" spans="1:14" ht="13.2">
      <c r="B111" s="36"/>
      <c r="D111" s="36"/>
      <c r="N111" s="36"/>
    </row>
    <row r="112" spans="1:14" ht="13.2">
      <c r="B112" s="36"/>
      <c r="D112" s="36"/>
      <c r="N112" s="36"/>
    </row>
    <row r="113" spans="1:14" ht="13.2">
      <c r="B113" s="36"/>
      <c r="D113" s="36"/>
      <c r="N113" s="36"/>
    </row>
    <row r="114" spans="1:14" ht="13.2">
      <c r="B114" s="36"/>
      <c r="D114" s="36"/>
      <c r="M114" s="6"/>
      <c r="N114" s="68"/>
    </row>
    <row r="115" spans="1:14" ht="13.2">
      <c r="B115" s="36"/>
      <c r="D115" s="36"/>
      <c r="M115" s="6"/>
      <c r="N115" s="36"/>
    </row>
    <row r="118" spans="1:14" ht="13.2">
      <c r="A118" s="6"/>
      <c r="B118" s="68"/>
      <c r="C118" s="6"/>
      <c r="D118" s="68"/>
      <c r="M118" s="6"/>
      <c r="N118" s="68"/>
    </row>
    <row r="119" spans="1:14" ht="13.2">
      <c r="B119" s="36"/>
      <c r="C119" s="6"/>
      <c r="D119" s="36"/>
      <c r="N119" s="36"/>
    </row>
    <row r="120" spans="1:14" ht="13.2">
      <c r="B120" s="36"/>
      <c r="D120" s="36"/>
      <c r="N120" s="36"/>
    </row>
    <row r="121" spans="1:14" ht="13.2">
      <c r="B121" s="36"/>
      <c r="D121" s="36"/>
      <c r="N121" s="36"/>
    </row>
    <row r="122" spans="1:14" ht="13.2">
      <c r="B122" s="36"/>
      <c r="D122" s="36"/>
      <c r="N122" s="36"/>
    </row>
    <row r="123" spans="1:14" ht="13.2">
      <c r="B123" s="36"/>
      <c r="D123" s="36"/>
      <c r="N123" s="36"/>
    </row>
    <row r="124" spans="1:14" ht="13.2">
      <c r="B124" s="36"/>
      <c r="D124" s="36"/>
      <c r="N124" s="36"/>
    </row>
    <row r="127" spans="1:14" ht="13.2">
      <c r="A127" s="6"/>
      <c r="B127" s="68"/>
      <c r="C127" s="6"/>
      <c r="D127" s="68"/>
      <c r="M127" s="6"/>
      <c r="N127" s="68"/>
    </row>
    <row r="128" spans="1:14" ht="13.2">
      <c r="B128" s="36"/>
      <c r="C128" s="6"/>
      <c r="D128" s="36"/>
      <c r="N128" s="36"/>
    </row>
    <row r="129" spans="1:14" ht="13.2">
      <c r="B129" s="36"/>
      <c r="D129" s="36"/>
      <c r="N129" s="36"/>
    </row>
    <row r="130" spans="1:14" ht="13.2">
      <c r="B130" s="36"/>
      <c r="D130" s="36"/>
      <c r="N130" s="36"/>
    </row>
    <row r="131" spans="1:14" ht="13.2">
      <c r="B131" s="36"/>
      <c r="D131" s="36"/>
      <c r="N131" s="36"/>
    </row>
    <row r="132" spans="1:14" ht="13.2">
      <c r="B132" s="36"/>
      <c r="D132" s="36"/>
      <c r="N132" s="36"/>
    </row>
    <row r="133" spans="1:14" ht="13.2">
      <c r="B133" s="36"/>
      <c r="D133" s="36"/>
      <c r="N133" s="36"/>
    </row>
    <row r="136" spans="1:14" ht="13.2">
      <c r="A136" s="6"/>
      <c r="B136" s="68"/>
      <c r="C136" s="6"/>
      <c r="D136" s="68"/>
      <c r="M136" s="6"/>
      <c r="N136" s="68"/>
    </row>
    <row r="137" spans="1:14" ht="13.2">
      <c r="B137" s="36"/>
      <c r="C137" s="6"/>
      <c r="D137" s="36"/>
      <c r="N137" s="36"/>
    </row>
    <row r="138" spans="1:14" ht="13.2">
      <c r="B138" s="36"/>
      <c r="D138" s="36"/>
      <c r="N138" s="36"/>
    </row>
    <row r="139" spans="1:14" ht="13.2">
      <c r="B139" s="36"/>
      <c r="D139" s="36"/>
      <c r="N139" s="36"/>
    </row>
    <row r="140" spans="1:14" ht="13.2">
      <c r="B140" s="36"/>
      <c r="D140" s="36"/>
      <c r="N140" s="36"/>
    </row>
    <row r="141" spans="1:14" ht="13.2">
      <c r="B141" s="36"/>
      <c r="D141" s="36"/>
      <c r="N141" s="36"/>
    </row>
    <row r="142" spans="1:14" ht="13.2">
      <c r="B142" s="36"/>
      <c r="D142" s="36"/>
      <c r="N142" s="36"/>
    </row>
    <row r="145" spans="1:14" ht="13.2">
      <c r="A145" s="6"/>
      <c r="B145" s="68"/>
      <c r="C145" s="6"/>
      <c r="D145" s="68"/>
      <c r="M145" s="6"/>
      <c r="N145" s="68"/>
    </row>
    <row r="146" spans="1:14" ht="13.2">
      <c r="B146" s="36"/>
      <c r="C146" s="6"/>
      <c r="D146" s="36"/>
      <c r="N146" s="36"/>
    </row>
    <row r="147" spans="1:14" ht="13.2">
      <c r="B147" s="36"/>
      <c r="D147" s="36"/>
      <c r="N147" s="36"/>
    </row>
    <row r="148" spans="1:14" ht="13.2">
      <c r="B148" s="36"/>
      <c r="D148" s="36"/>
      <c r="N148" s="36"/>
    </row>
    <row r="149" spans="1:14" ht="13.2">
      <c r="B149" s="36"/>
      <c r="D149" s="36"/>
      <c r="N149" s="36"/>
    </row>
    <row r="150" spans="1:14" ht="13.2">
      <c r="B150" s="36"/>
      <c r="D150" s="36"/>
      <c r="N150" s="36"/>
    </row>
    <row r="151" spans="1:14" ht="13.2">
      <c r="B151" s="36"/>
      <c r="D151" s="36"/>
      <c r="N151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53"/>
  <sheetViews>
    <sheetView workbookViewId="0"/>
  </sheetViews>
  <sheetFormatPr defaultColWidth="14.44140625" defaultRowHeight="15.75" customHeight="1"/>
  <sheetData>
    <row r="1" spans="1:26" ht="15.75" customHeight="1">
      <c r="C1" s="198">
        <v>43085</v>
      </c>
      <c r="K1" s="6" t="s">
        <v>367</v>
      </c>
      <c r="L1" s="6" t="s">
        <v>368</v>
      </c>
      <c r="M1" s="6" t="s">
        <v>369</v>
      </c>
      <c r="N1" s="6" t="s">
        <v>370</v>
      </c>
      <c r="O1" s="6" t="s">
        <v>371</v>
      </c>
      <c r="P1" s="6" t="s">
        <v>372</v>
      </c>
      <c r="Q1" s="6" t="s">
        <v>373</v>
      </c>
      <c r="R1" s="6" t="s">
        <v>374</v>
      </c>
      <c r="S1" s="6" t="s">
        <v>375</v>
      </c>
      <c r="W1" s="6" t="s">
        <v>376</v>
      </c>
    </row>
    <row r="2" spans="1:26" ht="15.75" customHeight="1">
      <c r="A2" s="160"/>
      <c r="B2" s="37" t="s">
        <v>377</v>
      </c>
      <c r="C2" s="96" t="s">
        <v>378</v>
      </c>
      <c r="D2" s="37" t="s">
        <v>130</v>
      </c>
      <c r="E2" s="37" t="s">
        <v>90</v>
      </c>
      <c r="F2" s="199" t="s">
        <v>95</v>
      </c>
      <c r="G2" s="37" t="s">
        <v>122</v>
      </c>
      <c r="H2" s="37" t="s">
        <v>93</v>
      </c>
      <c r="I2" s="37" t="s">
        <v>98</v>
      </c>
      <c r="J2" s="153" t="s">
        <v>379</v>
      </c>
      <c r="K2" s="6">
        <f>STDEV(Z121,Z129,Z137,Z145,Z153)/SQRT(5)</f>
        <v>3051.7211946703123</v>
      </c>
      <c r="L2">
        <f>STDEV(V121,V129,V137,V145,V153)/SQRT(5)</f>
        <v>978.39217597035179</v>
      </c>
      <c r="M2">
        <f>STDEV(Z81,Z89,Z97,Z105,Z113)/SQRT(5)</f>
        <v>5519.0333392723769</v>
      </c>
      <c r="N2">
        <f>STDEV(V81,V89,V97,V105,V113)/SQRT(5)</f>
        <v>2022.7613551776196</v>
      </c>
      <c r="O2">
        <f>STDEV(Z8,Z15,Z23,Z31,Z39)/SQRT(5)</f>
        <v>1748.3017434387896</v>
      </c>
      <c r="P2">
        <f>STDEV(V8,V15,V22,V30,V39)/SQRT(5)</f>
        <v>1559.8134103154773</v>
      </c>
      <c r="Q2">
        <f>STDEV(Z48,Z57,Z65,Z73,R82)/SQRT(5)</f>
        <v>3275.9391783120759</v>
      </c>
      <c r="R2">
        <f>STDEV(V48,V57,V65,V72)/SQRT(4)</f>
        <v>2722.5276835777681</v>
      </c>
      <c r="S2" s="6" t="s">
        <v>380</v>
      </c>
      <c r="W2" s="6" t="s">
        <v>381</v>
      </c>
    </row>
    <row r="3" spans="1:26" ht="15.75" customHeight="1">
      <c r="A3" s="49"/>
      <c r="B3" s="37" t="s">
        <v>382</v>
      </c>
      <c r="C3" s="37">
        <v>38.200000000000003</v>
      </c>
      <c r="D3" s="37">
        <v>35.4</v>
      </c>
      <c r="E3" s="37">
        <v>53.2</v>
      </c>
      <c r="F3" s="199">
        <v>27.4</v>
      </c>
      <c r="G3" s="37">
        <v>37.4</v>
      </c>
      <c r="H3" s="37">
        <v>49.1</v>
      </c>
      <c r="I3" s="37">
        <v>31.4</v>
      </c>
      <c r="J3" s="153" t="s">
        <v>383</v>
      </c>
      <c r="K3">
        <f>STDEV(Z121,Z129,Z137,Z145,Z153,Z121,Z129,Z137,Z145,Z153)/SQRT(10)</f>
        <v>2034.4807964468748</v>
      </c>
      <c r="M3">
        <f>STDEV(V81,V89,V97,V105,V113,V81,V89,V97,V105,V113)/SQRT(10)</f>
        <v>1348.507570118413</v>
      </c>
      <c r="O3">
        <f>STDEV(V8,V15,V22,V30,V39,V8,V15,V22,V30,V39)/SQRT(10)</f>
        <v>1039.8756068769849</v>
      </c>
      <c r="Q3">
        <f>STDEV(V48,V57,V65,V72,V48,V57,V65,V72)/SQRT(9)</f>
        <v>1680.3805677623352</v>
      </c>
      <c r="S3" s="6">
        <v>0</v>
      </c>
      <c r="T3" s="6">
        <f>AVERAGE(C6:C7)</f>
        <v>193</v>
      </c>
      <c r="U3">
        <f t="shared" ref="U3:U7" si="0">(T3+T4)/2*(S4-S3)</f>
        <v>3895</v>
      </c>
      <c r="W3" s="6">
        <v>0</v>
      </c>
      <c r="X3" s="6">
        <f>AVERAGE(C55:C56)</f>
        <v>202.5</v>
      </c>
      <c r="Y3">
        <f t="shared" ref="Y3:Y7" si="1">(X4+X3)/2*(W4-W3)</f>
        <v>6470</v>
      </c>
    </row>
    <row r="4" spans="1:26" ht="15.75" customHeight="1">
      <c r="A4" s="37" t="s">
        <v>386</v>
      </c>
      <c r="B4" s="37" t="s">
        <v>387</v>
      </c>
      <c r="C4" s="110">
        <f t="shared" ref="C4:I4" si="2">C3/100</f>
        <v>0.38200000000000001</v>
      </c>
      <c r="D4" s="110">
        <f t="shared" si="2"/>
        <v>0.35399999999999998</v>
      </c>
      <c r="E4" s="110">
        <f t="shared" si="2"/>
        <v>0.53200000000000003</v>
      </c>
      <c r="F4" s="200">
        <f t="shared" si="2"/>
        <v>0.27399999999999997</v>
      </c>
      <c r="G4" s="110">
        <f t="shared" si="2"/>
        <v>0.374</v>
      </c>
      <c r="H4" s="110">
        <f t="shared" si="2"/>
        <v>0.49099999999999999</v>
      </c>
      <c r="I4" s="110">
        <f t="shared" si="2"/>
        <v>0.314</v>
      </c>
      <c r="J4" s="6"/>
      <c r="K4" s="197"/>
      <c r="M4" s="197"/>
      <c r="O4" s="201"/>
      <c r="S4" s="6">
        <v>20</v>
      </c>
      <c r="T4">
        <f>AVERAGE(D6:D7)</f>
        <v>196.5</v>
      </c>
      <c r="U4">
        <f t="shared" si="0"/>
        <v>4525</v>
      </c>
      <c r="W4" s="6">
        <v>20</v>
      </c>
      <c r="X4">
        <f>AVERAGE(C58:C59)</f>
        <v>444.5</v>
      </c>
      <c r="Y4">
        <f t="shared" si="1"/>
        <v>9020</v>
      </c>
    </row>
    <row r="5" spans="1:26" ht="15.75" customHeight="1">
      <c r="A5" s="49"/>
      <c r="B5" s="37" t="s">
        <v>390</v>
      </c>
      <c r="C5" s="203">
        <v>0.66666666666666663</v>
      </c>
      <c r="D5" s="203">
        <v>0.66736111111111107</v>
      </c>
      <c r="E5" s="203">
        <v>0.66805555555555551</v>
      </c>
      <c r="F5" s="204">
        <v>0.66874999999999996</v>
      </c>
      <c r="G5" s="203">
        <v>0.6694444444444444</v>
      </c>
      <c r="H5" s="203">
        <v>0.67013888888888884</v>
      </c>
      <c r="I5" s="203">
        <v>0.67083333333333328</v>
      </c>
      <c r="J5" s="6"/>
      <c r="K5" s="205"/>
      <c r="S5" s="6">
        <v>40</v>
      </c>
      <c r="T5">
        <f>AVERAGE(C12:C13)</f>
        <v>256</v>
      </c>
      <c r="U5">
        <f t="shared" si="0"/>
        <v>4750</v>
      </c>
      <c r="W5" s="6">
        <v>40</v>
      </c>
      <c r="X5">
        <f>AVERAGE(C61:C62)</f>
        <v>457.5</v>
      </c>
      <c r="Y5">
        <f t="shared" si="1"/>
        <v>8580</v>
      </c>
    </row>
    <row r="6" spans="1:26" ht="15.75" customHeight="1">
      <c r="A6" s="37" t="s">
        <v>358</v>
      </c>
      <c r="B6" s="37" t="s">
        <v>391</v>
      </c>
      <c r="C6" s="37">
        <v>185</v>
      </c>
      <c r="D6" s="37">
        <v>197</v>
      </c>
      <c r="E6" s="37">
        <v>183</v>
      </c>
      <c r="F6" s="199">
        <v>173</v>
      </c>
      <c r="G6" s="37">
        <v>186</v>
      </c>
      <c r="H6" s="37">
        <v>163</v>
      </c>
      <c r="I6" s="37">
        <v>168</v>
      </c>
      <c r="J6" s="6"/>
      <c r="K6" s="205" t="s">
        <v>398</v>
      </c>
      <c r="M6" s="205" t="s">
        <v>398</v>
      </c>
      <c r="P6" s="205" t="s">
        <v>398</v>
      </c>
      <c r="S6" s="6">
        <v>60</v>
      </c>
      <c r="T6">
        <f>AVERAGE(C15:C16)</f>
        <v>219</v>
      </c>
      <c r="U6">
        <f t="shared" si="0"/>
        <v>6112.5</v>
      </c>
      <c r="W6" s="6">
        <v>60</v>
      </c>
      <c r="X6">
        <f>AVERAGE(C64:C65)</f>
        <v>400.5</v>
      </c>
      <c r="Y6">
        <f t="shared" si="1"/>
        <v>11362.5</v>
      </c>
    </row>
    <row r="7" spans="1:26" ht="15.75" customHeight="1">
      <c r="A7" s="37" t="s">
        <v>389</v>
      </c>
      <c r="B7" s="37" t="s">
        <v>392</v>
      </c>
      <c r="C7" s="37">
        <v>201</v>
      </c>
      <c r="D7" s="37">
        <v>196</v>
      </c>
      <c r="E7" s="37">
        <v>197</v>
      </c>
      <c r="F7" s="199">
        <v>168</v>
      </c>
      <c r="G7" s="37">
        <v>166</v>
      </c>
      <c r="H7" s="37">
        <v>170</v>
      </c>
      <c r="I7" s="37">
        <v>172</v>
      </c>
      <c r="J7" s="6"/>
      <c r="S7" s="6">
        <v>90</v>
      </c>
      <c r="T7">
        <f>AVERAGE(C18:C19)</f>
        <v>188.5</v>
      </c>
      <c r="U7">
        <f t="shared" si="0"/>
        <v>5385</v>
      </c>
      <c r="W7" s="6">
        <v>90</v>
      </c>
      <c r="X7">
        <f>AVERAGE(C67:C68)</f>
        <v>357</v>
      </c>
      <c r="Y7">
        <f t="shared" si="1"/>
        <v>9952.5</v>
      </c>
    </row>
    <row r="8" spans="1:26" ht="15.75" customHeight="1">
      <c r="A8" s="49"/>
      <c r="B8" s="37" t="s">
        <v>390</v>
      </c>
      <c r="C8" s="203">
        <v>0.67777777777777781</v>
      </c>
      <c r="D8" s="203">
        <v>0.67847222222222225</v>
      </c>
      <c r="E8" s="203">
        <v>0.6791666666666667</v>
      </c>
      <c r="F8" s="204">
        <v>0.67986111111111114</v>
      </c>
      <c r="G8" s="203">
        <v>0.68055555555555558</v>
      </c>
      <c r="H8" s="203">
        <v>0.68125000000000002</v>
      </c>
      <c r="I8" s="203">
        <v>0.68194444444444446</v>
      </c>
      <c r="S8" s="6">
        <v>120</v>
      </c>
      <c r="T8">
        <f>AVERAGE(C21:C22)</f>
        <v>170.5</v>
      </c>
      <c r="V8">
        <f>SUM(U3:U7)</f>
        <v>24667.5</v>
      </c>
      <c r="W8" s="6">
        <v>120</v>
      </c>
      <c r="X8">
        <f>AVERAGE(C70:C71)</f>
        <v>306.5</v>
      </c>
      <c r="Z8">
        <f>SUM(Y3:Y7)</f>
        <v>45385</v>
      </c>
    </row>
    <row r="9" spans="1:26" ht="15.75" customHeight="1">
      <c r="A9" s="37" t="s">
        <v>358</v>
      </c>
      <c r="B9" s="37" t="s">
        <v>393</v>
      </c>
      <c r="C9" s="37">
        <v>327</v>
      </c>
      <c r="D9" s="37">
        <v>362</v>
      </c>
      <c r="E9" s="37">
        <v>532</v>
      </c>
      <c r="F9" s="199">
        <v>309</v>
      </c>
      <c r="G9" s="37">
        <v>362</v>
      </c>
      <c r="H9" s="37">
        <v>300</v>
      </c>
      <c r="I9" s="37">
        <v>188</v>
      </c>
      <c r="S9" s="6" t="s">
        <v>401</v>
      </c>
      <c r="W9" s="6" t="s">
        <v>402</v>
      </c>
    </row>
    <row r="10" spans="1:26" ht="15.75" customHeight="1">
      <c r="A10" s="37" t="s">
        <v>389</v>
      </c>
      <c r="B10" s="37" t="s">
        <v>393</v>
      </c>
      <c r="C10" s="37">
        <v>322</v>
      </c>
      <c r="D10" s="37">
        <v>283</v>
      </c>
      <c r="E10" s="37">
        <v>524</v>
      </c>
      <c r="F10" s="199">
        <v>309</v>
      </c>
      <c r="G10" s="37">
        <v>332</v>
      </c>
      <c r="H10" s="37">
        <v>286</v>
      </c>
      <c r="I10" s="37">
        <v>188</v>
      </c>
      <c r="S10" s="6">
        <v>0</v>
      </c>
      <c r="T10" s="6">
        <f>AVERAGE(O31:O32)</f>
        <v>168.5</v>
      </c>
      <c r="U10">
        <f t="shared" ref="U10:U14" si="3">(T10+T11)/2*(S11-S10)</f>
        <v>5800</v>
      </c>
      <c r="W10" s="6">
        <v>0</v>
      </c>
      <c r="X10" s="6">
        <f>AVERAGE(G55:G56)</f>
        <v>215</v>
      </c>
      <c r="Y10">
        <f t="shared" ref="Y10:Y14" si="4">(X11+X10)/2*(W11-W10)</f>
        <v>6610</v>
      </c>
    </row>
    <row r="11" spans="1:26" ht="15.75" customHeight="1">
      <c r="A11" s="37"/>
      <c r="B11" s="37" t="s">
        <v>390</v>
      </c>
      <c r="C11" s="203">
        <v>0.68888888888888888</v>
      </c>
      <c r="D11" s="203">
        <v>0.68958333333333333</v>
      </c>
      <c r="E11" s="203">
        <v>0.69027777777777777</v>
      </c>
      <c r="F11" s="204">
        <v>0.69097222222222221</v>
      </c>
      <c r="G11" s="203">
        <v>0.69166666666666665</v>
      </c>
      <c r="H11" s="203">
        <v>0.69236111111111109</v>
      </c>
      <c r="I11" s="203">
        <v>0.69305555555555554</v>
      </c>
      <c r="S11" s="6">
        <v>20</v>
      </c>
      <c r="T11">
        <f>AVERAGE(O34:O35)</f>
        <v>411.5</v>
      </c>
      <c r="U11">
        <f t="shared" si="3"/>
        <v>7785</v>
      </c>
      <c r="W11" s="6">
        <v>20</v>
      </c>
      <c r="X11">
        <f>AVERAGE(G58:G59)</f>
        <v>446</v>
      </c>
      <c r="Y11">
        <f t="shared" si="4"/>
        <v>8050</v>
      </c>
    </row>
    <row r="12" spans="1:26" ht="15.75" customHeight="1">
      <c r="A12" s="37" t="s">
        <v>358</v>
      </c>
      <c r="B12" s="37" t="s">
        <v>394</v>
      </c>
      <c r="C12" s="37">
        <v>263</v>
      </c>
      <c r="D12" s="37">
        <v>259</v>
      </c>
      <c r="E12" s="37">
        <v>451</v>
      </c>
      <c r="F12" s="199">
        <v>266</v>
      </c>
      <c r="G12" s="37">
        <v>311</v>
      </c>
      <c r="H12" s="37">
        <v>256</v>
      </c>
      <c r="I12" s="37">
        <v>213</v>
      </c>
      <c r="S12" s="6">
        <v>40</v>
      </c>
      <c r="T12">
        <f>AVERAGE(O37:O38)</f>
        <v>367</v>
      </c>
      <c r="U12">
        <f t="shared" si="3"/>
        <v>6135</v>
      </c>
      <c r="W12" s="6">
        <v>40</v>
      </c>
      <c r="X12">
        <f>AVERAGE(G61:G62)</f>
        <v>359</v>
      </c>
      <c r="Y12">
        <f t="shared" si="4"/>
        <v>6740</v>
      </c>
    </row>
    <row r="13" spans="1:26" ht="15.75" customHeight="1">
      <c r="A13" s="37" t="s">
        <v>389</v>
      </c>
      <c r="B13" s="37" t="s">
        <v>394</v>
      </c>
      <c r="C13" s="37">
        <v>249</v>
      </c>
      <c r="D13" s="49"/>
      <c r="E13" s="37">
        <v>537</v>
      </c>
      <c r="F13" s="199">
        <v>205</v>
      </c>
      <c r="G13" s="37">
        <v>280</v>
      </c>
      <c r="H13" s="37">
        <v>219</v>
      </c>
      <c r="I13" s="37">
        <v>179</v>
      </c>
      <c r="S13" s="6">
        <v>60</v>
      </c>
      <c r="T13">
        <f>AVERAGE(O40:O41)</f>
        <v>246.5</v>
      </c>
      <c r="U13">
        <f t="shared" si="3"/>
        <v>6847.5</v>
      </c>
      <c r="W13" s="6">
        <v>60</v>
      </c>
      <c r="X13">
        <f>AVERAGE(G64:G65)</f>
        <v>315</v>
      </c>
      <c r="Y13">
        <f t="shared" si="4"/>
        <v>9172.5</v>
      </c>
    </row>
    <row r="14" spans="1:26" ht="15.75" customHeight="1">
      <c r="A14" s="37"/>
      <c r="B14" s="37" t="s">
        <v>390</v>
      </c>
      <c r="C14" s="203">
        <v>0.70833333333333337</v>
      </c>
      <c r="D14" s="203">
        <v>0.70902777777777781</v>
      </c>
      <c r="E14" s="203">
        <v>0.70972222222222225</v>
      </c>
      <c r="F14" s="204">
        <v>0.7104166666666667</v>
      </c>
      <c r="G14" s="203">
        <v>0.71111111111111114</v>
      </c>
      <c r="H14" s="203">
        <v>0.71180555555555558</v>
      </c>
      <c r="I14" s="203">
        <v>0.71250000000000002</v>
      </c>
      <c r="S14" s="6">
        <v>90</v>
      </c>
      <c r="T14">
        <f>AVERAGE(O43:O44)</f>
        <v>210</v>
      </c>
      <c r="U14">
        <f t="shared" si="3"/>
        <v>5775</v>
      </c>
      <c r="W14" s="6">
        <v>90</v>
      </c>
      <c r="X14">
        <f>AVERAGE(G67:G68)</f>
        <v>296.5</v>
      </c>
      <c r="Y14">
        <f t="shared" si="4"/>
        <v>8602.5</v>
      </c>
    </row>
    <row r="15" spans="1:26" ht="15.75" customHeight="1">
      <c r="A15" s="37" t="s">
        <v>358</v>
      </c>
      <c r="B15" s="37" t="s">
        <v>395</v>
      </c>
      <c r="C15" s="37">
        <v>220</v>
      </c>
      <c r="D15" s="37">
        <v>236</v>
      </c>
      <c r="E15" s="37">
        <v>545</v>
      </c>
      <c r="F15" s="199">
        <v>199</v>
      </c>
      <c r="G15" s="37">
        <v>248</v>
      </c>
      <c r="H15" s="37">
        <v>238</v>
      </c>
      <c r="I15" s="37">
        <v>232</v>
      </c>
      <c r="S15" s="6">
        <v>120</v>
      </c>
      <c r="T15">
        <f>AVERAGE(O46:O47)</f>
        <v>175</v>
      </c>
      <c r="V15">
        <f>SUM(U10:U14)</f>
        <v>32342.5</v>
      </c>
      <c r="W15" s="6">
        <v>120</v>
      </c>
      <c r="X15">
        <f>AVERAGE(G70)</f>
        <v>277</v>
      </c>
      <c r="Z15">
        <f>SUM(Y10:Y14)</f>
        <v>39175</v>
      </c>
    </row>
    <row r="16" spans="1:26" ht="15.75" customHeight="1">
      <c r="A16" s="37" t="s">
        <v>389</v>
      </c>
      <c r="B16" s="37" t="s">
        <v>395</v>
      </c>
      <c r="C16" s="37">
        <v>218</v>
      </c>
      <c r="D16" s="37">
        <v>206</v>
      </c>
      <c r="E16" s="37">
        <v>521</v>
      </c>
      <c r="F16" s="199">
        <v>184</v>
      </c>
      <c r="G16" s="37">
        <v>241</v>
      </c>
      <c r="H16" s="37">
        <v>249</v>
      </c>
      <c r="I16" s="37">
        <v>191</v>
      </c>
      <c r="S16" s="6" t="s">
        <v>406</v>
      </c>
      <c r="W16" s="6" t="s">
        <v>407</v>
      </c>
    </row>
    <row r="17" spans="1:26" ht="15.75" customHeight="1">
      <c r="A17" s="37"/>
      <c r="B17" s="37" t="s">
        <v>390</v>
      </c>
      <c r="C17" s="203">
        <v>0.72916666666666663</v>
      </c>
      <c r="D17" s="203">
        <v>0.72986111111111107</v>
      </c>
      <c r="E17" s="203">
        <v>0.73055555555555551</v>
      </c>
      <c r="F17" s="204">
        <v>0.73124999999999996</v>
      </c>
      <c r="G17" s="203">
        <v>0.7319444444444444</v>
      </c>
      <c r="H17" s="203">
        <v>0.73263888888888884</v>
      </c>
      <c r="I17" s="203">
        <v>0.73333333333333328</v>
      </c>
      <c r="S17" s="6">
        <v>0</v>
      </c>
      <c r="T17" s="6">
        <f>AVERAGE(G6:G7)</f>
        <v>176</v>
      </c>
      <c r="U17">
        <f t="shared" ref="U17:U21" si="5">(T17+T18)/2*(S18-S17)</f>
        <v>5230</v>
      </c>
      <c r="W17" s="6">
        <v>0</v>
      </c>
      <c r="X17" s="6">
        <f>AVERAGE(K55:K56)</f>
        <v>213</v>
      </c>
      <c r="Y17">
        <f t="shared" ref="Y17:Y21" si="6">(X18+X17)/2*(W18-W17)</f>
        <v>6466.6666666666679</v>
      </c>
    </row>
    <row r="18" spans="1:26" ht="15.75" customHeight="1">
      <c r="A18" s="37" t="s">
        <v>358</v>
      </c>
      <c r="B18" s="37" t="s">
        <v>396</v>
      </c>
      <c r="C18" s="37">
        <v>188</v>
      </c>
      <c r="D18" s="37">
        <v>173</v>
      </c>
      <c r="E18" s="37">
        <v>494</v>
      </c>
      <c r="F18" s="199">
        <v>201</v>
      </c>
      <c r="G18" s="37">
        <v>207</v>
      </c>
      <c r="H18" s="37">
        <v>244</v>
      </c>
      <c r="I18" s="37">
        <v>183</v>
      </c>
      <c r="S18" s="6">
        <v>20</v>
      </c>
      <c r="T18">
        <f>AVERAGE(G9:G10)</f>
        <v>347</v>
      </c>
      <c r="U18">
        <f t="shared" si="5"/>
        <v>6425</v>
      </c>
      <c r="W18" s="6">
        <v>20</v>
      </c>
      <c r="X18">
        <f>AVERAGE(K58,370,458)</f>
        <v>433.66666666666669</v>
      </c>
      <c r="Y18">
        <f t="shared" si="6"/>
        <v>8561.6666666666679</v>
      </c>
    </row>
    <row r="19" spans="1:26" ht="15.75" customHeight="1">
      <c r="A19" s="37" t="s">
        <v>389</v>
      </c>
      <c r="B19" s="37" t="s">
        <v>396</v>
      </c>
      <c r="C19" s="37">
        <v>189</v>
      </c>
      <c r="D19" s="37">
        <v>195</v>
      </c>
      <c r="E19" s="37">
        <v>486</v>
      </c>
      <c r="F19" s="206"/>
      <c r="G19" s="37">
        <v>175</v>
      </c>
      <c r="H19" s="37">
        <v>255</v>
      </c>
      <c r="I19" s="37">
        <v>185</v>
      </c>
      <c r="S19" s="6">
        <v>40</v>
      </c>
      <c r="T19">
        <f>AVERAGE(G12:G13)</f>
        <v>295.5</v>
      </c>
      <c r="U19">
        <f t="shared" si="5"/>
        <v>5400</v>
      </c>
      <c r="W19" s="6">
        <v>40</v>
      </c>
      <c r="X19">
        <f>AVERAGE(K61:K62)</f>
        <v>422.5</v>
      </c>
      <c r="Y19">
        <f t="shared" si="6"/>
        <v>8710</v>
      </c>
    </row>
    <row r="20" spans="1:26" ht="15.75" customHeight="1">
      <c r="A20" s="37"/>
      <c r="B20" s="37" t="s">
        <v>390</v>
      </c>
      <c r="C20" s="203">
        <v>0.75</v>
      </c>
      <c r="D20" s="203">
        <v>0.75069444444444444</v>
      </c>
      <c r="E20" s="203">
        <v>0.75138888888888888</v>
      </c>
      <c r="F20" s="204">
        <v>0.75208333333333333</v>
      </c>
      <c r="G20" s="203">
        <v>0.75277777777777777</v>
      </c>
      <c r="H20" s="203">
        <v>0.75347222222222221</v>
      </c>
      <c r="I20" s="203">
        <v>0.75416666666666665</v>
      </c>
      <c r="S20" s="6">
        <v>60</v>
      </c>
      <c r="T20">
        <f>AVERAGE(G15:G16)</f>
        <v>244.5</v>
      </c>
      <c r="U20">
        <f t="shared" si="5"/>
        <v>6532.5</v>
      </c>
      <c r="W20" s="6">
        <v>60</v>
      </c>
      <c r="X20">
        <f>AVERAGE(K64:K65)</f>
        <v>448.5</v>
      </c>
      <c r="Y20">
        <f t="shared" si="6"/>
        <v>12877.5</v>
      </c>
    </row>
    <row r="21" spans="1:26" ht="15.75" customHeight="1">
      <c r="A21" s="37" t="s">
        <v>358</v>
      </c>
      <c r="B21" s="37" t="s">
        <v>397</v>
      </c>
      <c r="C21" s="37">
        <v>182</v>
      </c>
      <c r="D21" s="37">
        <v>172</v>
      </c>
      <c r="E21" s="37">
        <v>420</v>
      </c>
      <c r="F21" s="37">
        <v>185</v>
      </c>
      <c r="G21" s="37">
        <v>183</v>
      </c>
      <c r="H21" s="37">
        <v>278</v>
      </c>
      <c r="I21" s="37">
        <v>166</v>
      </c>
      <c r="S21" s="6">
        <v>90</v>
      </c>
      <c r="T21">
        <f>AVERAGE(G18:G19)</f>
        <v>191</v>
      </c>
      <c r="U21">
        <f t="shared" si="5"/>
        <v>5580</v>
      </c>
      <c r="W21" s="6">
        <v>90</v>
      </c>
      <c r="X21">
        <f>AVERAGE(K67:K68)</f>
        <v>410</v>
      </c>
      <c r="Y21">
        <f t="shared" si="6"/>
        <v>12030</v>
      </c>
    </row>
    <row r="22" spans="1:26" ht="15.75" customHeight="1">
      <c r="A22" s="37" t="s">
        <v>389</v>
      </c>
      <c r="B22" s="202" t="s">
        <v>397</v>
      </c>
      <c r="C22" s="37">
        <v>159</v>
      </c>
      <c r="D22" s="37">
        <v>177</v>
      </c>
      <c r="E22" s="37">
        <v>430</v>
      </c>
      <c r="F22" s="37">
        <v>207</v>
      </c>
      <c r="G22" s="37">
        <v>179</v>
      </c>
      <c r="H22" s="37">
        <v>246</v>
      </c>
      <c r="I22" s="37">
        <v>177</v>
      </c>
      <c r="S22" s="6">
        <v>120</v>
      </c>
      <c r="T22">
        <f>AVERAGE(G21:G22)</f>
        <v>181</v>
      </c>
      <c r="V22">
        <f>SUM(U17:U21)</f>
        <v>29167.5</v>
      </c>
      <c r="W22" s="6">
        <v>120</v>
      </c>
      <c r="X22">
        <f>AVERAGE(K70,430)</f>
        <v>392</v>
      </c>
    </row>
    <row r="23" spans="1:26" ht="15.75" customHeight="1">
      <c r="Z23">
        <f>SUM(Y17:Y21)</f>
        <v>48645.833333333336</v>
      </c>
    </row>
    <row r="24" spans="1:26" ht="15.75" customHeight="1">
      <c r="S24" s="6" t="s">
        <v>411</v>
      </c>
      <c r="W24" s="6" t="s">
        <v>412</v>
      </c>
    </row>
    <row r="25" spans="1:26" ht="15.75" customHeight="1">
      <c r="S25" s="6">
        <v>0</v>
      </c>
      <c r="T25" s="6">
        <f>AVERAGE(G31:G32)</f>
        <v>198.5</v>
      </c>
      <c r="U25">
        <f t="shared" ref="U25:U29" si="7">(T25+T26)/2*(S26-S25)</f>
        <v>5000</v>
      </c>
      <c r="W25" s="6">
        <v>0</v>
      </c>
      <c r="X25" s="6">
        <f>AVERAGE(O55:O56)</f>
        <v>216.5</v>
      </c>
      <c r="Y25">
        <f t="shared" ref="Y25:Y29" si="8">(X26+X25)/2*(W26-W25)</f>
        <v>6700</v>
      </c>
    </row>
    <row r="26" spans="1:26" ht="15.75" customHeight="1">
      <c r="C26" s="198">
        <v>43084</v>
      </c>
      <c r="S26" s="6">
        <v>20</v>
      </c>
      <c r="T26">
        <f>AVERAGE(G34:G35)</f>
        <v>301.5</v>
      </c>
      <c r="U26">
        <f t="shared" si="7"/>
        <v>6300</v>
      </c>
      <c r="W26" s="6">
        <v>20</v>
      </c>
      <c r="X26">
        <f>AVERAGE(O58:O59)</f>
        <v>453.5</v>
      </c>
      <c r="Y26">
        <f t="shared" si="8"/>
        <v>8985</v>
      </c>
    </row>
    <row r="27" spans="1:26" ht="15.75" customHeight="1">
      <c r="A27" s="160"/>
      <c r="B27" s="37" t="s">
        <v>377</v>
      </c>
      <c r="C27" s="37" t="s">
        <v>121</v>
      </c>
      <c r="D27" s="37" t="s">
        <v>124</v>
      </c>
      <c r="E27" s="37" t="s">
        <v>66</v>
      </c>
      <c r="F27" s="207" t="s">
        <v>74</v>
      </c>
      <c r="G27" s="37" t="s">
        <v>114</v>
      </c>
      <c r="H27" s="37" t="s">
        <v>126</v>
      </c>
      <c r="I27" s="37" t="s">
        <v>72</v>
      </c>
      <c r="J27" s="210" t="s">
        <v>78</v>
      </c>
      <c r="K27" s="37" t="s">
        <v>116</v>
      </c>
      <c r="L27" s="37" t="s">
        <v>131</v>
      </c>
      <c r="M27" s="37" t="s">
        <v>79</v>
      </c>
      <c r="N27" s="199" t="s">
        <v>84</v>
      </c>
      <c r="O27" s="37" t="s">
        <v>118</v>
      </c>
      <c r="P27" s="37" t="s">
        <v>128</v>
      </c>
      <c r="Q27" s="37" t="s">
        <v>83</v>
      </c>
      <c r="R27" s="37" t="s">
        <v>89</v>
      </c>
      <c r="S27" s="6">
        <v>40</v>
      </c>
      <c r="T27">
        <f>AVERAGE(G37:G38)</f>
        <v>328.5</v>
      </c>
      <c r="U27">
        <f t="shared" si="7"/>
        <v>5935</v>
      </c>
      <c r="W27" s="6">
        <v>40</v>
      </c>
      <c r="X27">
        <f>AVERAGE(O61:O62)</f>
        <v>445</v>
      </c>
      <c r="Y27">
        <f t="shared" si="8"/>
        <v>8140</v>
      </c>
    </row>
    <row r="28" spans="1:26" ht="15.75" customHeight="1">
      <c r="A28" s="49"/>
      <c r="B28" s="37" t="s">
        <v>382</v>
      </c>
      <c r="C28" s="37">
        <v>50</v>
      </c>
      <c r="D28" s="37">
        <v>27.8</v>
      </c>
      <c r="E28" s="37">
        <v>46.8</v>
      </c>
      <c r="F28" s="207">
        <v>28.6</v>
      </c>
      <c r="G28" s="37">
        <v>46.1</v>
      </c>
      <c r="H28" s="37">
        <v>43.9</v>
      </c>
      <c r="I28" s="37">
        <v>33.5</v>
      </c>
      <c r="J28" s="210">
        <v>22</v>
      </c>
      <c r="K28" s="37">
        <v>36</v>
      </c>
      <c r="L28" s="37">
        <v>50.2</v>
      </c>
      <c r="M28" s="37">
        <v>28.1</v>
      </c>
      <c r="N28" s="199">
        <v>30</v>
      </c>
      <c r="O28" s="37">
        <v>31</v>
      </c>
      <c r="P28" s="37">
        <v>47</v>
      </c>
      <c r="Q28" s="37">
        <v>42.4</v>
      </c>
      <c r="R28" s="37">
        <v>20.9</v>
      </c>
      <c r="S28" s="6">
        <v>60</v>
      </c>
      <c r="T28">
        <f>AVERAGE(G40:G41)</f>
        <v>265</v>
      </c>
      <c r="U28">
        <f t="shared" si="7"/>
        <v>7957.5</v>
      </c>
      <c r="W28" s="6">
        <v>60</v>
      </c>
      <c r="X28">
        <f>AVERAGE(O64:O65)</f>
        <v>369</v>
      </c>
      <c r="Y28">
        <f t="shared" si="8"/>
        <v>10965</v>
      </c>
    </row>
    <row r="29" spans="1:26" ht="15.75" customHeight="1">
      <c r="A29" s="37" t="s">
        <v>386</v>
      </c>
      <c r="B29" s="37" t="s">
        <v>387</v>
      </c>
      <c r="C29" s="110">
        <f t="shared" ref="C29:R29" si="9">C28/100</f>
        <v>0.5</v>
      </c>
      <c r="D29" s="110">
        <f t="shared" si="9"/>
        <v>0.27800000000000002</v>
      </c>
      <c r="E29" s="110">
        <f t="shared" si="9"/>
        <v>0.46799999999999997</v>
      </c>
      <c r="F29" s="208">
        <f t="shared" si="9"/>
        <v>0.28600000000000003</v>
      </c>
      <c r="G29" s="110">
        <f t="shared" si="9"/>
        <v>0.46100000000000002</v>
      </c>
      <c r="H29" s="110">
        <f t="shared" si="9"/>
        <v>0.439</v>
      </c>
      <c r="I29" s="110">
        <f t="shared" si="9"/>
        <v>0.33500000000000002</v>
      </c>
      <c r="J29" s="211">
        <f t="shared" si="9"/>
        <v>0.22</v>
      </c>
      <c r="K29" s="110">
        <f t="shared" si="9"/>
        <v>0.36</v>
      </c>
      <c r="L29" s="110">
        <f t="shared" si="9"/>
        <v>0.502</v>
      </c>
      <c r="M29" s="110">
        <f t="shared" si="9"/>
        <v>0.28100000000000003</v>
      </c>
      <c r="N29" s="200">
        <f t="shared" si="9"/>
        <v>0.3</v>
      </c>
      <c r="O29" s="110">
        <f t="shared" si="9"/>
        <v>0.31</v>
      </c>
      <c r="P29" s="110">
        <f t="shared" si="9"/>
        <v>0.47</v>
      </c>
      <c r="Q29" s="110">
        <f t="shared" si="9"/>
        <v>0.42399999999999999</v>
      </c>
      <c r="R29" s="110">
        <f t="shared" si="9"/>
        <v>0.20899999999999999</v>
      </c>
      <c r="S29" s="6">
        <v>90</v>
      </c>
      <c r="T29">
        <f>AVERAGE(G43:G44)</f>
        <v>265.5</v>
      </c>
      <c r="U29">
        <f t="shared" si="7"/>
        <v>7432.5</v>
      </c>
      <c r="W29" s="6">
        <v>90</v>
      </c>
      <c r="X29">
        <f>AVERAGE(O67:O68)</f>
        <v>362</v>
      </c>
      <c r="Y29">
        <f t="shared" si="8"/>
        <v>12082.5</v>
      </c>
    </row>
    <row r="30" spans="1:26" ht="15.75" customHeight="1">
      <c r="A30" s="49"/>
      <c r="B30" s="37" t="s">
        <v>390</v>
      </c>
      <c r="C30" s="203">
        <v>0.66388888888888886</v>
      </c>
      <c r="D30" s="203">
        <v>0.66736111111111107</v>
      </c>
      <c r="E30" s="203">
        <v>0.66805555555555551</v>
      </c>
      <c r="F30" s="209">
        <v>0.66874999999999996</v>
      </c>
      <c r="G30" s="203">
        <v>0.6694444444444444</v>
      </c>
      <c r="H30" s="203">
        <v>0.67013888888888884</v>
      </c>
      <c r="I30" s="203">
        <v>0.67083333333333328</v>
      </c>
      <c r="J30" s="212">
        <v>0.67152777777777772</v>
      </c>
      <c r="K30" s="203">
        <v>0.67222222222222228</v>
      </c>
      <c r="L30" s="203">
        <v>0.67291666666666672</v>
      </c>
      <c r="M30" s="203">
        <v>0.67361111111111116</v>
      </c>
      <c r="N30" s="204">
        <v>0.6743055555555556</v>
      </c>
      <c r="O30" s="203">
        <v>0.67500000000000004</v>
      </c>
      <c r="P30" s="203">
        <v>0.67569444444444449</v>
      </c>
      <c r="Q30" s="203">
        <v>0.67638888888888893</v>
      </c>
      <c r="R30" s="203">
        <v>0.67708333333333337</v>
      </c>
      <c r="S30" s="6">
        <v>120</v>
      </c>
      <c r="T30">
        <f>AVERAGE(G46:G47)</f>
        <v>230</v>
      </c>
      <c r="V30">
        <f>SUM(U25:U29)</f>
        <v>32625</v>
      </c>
      <c r="W30" s="6">
        <v>120</v>
      </c>
      <c r="X30">
        <f>AVERAGE(O70:O71)</f>
        <v>443.5</v>
      </c>
    </row>
    <row r="31" spans="1:26" ht="15.75" customHeight="1">
      <c r="A31" s="37" t="s">
        <v>358</v>
      </c>
      <c r="B31" s="37" t="s">
        <v>391</v>
      </c>
      <c r="C31" s="37">
        <v>303</v>
      </c>
      <c r="D31" s="37">
        <v>195</v>
      </c>
      <c r="E31" s="37">
        <v>197</v>
      </c>
      <c r="F31" s="207">
        <v>233</v>
      </c>
      <c r="G31" s="37">
        <v>171</v>
      </c>
      <c r="H31" s="37">
        <v>258</v>
      </c>
      <c r="I31" s="37">
        <v>192</v>
      </c>
      <c r="J31" s="210">
        <v>133</v>
      </c>
      <c r="K31" s="37">
        <v>176</v>
      </c>
      <c r="L31" s="37">
        <v>229</v>
      </c>
      <c r="M31" s="37">
        <v>193</v>
      </c>
      <c r="N31" s="199">
        <v>203</v>
      </c>
      <c r="O31" s="37">
        <v>177</v>
      </c>
      <c r="P31" s="37">
        <v>283</v>
      </c>
      <c r="Q31" s="37">
        <v>267</v>
      </c>
      <c r="R31" s="37">
        <v>150</v>
      </c>
      <c r="Z31">
        <f>SUM(Y25:Y29)</f>
        <v>46872.5</v>
      </c>
    </row>
    <row r="32" spans="1:26" ht="15.75" customHeight="1">
      <c r="A32" s="37" t="s">
        <v>389</v>
      </c>
      <c r="B32" s="37" t="s">
        <v>392</v>
      </c>
      <c r="C32" s="37">
        <v>272</v>
      </c>
      <c r="D32" s="37">
        <v>173</v>
      </c>
      <c r="E32" s="37">
        <v>189</v>
      </c>
      <c r="F32" s="207">
        <v>189</v>
      </c>
      <c r="G32" s="37">
        <v>226</v>
      </c>
      <c r="H32" s="37">
        <v>216</v>
      </c>
      <c r="I32" s="37">
        <v>196</v>
      </c>
      <c r="J32" s="210">
        <v>149</v>
      </c>
      <c r="K32" s="37">
        <v>184</v>
      </c>
      <c r="L32" s="37">
        <v>213</v>
      </c>
      <c r="M32" s="37">
        <v>143</v>
      </c>
      <c r="N32" s="199">
        <v>182</v>
      </c>
      <c r="O32" s="37">
        <v>160</v>
      </c>
      <c r="P32" s="37" t="s">
        <v>413</v>
      </c>
      <c r="Q32" s="37">
        <v>202</v>
      </c>
      <c r="R32" s="37">
        <v>136</v>
      </c>
      <c r="S32" s="6" t="s">
        <v>417</v>
      </c>
      <c r="W32" s="6" t="s">
        <v>418</v>
      </c>
    </row>
    <row r="33" spans="1:26" ht="15.75" customHeight="1">
      <c r="A33" s="49"/>
      <c r="B33" s="37" t="s">
        <v>390</v>
      </c>
      <c r="C33" s="203">
        <v>0.67777777777777781</v>
      </c>
      <c r="D33" s="203">
        <v>0.67847222222222225</v>
      </c>
      <c r="E33" s="203">
        <v>0.6791666666666667</v>
      </c>
      <c r="F33" s="209">
        <v>0.67986111111111114</v>
      </c>
      <c r="G33" s="203">
        <v>0.68055555555555558</v>
      </c>
      <c r="H33" s="203">
        <v>0.68125000000000002</v>
      </c>
      <c r="I33" s="203">
        <v>0.68194444444444446</v>
      </c>
      <c r="J33" s="212">
        <v>0.68263888888888891</v>
      </c>
      <c r="K33" s="203">
        <v>0.68333333333333335</v>
      </c>
      <c r="L33" s="203">
        <v>0.68402777777777779</v>
      </c>
      <c r="M33" s="203">
        <v>0.68472222222222223</v>
      </c>
      <c r="N33" s="204">
        <v>0.68541666666666667</v>
      </c>
      <c r="O33" s="203">
        <v>0.68611111111111112</v>
      </c>
      <c r="P33" s="203">
        <v>0.68680555555555556</v>
      </c>
      <c r="Q33" s="203">
        <v>0.6875</v>
      </c>
      <c r="R33" s="203">
        <v>0.68819444444444444</v>
      </c>
      <c r="S33" s="6">
        <v>0</v>
      </c>
      <c r="T33" s="6">
        <f>AVERAGE(K31:K32)</f>
        <v>180</v>
      </c>
      <c r="U33">
        <f t="shared" ref="U33:U37" si="10">(T33+T34)/2*(S34-S33)</f>
        <v>5905</v>
      </c>
      <c r="W33" s="6">
        <v>0</v>
      </c>
      <c r="X33" s="6">
        <f>AVERAGE(C31:C32)</f>
        <v>287.5</v>
      </c>
      <c r="Y33">
        <f t="shared" ref="Y33:Y37" si="11">(X34+X33)/2*(W34-W33)</f>
        <v>6375</v>
      </c>
    </row>
    <row r="34" spans="1:26" ht="15.75" customHeight="1">
      <c r="A34" s="37" t="s">
        <v>358</v>
      </c>
      <c r="B34" s="37" t="s">
        <v>393</v>
      </c>
      <c r="C34" s="37">
        <v>517</v>
      </c>
      <c r="D34" s="37">
        <v>340</v>
      </c>
      <c r="E34" s="37">
        <v>395</v>
      </c>
      <c r="F34" s="207">
        <v>366</v>
      </c>
      <c r="G34" s="37">
        <v>310</v>
      </c>
      <c r="H34" s="37">
        <v>381</v>
      </c>
      <c r="I34" s="37">
        <v>369</v>
      </c>
      <c r="J34" s="210">
        <v>307</v>
      </c>
      <c r="K34" s="37">
        <v>468</v>
      </c>
      <c r="L34" s="37">
        <v>516</v>
      </c>
      <c r="M34" s="37">
        <v>326</v>
      </c>
      <c r="N34" s="199">
        <v>416</v>
      </c>
      <c r="O34" s="37">
        <v>431</v>
      </c>
      <c r="P34" s="37">
        <v>385</v>
      </c>
      <c r="Q34" s="37">
        <v>359</v>
      </c>
      <c r="R34" s="37">
        <v>350</v>
      </c>
      <c r="S34" s="6">
        <v>20</v>
      </c>
      <c r="T34">
        <f>AVERAGE(K34:K35)</f>
        <v>410.5</v>
      </c>
      <c r="U34">
        <f t="shared" si="10"/>
        <v>7545</v>
      </c>
      <c r="W34" s="6">
        <v>20</v>
      </c>
      <c r="X34">
        <f>AVERAGE(337,363)</f>
        <v>350</v>
      </c>
      <c r="Y34">
        <f t="shared" si="11"/>
        <v>8410</v>
      </c>
    </row>
    <row r="35" spans="1:26" ht="26.4">
      <c r="A35" s="37" t="s">
        <v>389</v>
      </c>
      <c r="B35" s="37" t="s">
        <v>393</v>
      </c>
      <c r="C35" s="37" t="s">
        <v>403</v>
      </c>
      <c r="D35" s="37">
        <v>322</v>
      </c>
      <c r="E35" s="37">
        <v>409</v>
      </c>
      <c r="F35" s="207">
        <v>369</v>
      </c>
      <c r="G35" s="37">
        <v>293</v>
      </c>
      <c r="H35" s="37">
        <v>399</v>
      </c>
      <c r="I35" s="37">
        <v>403</v>
      </c>
      <c r="J35" s="213"/>
      <c r="K35" s="37">
        <v>353</v>
      </c>
      <c r="L35" s="37">
        <v>486</v>
      </c>
      <c r="M35" s="37">
        <v>306</v>
      </c>
      <c r="N35" s="199">
        <v>382</v>
      </c>
      <c r="O35" s="37">
        <v>392</v>
      </c>
      <c r="P35" s="37">
        <v>381</v>
      </c>
      <c r="Q35" s="37">
        <v>326</v>
      </c>
      <c r="R35" s="37">
        <v>363</v>
      </c>
      <c r="S35" s="6">
        <v>40</v>
      </c>
      <c r="T35">
        <f>AVERAGE(K37:K38)</f>
        <v>344</v>
      </c>
      <c r="U35">
        <f t="shared" si="10"/>
        <v>5665</v>
      </c>
      <c r="W35" s="6">
        <v>40</v>
      </c>
      <c r="X35">
        <f>AVERAGE(C37:C38)</f>
        <v>491</v>
      </c>
      <c r="Y35">
        <f t="shared" si="11"/>
        <v>9515</v>
      </c>
    </row>
    <row r="36" spans="1:26" ht="13.2">
      <c r="A36" s="37"/>
      <c r="B36" s="37" t="s">
        <v>390</v>
      </c>
      <c r="C36" s="203">
        <v>0.68888888888888888</v>
      </c>
      <c r="D36" s="203">
        <v>0.68958333333333333</v>
      </c>
      <c r="E36" s="203">
        <v>0.69027777777777777</v>
      </c>
      <c r="F36" s="209">
        <v>0.69097222222222221</v>
      </c>
      <c r="G36" s="203">
        <v>0.69166666666666665</v>
      </c>
      <c r="H36" s="203">
        <v>0.69236111111111109</v>
      </c>
      <c r="I36" s="203">
        <v>0.69305555555555554</v>
      </c>
      <c r="J36" s="212">
        <v>0.69374999999999998</v>
      </c>
      <c r="K36" s="203">
        <v>0.69444444444444442</v>
      </c>
      <c r="L36" s="203">
        <v>0.69513888888888886</v>
      </c>
      <c r="M36" s="203">
        <v>0.6958333333333333</v>
      </c>
      <c r="N36" s="204">
        <v>0.69652777777777775</v>
      </c>
      <c r="O36" s="203">
        <v>0.69722222222222219</v>
      </c>
      <c r="P36" s="203">
        <v>0.69791666666666663</v>
      </c>
      <c r="Q36" s="203">
        <v>0.69861111111111107</v>
      </c>
      <c r="R36" s="203">
        <v>0.69930555555555551</v>
      </c>
      <c r="S36" s="6">
        <v>60</v>
      </c>
      <c r="T36">
        <f>AVERAGE(K40:K41)</f>
        <v>222.5</v>
      </c>
      <c r="U36">
        <f t="shared" si="10"/>
        <v>6915</v>
      </c>
      <c r="W36" s="6">
        <v>60</v>
      </c>
      <c r="X36">
        <f>AVERAGE(C40:C41)</f>
        <v>460.5</v>
      </c>
      <c r="Y36">
        <f t="shared" si="11"/>
        <v>12967.5</v>
      </c>
    </row>
    <row r="37" spans="1:26" ht="26.4">
      <c r="A37" s="37" t="s">
        <v>358</v>
      </c>
      <c r="B37" s="37" t="s">
        <v>394</v>
      </c>
      <c r="C37" s="37">
        <v>503</v>
      </c>
      <c r="D37" s="37">
        <v>340</v>
      </c>
      <c r="E37" s="37">
        <v>340</v>
      </c>
      <c r="F37" s="207">
        <v>276</v>
      </c>
      <c r="G37" s="37">
        <v>296</v>
      </c>
      <c r="H37" s="37">
        <v>365</v>
      </c>
      <c r="I37" s="37">
        <v>381</v>
      </c>
      <c r="J37" s="210">
        <v>183</v>
      </c>
      <c r="K37" s="37">
        <v>339</v>
      </c>
      <c r="L37" s="37">
        <v>454</v>
      </c>
      <c r="M37" s="37">
        <v>329</v>
      </c>
      <c r="N37" s="199">
        <v>299</v>
      </c>
      <c r="O37" s="37">
        <v>366</v>
      </c>
      <c r="P37" s="37">
        <v>368</v>
      </c>
      <c r="Q37" s="37">
        <v>407</v>
      </c>
      <c r="R37" s="37">
        <v>203</v>
      </c>
      <c r="S37" s="6">
        <v>90</v>
      </c>
      <c r="T37">
        <f>AVERAGE(K43:K44)</f>
        <v>238.5</v>
      </c>
      <c r="U37">
        <f t="shared" si="10"/>
        <v>6735</v>
      </c>
      <c r="W37" s="6">
        <v>90</v>
      </c>
      <c r="X37">
        <f>AVERAGE(C43:C44)</f>
        <v>404</v>
      </c>
      <c r="Y37">
        <f t="shared" si="11"/>
        <v>11332.5</v>
      </c>
    </row>
    <row r="38" spans="1:26" ht="26.4">
      <c r="A38" s="37" t="s">
        <v>389</v>
      </c>
      <c r="B38" s="37" t="s">
        <v>394</v>
      </c>
      <c r="C38" s="37">
        <v>479</v>
      </c>
      <c r="D38" s="37">
        <v>372</v>
      </c>
      <c r="E38" s="37">
        <v>350</v>
      </c>
      <c r="F38" s="207">
        <v>347</v>
      </c>
      <c r="G38" s="37">
        <v>361</v>
      </c>
      <c r="H38" s="37">
        <v>535</v>
      </c>
      <c r="I38" s="37">
        <v>465</v>
      </c>
      <c r="J38" s="213"/>
      <c r="K38" s="37">
        <v>349</v>
      </c>
      <c r="L38" s="37">
        <v>479</v>
      </c>
      <c r="M38" s="37">
        <v>310</v>
      </c>
      <c r="N38" s="199">
        <v>377</v>
      </c>
      <c r="O38" s="37">
        <v>368</v>
      </c>
      <c r="P38" s="37">
        <v>362</v>
      </c>
      <c r="Q38" s="37">
        <v>419</v>
      </c>
      <c r="R38" s="37">
        <v>193</v>
      </c>
      <c r="S38" s="6">
        <v>120</v>
      </c>
      <c r="T38">
        <f>AVERAGE(K46:K47)</f>
        <v>210.5</v>
      </c>
      <c r="W38" s="6">
        <v>120</v>
      </c>
      <c r="X38">
        <f>AVERAGE(C46:C47)</f>
        <v>351.5</v>
      </c>
    </row>
    <row r="39" spans="1:26" ht="13.2">
      <c r="A39" s="37"/>
      <c r="B39" s="37" t="s">
        <v>390</v>
      </c>
      <c r="C39" s="203">
        <v>0.70833333333333337</v>
      </c>
      <c r="D39" s="203">
        <v>0.70902777777777781</v>
      </c>
      <c r="E39" s="203">
        <v>0.70972222222222225</v>
      </c>
      <c r="F39" s="209">
        <v>0.7104166666666667</v>
      </c>
      <c r="G39" s="203">
        <v>0.71111111111111114</v>
      </c>
      <c r="H39" s="203">
        <v>0.71180555555555558</v>
      </c>
      <c r="I39" s="203">
        <v>0.71250000000000002</v>
      </c>
      <c r="J39" s="212">
        <v>0.71319444444444446</v>
      </c>
      <c r="K39" s="203">
        <v>0.71388888888888891</v>
      </c>
      <c r="L39" s="203">
        <v>0.71458333333333335</v>
      </c>
      <c r="M39" s="203">
        <v>0.71527777777777779</v>
      </c>
      <c r="N39" s="204">
        <v>0.71666666666666667</v>
      </c>
      <c r="O39" s="203">
        <v>0.71736111111111112</v>
      </c>
      <c r="P39" s="203">
        <v>0.71805555555555556</v>
      </c>
      <c r="Q39" s="203">
        <v>0.71875</v>
      </c>
      <c r="R39" s="203">
        <v>0.71944444444444444</v>
      </c>
      <c r="V39">
        <f>SUM(U33:U37)</f>
        <v>32765</v>
      </c>
      <c r="Z39">
        <f>SUM(Y33:Y37)</f>
        <v>48600</v>
      </c>
    </row>
    <row r="40" spans="1:26" ht="26.4">
      <c r="A40" s="37" t="s">
        <v>358</v>
      </c>
      <c r="B40" s="37" t="s">
        <v>395</v>
      </c>
      <c r="C40" s="37">
        <v>476</v>
      </c>
      <c r="D40" s="37">
        <v>242</v>
      </c>
      <c r="E40" s="37">
        <v>296</v>
      </c>
      <c r="F40" s="207">
        <v>218</v>
      </c>
      <c r="G40" s="37">
        <v>271</v>
      </c>
      <c r="H40" s="37">
        <v>373</v>
      </c>
      <c r="I40" s="37">
        <v>324</v>
      </c>
      <c r="J40" s="210">
        <v>178</v>
      </c>
      <c r="K40" s="37">
        <v>204</v>
      </c>
      <c r="L40" s="37">
        <v>467</v>
      </c>
      <c r="M40" s="37">
        <v>249</v>
      </c>
      <c r="N40" s="199">
        <v>312</v>
      </c>
      <c r="O40" s="37">
        <v>240</v>
      </c>
      <c r="P40" s="37">
        <v>283</v>
      </c>
      <c r="Q40" s="37">
        <v>252</v>
      </c>
      <c r="R40" s="37">
        <v>175</v>
      </c>
    </row>
    <row r="41" spans="1:26" ht="26.4">
      <c r="A41" s="37" t="s">
        <v>389</v>
      </c>
      <c r="B41" s="37" t="s">
        <v>395</v>
      </c>
      <c r="C41" s="37">
        <v>445</v>
      </c>
      <c r="D41" s="37">
        <v>235</v>
      </c>
      <c r="E41" s="37">
        <v>291</v>
      </c>
      <c r="F41" s="65"/>
      <c r="G41" s="37">
        <v>259</v>
      </c>
      <c r="H41" s="37" t="s">
        <v>408</v>
      </c>
      <c r="I41" s="37">
        <v>324</v>
      </c>
      <c r="J41" s="213"/>
      <c r="K41" s="37">
        <v>241</v>
      </c>
      <c r="L41" s="37">
        <v>455</v>
      </c>
      <c r="M41" s="37">
        <v>190</v>
      </c>
      <c r="N41" s="206"/>
      <c r="O41" s="37">
        <v>253</v>
      </c>
      <c r="P41" s="37">
        <v>286</v>
      </c>
      <c r="Q41" s="37">
        <v>357</v>
      </c>
      <c r="R41" s="49"/>
      <c r="S41" s="6" t="s">
        <v>424</v>
      </c>
      <c r="W41" s="6" t="s">
        <v>425</v>
      </c>
    </row>
    <row r="42" spans="1:26" ht="13.2">
      <c r="A42" s="37"/>
      <c r="B42" s="37" t="s">
        <v>390</v>
      </c>
      <c r="C42" s="203">
        <v>0.72916666666666663</v>
      </c>
      <c r="D42" s="203">
        <v>0.72986111111111107</v>
      </c>
      <c r="E42" s="203">
        <v>0.73055555555555551</v>
      </c>
      <c r="F42" s="209">
        <v>0.73124999999999996</v>
      </c>
      <c r="G42" s="203">
        <v>0.7319444444444444</v>
      </c>
      <c r="H42" s="203">
        <v>0.73263888888888884</v>
      </c>
      <c r="I42" s="203">
        <v>0.73333333333333328</v>
      </c>
      <c r="J42" s="212">
        <v>0.73402777777777772</v>
      </c>
      <c r="K42" s="203">
        <v>0.73472222222222228</v>
      </c>
      <c r="L42" s="203">
        <v>0.73541666666666672</v>
      </c>
      <c r="M42" s="203">
        <v>0.73611111111111116</v>
      </c>
      <c r="N42" s="204">
        <v>0.7368055555555556</v>
      </c>
      <c r="O42" s="203">
        <v>0.73750000000000004</v>
      </c>
      <c r="P42" s="203">
        <v>0.73819444444444449</v>
      </c>
      <c r="Q42" s="203">
        <v>0.73888888888888893</v>
      </c>
      <c r="R42" s="203">
        <v>0.73958333333333337</v>
      </c>
      <c r="S42" s="6">
        <v>0</v>
      </c>
      <c r="T42" s="6">
        <f>AVERAGE(D31:D32)</f>
        <v>184</v>
      </c>
      <c r="U42">
        <f t="shared" ref="U42:U46" si="12">(T42+T43)/2*(S43-S42)</f>
        <v>5150</v>
      </c>
      <c r="W42" s="6">
        <v>0</v>
      </c>
      <c r="X42" s="6">
        <f>AVERAGE(D55:D56)</f>
        <v>196.5</v>
      </c>
      <c r="Y42">
        <f t="shared" ref="Y42:Y46" si="13">(X43+X42)/2*(W43-W42)</f>
        <v>6105</v>
      </c>
    </row>
    <row r="43" spans="1:26" ht="26.4">
      <c r="A43" s="37" t="s">
        <v>358</v>
      </c>
      <c r="B43" s="37" t="s">
        <v>396</v>
      </c>
      <c r="C43" s="37">
        <v>395</v>
      </c>
      <c r="D43" s="37">
        <v>206</v>
      </c>
      <c r="E43" s="37">
        <v>280</v>
      </c>
      <c r="F43" s="65"/>
      <c r="G43" s="37">
        <v>258</v>
      </c>
      <c r="H43" s="37">
        <v>262</v>
      </c>
      <c r="I43" s="37">
        <v>285</v>
      </c>
      <c r="J43" s="210">
        <v>181</v>
      </c>
      <c r="K43" s="37">
        <v>235</v>
      </c>
      <c r="L43" s="37">
        <v>419</v>
      </c>
      <c r="M43" s="37">
        <v>190</v>
      </c>
      <c r="N43" s="199">
        <v>263</v>
      </c>
      <c r="O43" s="37">
        <v>201</v>
      </c>
      <c r="P43" s="37">
        <v>254</v>
      </c>
      <c r="Q43" s="37">
        <v>254</v>
      </c>
      <c r="R43" s="37">
        <v>155</v>
      </c>
      <c r="S43" s="6">
        <v>20</v>
      </c>
      <c r="T43">
        <f>AVERAGE(D34:D35)</f>
        <v>331</v>
      </c>
      <c r="U43">
        <f t="shared" si="12"/>
        <v>6870</v>
      </c>
      <c r="W43" s="6">
        <v>20</v>
      </c>
      <c r="X43">
        <f>AVERAGE(D58:D59)</f>
        <v>414</v>
      </c>
      <c r="Y43">
        <f t="shared" si="13"/>
        <v>7885</v>
      </c>
    </row>
    <row r="44" spans="1:26" ht="26.4">
      <c r="A44" s="37" t="s">
        <v>389</v>
      </c>
      <c r="B44" s="37" t="s">
        <v>396</v>
      </c>
      <c r="C44" s="37">
        <v>413</v>
      </c>
      <c r="D44" s="37">
        <v>201</v>
      </c>
      <c r="E44" s="37">
        <v>281</v>
      </c>
      <c r="F44" s="65"/>
      <c r="G44" s="37">
        <v>273</v>
      </c>
      <c r="H44" s="37">
        <v>258</v>
      </c>
      <c r="I44" s="37">
        <v>286</v>
      </c>
      <c r="J44" s="213"/>
      <c r="K44" s="37">
        <v>242</v>
      </c>
      <c r="L44" s="37">
        <v>416</v>
      </c>
      <c r="M44" s="37">
        <v>194</v>
      </c>
      <c r="N44" s="199">
        <v>267</v>
      </c>
      <c r="O44" s="37">
        <v>219</v>
      </c>
      <c r="P44" s="37">
        <v>275</v>
      </c>
      <c r="Q44" s="37">
        <v>273</v>
      </c>
      <c r="R44" s="49"/>
      <c r="S44" s="6">
        <v>40</v>
      </c>
      <c r="T44">
        <f>AVERAGE(D37:D38)</f>
        <v>356</v>
      </c>
      <c r="U44">
        <f t="shared" si="12"/>
        <v>5945</v>
      </c>
      <c r="W44" s="6">
        <v>40</v>
      </c>
      <c r="X44">
        <f>AVERAGE(D61:D62)</f>
        <v>374.5</v>
      </c>
      <c r="Y44">
        <f t="shared" si="13"/>
        <v>7025</v>
      </c>
    </row>
    <row r="45" spans="1:26" ht="13.2">
      <c r="A45" s="37"/>
      <c r="B45" s="37" t="s">
        <v>390</v>
      </c>
      <c r="C45" s="203">
        <v>0.75</v>
      </c>
      <c r="D45" s="203">
        <v>0.75069444444444444</v>
      </c>
      <c r="E45" s="203">
        <v>0.75138888888888888</v>
      </c>
      <c r="F45" s="209">
        <v>0.75208333333333333</v>
      </c>
      <c r="G45" s="203">
        <v>0.75277777777777777</v>
      </c>
      <c r="H45" s="203">
        <v>0.75347222222222221</v>
      </c>
      <c r="I45" s="203">
        <v>0.75416666666666665</v>
      </c>
      <c r="J45" s="212">
        <v>0.75486111111111109</v>
      </c>
      <c r="K45" s="203">
        <v>0.75555555555555554</v>
      </c>
      <c r="L45" s="203">
        <v>0.75624999999999998</v>
      </c>
      <c r="M45" s="203">
        <v>0.75694444444444442</v>
      </c>
      <c r="N45" s="204">
        <v>0.75763888888888886</v>
      </c>
      <c r="O45" s="203">
        <v>0.7583333333333333</v>
      </c>
      <c r="P45" s="203">
        <v>0.75902777777777775</v>
      </c>
      <c r="Q45" s="203">
        <v>0.75972222222222219</v>
      </c>
      <c r="R45" s="203">
        <v>0.76041666666666663</v>
      </c>
      <c r="S45" s="6">
        <v>60</v>
      </c>
      <c r="T45">
        <f>AVERAGE(D40:D41)</f>
        <v>238.5</v>
      </c>
      <c r="U45">
        <f t="shared" si="12"/>
        <v>6630</v>
      </c>
      <c r="W45" s="6">
        <v>60</v>
      </c>
      <c r="X45">
        <f>AVERAGE(D64:D65)</f>
        <v>328</v>
      </c>
      <c r="Y45">
        <f t="shared" si="13"/>
        <v>10020</v>
      </c>
    </row>
    <row r="46" spans="1:26" ht="26.4">
      <c r="A46" s="37" t="s">
        <v>358</v>
      </c>
      <c r="B46" s="37" t="s">
        <v>397</v>
      </c>
      <c r="C46" s="37">
        <v>355</v>
      </c>
      <c r="D46" s="37">
        <v>176</v>
      </c>
      <c r="E46" s="37">
        <v>224</v>
      </c>
      <c r="F46" s="207">
        <v>178</v>
      </c>
      <c r="G46" s="37">
        <v>248</v>
      </c>
      <c r="H46" s="37">
        <v>234</v>
      </c>
      <c r="I46" s="37">
        <v>200</v>
      </c>
      <c r="J46" s="210">
        <v>120</v>
      </c>
      <c r="K46" s="37">
        <v>204</v>
      </c>
      <c r="L46" s="37">
        <v>361</v>
      </c>
      <c r="M46" s="37">
        <v>187</v>
      </c>
      <c r="N46" s="199">
        <v>222</v>
      </c>
      <c r="O46" s="37">
        <v>173</v>
      </c>
      <c r="P46" s="37">
        <v>230</v>
      </c>
      <c r="Q46" s="37">
        <v>225</v>
      </c>
      <c r="R46" s="37">
        <v>130</v>
      </c>
      <c r="S46" s="6">
        <v>90</v>
      </c>
      <c r="T46">
        <f>AVERAGE(D43:D44)</f>
        <v>203.5</v>
      </c>
      <c r="U46">
        <f t="shared" si="12"/>
        <v>5752.5</v>
      </c>
      <c r="W46" s="6">
        <v>90</v>
      </c>
      <c r="X46">
        <f>AVERAGE(D67:D68)</f>
        <v>340</v>
      </c>
      <c r="Y46">
        <f t="shared" si="13"/>
        <v>8475</v>
      </c>
    </row>
    <row r="47" spans="1:26" ht="26.4">
      <c r="A47" s="37" t="s">
        <v>389</v>
      </c>
      <c r="B47" s="202" t="s">
        <v>397</v>
      </c>
      <c r="C47" s="37">
        <v>348</v>
      </c>
      <c r="D47" s="37">
        <v>184</v>
      </c>
      <c r="E47" s="37">
        <v>241</v>
      </c>
      <c r="F47" s="207">
        <v>184</v>
      </c>
      <c r="G47" s="37">
        <v>212</v>
      </c>
      <c r="H47" s="37">
        <v>252</v>
      </c>
      <c r="I47" s="37">
        <v>207</v>
      </c>
      <c r="J47" s="213"/>
      <c r="K47" s="37">
        <v>217</v>
      </c>
      <c r="L47" s="37">
        <v>344</v>
      </c>
      <c r="M47" s="37">
        <v>187</v>
      </c>
      <c r="N47" s="206"/>
      <c r="O47" s="37">
        <v>177</v>
      </c>
      <c r="P47" s="37">
        <v>236</v>
      </c>
      <c r="Q47" s="37">
        <v>236</v>
      </c>
      <c r="R47" s="37">
        <v>135</v>
      </c>
      <c r="S47" s="6">
        <v>120</v>
      </c>
      <c r="T47">
        <f>AVERAGE(D46:D47)</f>
        <v>180</v>
      </c>
      <c r="W47" s="6">
        <v>120</v>
      </c>
      <c r="X47">
        <f>AVERAGE(D70:D71)</f>
        <v>225</v>
      </c>
    </row>
    <row r="48" spans="1:26" ht="13.2">
      <c r="V48">
        <f>SUM(U42:U46)</f>
        <v>30347.5</v>
      </c>
      <c r="Z48">
        <f>SUM(Y42:Y46)</f>
        <v>39510</v>
      </c>
    </row>
    <row r="50" spans="1:26" ht="13.2">
      <c r="A50" s="198">
        <v>43083</v>
      </c>
      <c r="S50" s="6" t="s">
        <v>428</v>
      </c>
      <c r="W50" s="6" t="s">
        <v>429</v>
      </c>
    </row>
    <row r="51" spans="1:26" ht="13.2">
      <c r="A51" s="160"/>
      <c r="B51" s="214" t="s">
        <v>377</v>
      </c>
      <c r="C51" s="216" t="s">
        <v>415</v>
      </c>
      <c r="D51" s="199" t="s">
        <v>123</v>
      </c>
      <c r="E51" s="210" t="s">
        <v>20</v>
      </c>
      <c r="F51" s="207" t="s">
        <v>41</v>
      </c>
      <c r="G51" s="216" t="s">
        <v>115</v>
      </c>
      <c r="H51" s="199" t="s">
        <v>125</v>
      </c>
      <c r="I51" s="210" t="s">
        <v>29</v>
      </c>
      <c r="J51" s="207" t="s">
        <v>55</v>
      </c>
      <c r="K51" s="216" t="s">
        <v>117</v>
      </c>
      <c r="L51" s="199" t="s">
        <v>127</v>
      </c>
      <c r="M51" s="210" t="s">
        <v>47</v>
      </c>
      <c r="N51" s="207" t="s">
        <v>61</v>
      </c>
      <c r="O51" s="216" t="s">
        <v>119</v>
      </c>
      <c r="P51" s="199" t="s">
        <v>129</v>
      </c>
      <c r="Q51" s="210" t="s">
        <v>58</v>
      </c>
      <c r="R51" s="207" t="s">
        <v>69</v>
      </c>
      <c r="S51" s="6">
        <v>0</v>
      </c>
      <c r="T51" s="6">
        <f>AVERAGE(H31:H32)</f>
        <v>237</v>
      </c>
      <c r="U51">
        <f t="shared" ref="U51:U55" si="14">(T51+T52)/2*(S52-S51)</f>
        <v>6270</v>
      </c>
      <c r="W51" s="6">
        <v>0</v>
      </c>
      <c r="X51" s="6">
        <f>AVERAGE(H55:H56)</f>
        <v>264.5</v>
      </c>
      <c r="Y51">
        <f t="shared" ref="Y51:Y55" si="15">(X52+X51)/2*(W52-W51)</f>
        <v>7625</v>
      </c>
    </row>
    <row r="52" spans="1:26" ht="13.2">
      <c r="A52" s="49"/>
      <c r="B52" s="214" t="s">
        <v>382</v>
      </c>
      <c r="C52" s="37">
        <v>48.3</v>
      </c>
      <c r="D52" s="37">
        <v>49.1</v>
      </c>
      <c r="E52" s="37">
        <v>51.5</v>
      </c>
      <c r="F52" s="37">
        <v>27</v>
      </c>
      <c r="G52" s="37">
        <v>50</v>
      </c>
      <c r="H52" s="37">
        <v>51</v>
      </c>
      <c r="I52" s="37">
        <v>36.200000000000003</v>
      </c>
      <c r="J52" s="37">
        <v>25.6</v>
      </c>
      <c r="K52" s="37">
        <v>49.2</v>
      </c>
      <c r="L52" s="37">
        <v>53.1</v>
      </c>
      <c r="M52" s="37">
        <v>47.6</v>
      </c>
      <c r="N52" s="37">
        <v>23</v>
      </c>
      <c r="O52" s="37">
        <v>46.1</v>
      </c>
      <c r="P52" s="37">
        <v>52.4</v>
      </c>
      <c r="Q52" s="37">
        <v>51.6</v>
      </c>
      <c r="R52" s="37">
        <v>23.3</v>
      </c>
      <c r="S52" s="6">
        <v>20</v>
      </c>
      <c r="T52">
        <f>AVERAGE(H34:H35)</f>
        <v>390</v>
      </c>
      <c r="U52">
        <f t="shared" si="14"/>
        <v>8400</v>
      </c>
      <c r="W52" s="6">
        <v>20</v>
      </c>
      <c r="X52">
        <f>AVERAGE(H58:H59)</f>
        <v>498</v>
      </c>
      <c r="Y52">
        <f t="shared" si="15"/>
        <v>10515</v>
      </c>
    </row>
    <row r="53" spans="1:26" ht="26.4">
      <c r="A53" s="37" t="s">
        <v>386</v>
      </c>
      <c r="B53" s="214" t="s">
        <v>387</v>
      </c>
      <c r="C53" s="49">
        <f t="shared" ref="C53:R53" si="16">C52*0.01</f>
        <v>0.48299999999999998</v>
      </c>
      <c r="D53" s="49">
        <f t="shared" si="16"/>
        <v>0.49100000000000005</v>
      </c>
      <c r="E53" s="49">
        <f t="shared" si="16"/>
        <v>0.51500000000000001</v>
      </c>
      <c r="F53" s="49">
        <f t="shared" si="16"/>
        <v>0.27</v>
      </c>
      <c r="G53" s="49">
        <f t="shared" si="16"/>
        <v>0.5</v>
      </c>
      <c r="H53" s="49">
        <f t="shared" si="16"/>
        <v>0.51</v>
      </c>
      <c r="I53" s="49">
        <f t="shared" si="16"/>
        <v>0.36200000000000004</v>
      </c>
      <c r="J53" s="49">
        <f t="shared" si="16"/>
        <v>0.25600000000000001</v>
      </c>
      <c r="K53" s="49">
        <f t="shared" si="16"/>
        <v>0.49200000000000005</v>
      </c>
      <c r="L53" s="49">
        <f t="shared" si="16"/>
        <v>0.53100000000000003</v>
      </c>
      <c r="M53" s="49">
        <f t="shared" si="16"/>
        <v>0.47600000000000003</v>
      </c>
      <c r="N53" s="49">
        <f t="shared" si="16"/>
        <v>0.23</v>
      </c>
      <c r="O53" s="49">
        <f t="shared" si="16"/>
        <v>0.46100000000000002</v>
      </c>
      <c r="P53" s="49">
        <f t="shared" si="16"/>
        <v>0.52400000000000002</v>
      </c>
      <c r="Q53" s="49">
        <f t="shared" si="16"/>
        <v>0.51600000000000001</v>
      </c>
      <c r="R53" s="49">
        <f t="shared" si="16"/>
        <v>0.23300000000000001</v>
      </c>
      <c r="S53" s="6">
        <v>40</v>
      </c>
      <c r="T53">
        <f>AVERAGE(H37:H38)</f>
        <v>450</v>
      </c>
      <c r="U53">
        <f t="shared" si="14"/>
        <v>8040</v>
      </c>
      <c r="W53" s="6">
        <v>40</v>
      </c>
      <c r="X53">
        <f>AVERAGE(H61:H62)</f>
        <v>553.5</v>
      </c>
      <c r="Y53">
        <f t="shared" si="15"/>
        <v>11390</v>
      </c>
    </row>
    <row r="54" spans="1:26" ht="13.2">
      <c r="A54" s="49"/>
      <c r="B54" s="214" t="s">
        <v>390</v>
      </c>
      <c r="C54" s="203">
        <v>0.66666666666666663</v>
      </c>
      <c r="D54" s="203">
        <v>0.66736111111111107</v>
      </c>
      <c r="E54" s="203">
        <v>0.66805555555555551</v>
      </c>
      <c r="F54" s="203">
        <v>0.66874999999999996</v>
      </c>
      <c r="G54" s="203">
        <v>0.6694444444444444</v>
      </c>
      <c r="H54" s="203">
        <v>0.67013888888888884</v>
      </c>
      <c r="I54" s="203">
        <v>0.67083333333333328</v>
      </c>
      <c r="J54" s="203">
        <v>0.67152777777777772</v>
      </c>
      <c r="K54" s="203">
        <v>0.67222222222222228</v>
      </c>
      <c r="L54" s="203">
        <v>0.67291666666666672</v>
      </c>
      <c r="M54" s="203">
        <v>0.67361111111111116</v>
      </c>
      <c r="N54" s="203">
        <v>0.6743055555555556</v>
      </c>
      <c r="O54" s="203">
        <v>0.67500000000000004</v>
      </c>
      <c r="P54" s="203">
        <v>0.67569444444444449</v>
      </c>
      <c r="Q54" s="203">
        <v>0.67638888888888893</v>
      </c>
      <c r="R54" s="203">
        <v>0.67708333333333337</v>
      </c>
      <c r="S54" s="6">
        <v>60</v>
      </c>
      <c r="T54">
        <f>AVERAGE(H40,335)</f>
        <v>354</v>
      </c>
      <c r="U54">
        <f t="shared" si="14"/>
        <v>9210</v>
      </c>
      <c r="W54" s="6">
        <v>60</v>
      </c>
      <c r="X54">
        <f>AVERAGE(H64:H65)</f>
        <v>585.5</v>
      </c>
      <c r="Y54">
        <f t="shared" si="15"/>
        <v>13230</v>
      </c>
    </row>
    <row r="55" spans="1:26" ht="26.4">
      <c r="A55" s="37" t="s">
        <v>358</v>
      </c>
      <c r="B55" s="214" t="s">
        <v>391</v>
      </c>
      <c r="C55" s="37">
        <v>219</v>
      </c>
      <c r="D55" s="37">
        <v>187</v>
      </c>
      <c r="E55" s="37">
        <v>231</v>
      </c>
      <c r="F55" s="37">
        <v>130</v>
      </c>
      <c r="G55" s="37">
        <v>227</v>
      </c>
      <c r="H55" s="37">
        <v>278</v>
      </c>
      <c r="I55" s="37">
        <v>187</v>
      </c>
      <c r="J55" s="37">
        <v>151</v>
      </c>
      <c r="K55" s="37">
        <v>238</v>
      </c>
      <c r="L55" s="37">
        <v>203</v>
      </c>
      <c r="M55" s="37">
        <v>222</v>
      </c>
      <c r="N55" s="37">
        <v>104</v>
      </c>
      <c r="O55" s="37">
        <v>213</v>
      </c>
      <c r="P55" s="37">
        <v>237</v>
      </c>
      <c r="Q55" s="37">
        <v>227</v>
      </c>
      <c r="R55" s="37">
        <v>149</v>
      </c>
      <c r="S55" s="6">
        <v>90</v>
      </c>
      <c r="T55">
        <f>AVERAGE(H43:H44)</f>
        <v>260</v>
      </c>
      <c r="U55">
        <f t="shared" si="14"/>
        <v>7545</v>
      </c>
      <c r="W55" s="6">
        <v>90</v>
      </c>
      <c r="X55">
        <f>AVERAGE(G67:G68)</f>
        <v>296.5</v>
      </c>
      <c r="Y55">
        <f t="shared" si="15"/>
        <v>11812.5</v>
      </c>
    </row>
    <row r="56" spans="1:26" ht="26.4">
      <c r="A56" s="37" t="s">
        <v>358</v>
      </c>
      <c r="B56" s="214" t="s">
        <v>391</v>
      </c>
      <c r="C56" s="37">
        <v>186</v>
      </c>
      <c r="D56" s="37">
        <v>206</v>
      </c>
      <c r="E56" s="37">
        <v>219</v>
      </c>
      <c r="F56" s="37">
        <v>131</v>
      </c>
      <c r="G56" s="37">
        <v>203</v>
      </c>
      <c r="H56" s="37">
        <v>251</v>
      </c>
      <c r="I56" s="49"/>
      <c r="J56" s="37">
        <v>168</v>
      </c>
      <c r="K56" s="37">
        <v>188</v>
      </c>
      <c r="L56" s="37">
        <v>218</v>
      </c>
      <c r="M56" s="37">
        <v>234</v>
      </c>
      <c r="N56" s="37">
        <v>112</v>
      </c>
      <c r="O56" s="37">
        <v>220</v>
      </c>
      <c r="P56" s="37">
        <v>190</v>
      </c>
      <c r="Q56" s="37">
        <v>212</v>
      </c>
      <c r="R56" s="37">
        <v>148</v>
      </c>
      <c r="S56" s="6">
        <v>120</v>
      </c>
      <c r="T56">
        <f>AVERAGE(H46:H47)</f>
        <v>243</v>
      </c>
      <c r="W56" s="6">
        <v>120</v>
      </c>
      <c r="X56">
        <f>AVERAGE(H70:H71)</f>
        <v>491</v>
      </c>
    </row>
    <row r="57" spans="1:26" ht="13.2">
      <c r="A57" s="49"/>
      <c r="B57" s="214" t="s">
        <v>390</v>
      </c>
      <c r="C57" s="203">
        <v>0.67777777777777781</v>
      </c>
      <c r="D57" s="203">
        <v>0.67847222222222225</v>
      </c>
      <c r="E57" s="203">
        <v>0.6791666666666667</v>
      </c>
      <c r="F57" s="203">
        <v>0.67986111111111114</v>
      </c>
      <c r="G57" s="203">
        <v>0.68055555555555558</v>
      </c>
      <c r="H57" s="203">
        <v>0.68125000000000002</v>
      </c>
      <c r="I57" s="203">
        <v>0.68194444444444446</v>
      </c>
      <c r="J57" s="203">
        <v>0.68263888888888891</v>
      </c>
      <c r="K57" s="203">
        <v>0.68333333333333335</v>
      </c>
      <c r="L57" s="203">
        <v>0.68402777777777779</v>
      </c>
      <c r="M57" s="203">
        <v>0.68472222222222223</v>
      </c>
      <c r="N57" s="203">
        <v>0.68541666666666667</v>
      </c>
      <c r="O57" s="203">
        <v>0.68611111111111112</v>
      </c>
      <c r="P57" s="203">
        <v>0.68680555555555556</v>
      </c>
      <c r="Q57" s="203">
        <v>0.6875</v>
      </c>
      <c r="R57" s="203">
        <v>0.68819444444444444</v>
      </c>
      <c r="V57">
        <f>SUM(U51:U55)</f>
        <v>39465</v>
      </c>
      <c r="Z57">
        <f>SUM(Y51:Y55)</f>
        <v>54572.5</v>
      </c>
    </row>
    <row r="58" spans="1:26" ht="26.4">
      <c r="A58" s="37" t="s">
        <v>358</v>
      </c>
      <c r="B58" s="214" t="s">
        <v>393</v>
      </c>
      <c r="C58" s="37">
        <v>448</v>
      </c>
      <c r="D58" s="37">
        <v>452</v>
      </c>
      <c r="E58" s="37">
        <v>475</v>
      </c>
      <c r="F58" s="37">
        <v>280</v>
      </c>
      <c r="G58" s="37">
        <v>437</v>
      </c>
      <c r="H58" s="37">
        <v>533</v>
      </c>
      <c r="I58" s="37">
        <v>511</v>
      </c>
      <c r="J58" s="37">
        <v>313</v>
      </c>
      <c r="K58" s="37">
        <v>473</v>
      </c>
      <c r="L58" s="37">
        <v>356</v>
      </c>
      <c r="M58" s="37">
        <v>393</v>
      </c>
      <c r="N58" s="37">
        <v>288</v>
      </c>
      <c r="O58" s="37">
        <v>470</v>
      </c>
      <c r="P58" s="37">
        <v>507</v>
      </c>
      <c r="Q58" s="37">
        <v>438</v>
      </c>
      <c r="R58" s="37">
        <v>262</v>
      </c>
      <c r="S58" s="6" t="s">
        <v>430</v>
      </c>
      <c r="W58" s="6" t="s">
        <v>431</v>
      </c>
    </row>
    <row r="59" spans="1:26" ht="26.4">
      <c r="A59" s="37" t="s">
        <v>358</v>
      </c>
      <c r="B59" s="214" t="s">
        <v>393</v>
      </c>
      <c r="C59" s="37">
        <v>441</v>
      </c>
      <c r="D59" s="37">
        <v>376</v>
      </c>
      <c r="E59" s="37">
        <v>497</v>
      </c>
      <c r="F59" s="37">
        <v>284</v>
      </c>
      <c r="G59" s="37">
        <v>455</v>
      </c>
      <c r="H59" s="37">
        <v>463</v>
      </c>
      <c r="I59" s="37">
        <v>363</v>
      </c>
      <c r="J59" s="37">
        <v>315</v>
      </c>
      <c r="K59" s="37" t="s">
        <v>420</v>
      </c>
      <c r="L59" s="37">
        <v>335</v>
      </c>
      <c r="M59" s="37">
        <v>450</v>
      </c>
      <c r="N59" s="37">
        <v>292</v>
      </c>
      <c r="O59" s="37">
        <v>437</v>
      </c>
      <c r="P59" s="37">
        <v>472</v>
      </c>
      <c r="Q59" s="37">
        <v>424</v>
      </c>
      <c r="R59" s="37">
        <v>258</v>
      </c>
      <c r="S59" s="6">
        <v>0</v>
      </c>
      <c r="T59" s="6">
        <f>AVERAGE(P31,192,184)</f>
        <v>219.66666666666666</v>
      </c>
      <c r="U59">
        <f t="shared" ref="U59:U63" si="17">(T59+T60)/2*(S60-S59)</f>
        <v>6026.6666666666661</v>
      </c>
      <c r="W59" s="6">
        <v>0</v>
      </c>
      <c r="X59" s="6">
        <f>AVERAGE(L55:L56)</f>
        <v>210.5</v>
      </c>
      <c r="Y59">
        <f t="shared" ref="Y59:Y63" si="18">(X60+X59)/2*(W60-W59)</f>
        <v>5560</v>
      </c>
    </row>
    <row r="60" spans="1:26" ht="13.2">
      <c r="A60" s="37"/>
      <c r="B60" s="214" t="s">
        <v>390</v>
      </c>
      <c r="C60" s="203">
        <v>0.68888888888888888</v>
      </c>
      <c r="D60" s="203">
        <v>0.68958333333333333</v>
      </c>
      <c r="E60" s="203">
        <v>0.69027777777777777</v>
      </c>
      <c r="F60" s="203">
        <v>0.69097222222222221</v>
      </c>
      <c r="G60" s="203">
        <v>0.69166666666666665</v>
      </c>
      <c r="H60" s="203">
        <v>0.69236111111111109</v>
      </c>
      <c r="I60" s="203">
        <v>0.69305555555555554</v>
      </c>
      <c r="J60" s="203">
        <v>0.69374999999999998</v>
      </c>
      <c r="K60" s="203">
        <v>0.69444444444444442</v>
      </c>
      <c r="L60" s="203">
        <v>0.69513888888888886</v>
      </c>
      <c r="M60" s="203">
        <v>0.6958333333333333</v>
      </c>
      <c r="N60" s="203">
        <v>0.69652777777777775</v>
      </c>
      <c r="O60" s="203">
        <v>0.69722222222222219</v>
      </c>
      <c r="P60" s="203">
        <v>0.69791666666666663</v>
      </c>
      <c r="Q60" s="203">
        <v>0.69861111111111107</v>
      </c>
      <c r="R60" s="203">
        <v>0.69930555555555551</v>
      </c>
      <c r="S60" s="6">
        <v>20</v>
      </c>
      <c r="T60">
        <f>AVERAGE(P34:P35)</f>
        <v>383</v>
      </c>
      <c r="U60">
        <f t="shared" si="17"/>
        <v>7480</v>
      </c>
      <c r="W60" s="6">
        <v>20</v>
      </c>
      <c r="X60">
        <f>AVERAGE(L58:L59)</f>
        <v>345.5</v>
      </c>
      <c r="Y60">
        <f t="shared" si="18"/>
        <v>7575</v>
      </c>
    </row>
    <row r="61" spans="1:26" ht="26.4">
      <c r="A61" s="37" t="s">
        <v>358</v>
      </c>
      <c r="B61" s="214" t="s">
        <v>394</v>
      </c>
      <c r="C61" s="37">
        <v>467</v>
      </c>
      <c r="D61" s="37">
        <v>378</v>
      </c>
      <c r="E61" s="37">
        <v>498</v>
      </c>
      <c r="F61" s="37">
        <v>173</v>
      </c>
      <c r="G61" s="37">
        <v>360</v>
      </c>
      <c r="H61" s="37">
        <v>585</v>
      </c>
      <c r="I61" s="37">
        <v>444</v>
      </c>
      <c r="J61" s="37">
        <v>233</v>
      </c>
      <c r="K61" s="37">
        <v>402</v>
      </c>
      <c r="L61" s="37">
        <v>462</v>
      </c>
      <c r="M61" s="37">
        <v>408</v>
      </c>
      <c r="N61" s="37">
        <v>229</v>
      </c>
      <c r="O61" s="37">
        <v>454</v>
      </c>
      <c r="P61" s="37">
        <v>546</v>
      </c>
      <c r="Q61" s="37">
        <v>529</v>
      </c>
      <c r="R61" s="37">
        <v>178</v>
      </c>
      <c r="S61" s="6">
        <v>40</v>
      </c>
      <c r="T61">
        <f>AVERAGE(P37:P38)</f>
        <v>365</v>
      </c>
      <c r="U61">
        <f t="shared" si="17"/>
        <v>6495</v>
      </c>
      <c r="W61" s="6">
        <v>40</v>
      </c>
      <c r="X61">
        <f>AVERAGE(L61:L62)</f>
        <v>412</v>
      </c>
      <c r="Y61">
        <f t="shared" si="18"/>
        <v>9010</v>
      </c>
    </row>
    <row r="62" spans="1:26" ht="26.4">
      <c r="A62" s="37" t="s">
        <v>358</v>
      </c>
      <c r="B62" s="214" t="s">
        <v>394</v>
      </c>
      <c r="C62" s="37">
        <v>448</v>
      </c>
      <c r="D62" s="37">
        <v>371</v>
      </c>
      <c r="E62" s="37">
        <v>504</v>
      </c>
      <c r="F62" s="37">
        <v>175</v>
      </c>
      <c r="G62" s="37">
        <v>358</v>
      </c>
      <c r="H62" s="37">
        <v>522</v>
      </c>
      <c r="I62" s="37">
        <v>471</v>
      </c>
      <c r="J62" s="37">
        <v>231</v>
      </c>
      <c r="K62" s="37">
        <v>443</v>
      </c>
      <c r="L62" s="37">
        <v>362</v>
      </c>
      <c r="M62" s="37">
        <v>416</v>
      </c>
      <c r="N62" s="37">
        <v>230</v>
      </c>
      <c r="O62" s="37">
        <v>436</v>
      </c>
      <c r="P62" s="37">
        <v>521</v>
      </c>
      <c r="Q62" s="37">
        <v>503</v>
      </c>
      <c r="R62" s="37">
        <v>173</v>
      </c>
      <c r="S62" s="6">
        <v>60</v>
      </c>
      <c r="T62">
        <f>AVERAGE(P40:P41)</f>
        <v>284.5</v>
      </c>
      <c r="U62">
        <f t="shared" si="17"/>
        <v>8235</v>
      </c>
      <c r="W62" s="6">
        <v>60</v>
      </c>
      <c r="X62">
        <f>AVERAGE(L64:L65)</f>
        <v>489</v>
      </c>
      <c r="Y62">
        <f t="shared" si="18"/>
        <v>14707.5</v>
      </c>
    </row>
    <row r="63" spans="1:26" ht="13.2">
      <c r="A63" s="37"/>
      <c r="B63" s="214" t="s">
        <v>390</v>
      </c>
      <c r="C63" s="203">
        <v>0.70833333333333337</v>
      </c>
      <c r="D63" s="203">
        <v>0.70902777777777781</v>
      </c>
      <c r="E63" s="203">
        <v>0.70972222222222225</v>
      </c>
      <c r="F63" s="203">
        <v>0.7104166666666667</v>
      </c>
      <c r="G63" s="203">
        <v>0.71111111111111114</v>
      </c>
      <c r="H63" s="203">
        <v>0.71180555555555558</v>
      </c>
      <c r="I63" s="203">
        <v>0.71250000000000002</v>
      </c>
      <c r="J63" s="203">
        <v>0.71319444444444446</v>
      </c>
      <c r="K63" s="203">
        <v>0.71388888888888891</v>
      </c>
      <c r="L63" s="203">
        <v>0.71458333333333335</v>
      </c>
      <c r="M63" s="203">
        <v>0.71527777777777779</v>
      </c>
      <c r="N63" s="203">
        <v>0.71666666666666667</v>
      </c>
      <c r="O63" s="203">
        <v>0.71736111111111112</v>
      </c>
      <c r="P63" s="203">
        <v>0.71805555555555556</v>
      </c>
      <c r="Q63" s="203">
        <v>0.71875</v>
      </c>
      <c r="R63" s="203">
        <v>0.71944444444444444</v>
      </c>
      <c r="S63" s="6">
        <v>90</v>
      </c>
      <c r="T63">
        <f>AVERAGE(P43:P44)</f>
        <v>264.5</v>
      </c>
      <c r="U63">
        <f t="shared" si="17"/>
        <v>7462.5</v>
      </c>
      <c r="W63" s="6">
        <v>90</v>
      </c>
      <c r="X63">
        <f>AVERAGE(L67:L68)</f>
        <v>491.5</v>
      </c>
      <c r="Y63">
        <f t="shared" si="18"/>
        <v>10665</v>
      </c>
    </row>
    <row r="64" spans="1:26" ht="26.4">
      <c r="A64" s="37" t="s">
        <v>358</v>
      </c>
      <c r="B64" s="214" t="s">
        <v>395</v>
      </c>
      <c r="C64" s="37">
        <v>395</v>
      </c>
      <c r="D64" s="37">
        <v>358</v>
      </c>
      <c r="E64" s="37">
        <v>471</v>
      </c>
      <c r="F64" s="37">
        <v>183</v>
      </c>
      <c r="G64" s="37">
        <v>312</v>
      </c>
      <c r="H64" s="37">
        <v>593</v>
      </c>
      <c r="I64" s="37">
        <v>334</v>
      </c>
      <c r="J64" s="37">
        <v>197</v>
      </c>
      <c r="K64" s="37">
        <v>451</v>
      </c>
      <c r="L64" s="37">
        <v>483</v>
      </c>
      <c r="M64" s="37">
        <v>294</v>
      </c>
      <c r="N64" s="37">
        <v>183</v>
      </c>
      <c r="O64" s="37">
        <v>355</v>
      </c>
      <c r="P64" s="37">
        <v>504</v>
      </c>
      <c r="Q64" s="37">
        <v>505</v>
      </c>
      <c r="R64" s="37">
        <v>98</v>
      </c>
      <c r="S64" s="6">
        <v>120</v>
      </c>
      <c r="T64">
        <f>AVERAGE(P46:P47)</f>
        <v>233</v>
      </c>
      <c r="W64" s="6">
        <v>120</v>
      </c>
      <c r="X64">
        <f>AVERAGE(L70:L71)</f>
        <v>219.5</v>
      </c>
    </row>
    <row r="65" spans="1:26" ht="26.4">
      <c r="A65" s="37" t="s">
        <v>358</v>
      </c>
      <c r="B65" s="214" t="s">
        <v>395</v>
      </c>
      <c r="C65" s="37">
        <v>406</v>
      </c>
      <c r="D65" s="37">
        <v>298</v>
      </c>
      <c r="E65" s="49"/>
      <c r="F65" s="37">
        <v>187</v>
      </c>
      <c r="G65" s="37">
        <v>318</v>
      </c>
      <c r="H65" s="37">
        <v>578</v>
      </c>
      <c r="I65" s="37">
        <v>325</v>
      </c>
      <c r="J65" s="49"/>
      <c r="K65" s="37">
        <v>446</v>
      </c>
      <c r="L65" s="37">
        <v>495</v>
      </c>
      <c r="M65" s="37">
        <v>284</v>
      </c>
      <c r="N65" s="49"/>
      <c r="O65" s="37">
        <v>383</v>
      </c>
      <c r="P65" s="37">
        <v>527</v>
      </c>
      <c r="Q65" s="49"/>
      <c r="R65" s="49"/>
      <c r="V65">
        <f>SUM(U59:U63)</f>
        <v>35699.166666666664</v>
      </c>
      <c r="Z65">
        <f>SUM(Y59:Y63)</f>
        <v>47517.5</v>
      </c>
    </row>
    <row r="66" spans="1:26" ht="13.2">
      <c r="A66" s="37"/>
      <c r="B66" s="214" t="s">
        <v>390</v>
      </c>
      <c r="C66" s="203">
        <v>0.72916666666666663</v>
      </c>
      <c r="D66" s="203">
        <v>0.72986111111111107</v>
      </c>
      <c r="E66" s="203">
        <v>0.73055555555555551</v>
      </c>
      <c r="F66" s="203">
        <v>0.73124999999999996</v>
      </c>
      <c r="G66" s="203">
        <v>0.7319444444444444</v>
      </c>
      <c r="H66" s="203">
        <v>0.73263888888888884</v>
      </c>
      <c r="I66" s="203">
        <v>0.73333333333333328</v>
      </c>
      <c r="J66" s="203">
        <v>0.73402777777777772</v>
      </c>
      <c r="K66" s="203">
        <v>0.73472222222222228</v>
      </c>
      <c r="L66" s="203">
        <v>0.73541666666666672</v>
      </c>
      <c r="M66" s="203">
        <v>0.73611111111111116</v>
      </c>
      <c r="N66" s="203">
        <v>0.7368055555555556</v>
      </c>
      <c r="O66" s="203">
        <v>0.73750000000000004</v>
      </c>
      <c r="P66" s="203">
        <v>0.73819444444444449</v>
      </c>
      <c r="Q66" s="203">
        <v>0.73888888888888893</v>
      </c>
      <c r="R66" s="203">
        <v>0.73958333333333337</v>
      </c>
      <c r="S66" s="6" t="s">
        <v>433</v>
      </c>
      <c r="W66" s="6" t="s">
        <v>434</v>
      </c>
    </row>
    <row r="67" spans="1:26" ht="26.4">
      <c r="A67" s="37" t="s">
        <v>358</v>
      </c>
      <c r="B67" s="214" t="s">
        <v>396</v>
      </c>
      <c r="C67" s="37">
        <v>352</v>
      </c>
      <c r="D67" s="37">
        <v>356</v>
      </c>
      <c r="E67" s="37">
        <v>463</v>
      </c>
      <c r="F67" s="37">
        <v>154</v>
      </c>
      <c r="G67" s="37">
        <v>307</v>
      </c>
      <c r="H67" s="37">
        <v>598</v>
      </c>
      <c r="I67" s="37">
        <v>232</v>
      </c>
      <c r="J67" s="37">
        <v>181</v>
      </c>
      <c r="K67" s="37">
        <v>414</v>
      </c>
      <c r="L67" s="37">
        <v>525</v>
      </c>
      <c r="M67" s="37">
        <v>290</v>
      </c>
      <c r="N67" s="37">
        <v>149</v>
      </c>
      <c r="O67" s="37">
        <v>354</v>
      </c>
      <c r="P67" s="37">
        <v>502</v>
      </c>
      <c r="Q67" s="37">
        <v>526</v>
      </c>
      <c r="R67" s="37">
        <v>160</v>
      </c>
      <c r="S67" s="6">
        <v>0</v>
      </c>
      <c r="T67" s="6">
        <f>AVERAGE(D6:D7)</f>
        <v>196.5</v>
      </c>
      <c r="U67">
        <f t="shared" ref="U67:U71" si="19">(T67+T68)/2*(S68-S67)</f>
        <v>5190</v>
      </c>
      <c r="W67" s="6">
        <v>0</v>
      </c>
      <c r="X67" s="6">
        <f>AVERAGE(P55:P56)</f>
        <v>213.5</v>
      </c>
      <c r="Y67">
        <f t="shared" ref="Y67:Y71" si="20">(X68+X67)/2*(W68-W67)</f>
        <v>7030</v>
      </c>
    </row>
    <row r="68" spans="1:26" ht="26.4">
      <c r="A68" s="37" t="s">
        <v>358</v>
      </c>
      <c r="B68" s="214" t="s">
        <v>396</v>
      </c>
      <c r="C68" s="37">
        <v>362</v>
      </c>
      <c r="D68" s="37">
        <v>324</v>
      </c>
      <c r="E68" s="37">
        <v>473</v>
      </c>
      <c r="F68" s="49"/>
      <c r="G68" s="37">
        <v>286</v>
      </c>
      <c r="H68" s="37" t="s">
        <v>419</v>
      </c>
      <c r="I68" s="49"/>
      <c r="J68" s="49"/>
      <c r="K68" s="37">
        <v>406</v>
      </c>
      <c r="L68" s="37">
        <v>458</v>
      </c>
      <c r="M68" s="37">
        <v>244</v>
      </c>
      <c r="N68" s="49"/>
      <c r="O68" s="37">
        <v>370</v>
      </c>
      <c r="P68" s="37">
        <v>550</v>
      </c>
      <c r="Q68" s="37">
        <v>545</v>
      </c>
      <c r="R68" s="49"/>
      <c r="S68" s="6">
        <v>20</v>
      </c>
      <c r="T68">
        <f>AVERAGE(D9:D10)</f>
        <v>322.5</v>
      </c>
      <c r="U68">
        <f t="shared" si="19"/>
        <v>5815</v>
      </c>
      <c r="W68" s="6">
        <v>20</v>
      </c>
      <c r="X68">
        <f>AVERAGE(P58:P59)</f>
        <v>489.5</v>
      </c>
      <c r="Y68">
        <f t="shared" si="20"/>
        <v>10230</v>
      </c>
    </row>
    <row r="69" spans="1:26" ht="13.2">
      <c r="A69" s="37"/>
      <c r="B69" s="214" t="s">
        <v>390</v>
      </c>
      <c r="C69" s="203">
        <v>0.75</v>
      </c>
      <c r="D69" s="203">
        <v>0.75069444444444444</v>
      </c>
      <c r="E69" s="203">
        <v>0.75138888888888888</v>
      </c>
      <c r="F69" s="203">
        <v>0.75208333333333333</v>
      </c>
      <c r="G69" s="203">
        <v>0.75277777777777777</v>
      </c>
      <c r="H69" s="203">
        <v>0.75347222222222221</v>
      </c>
      <c r="I69" s="203">
        <v>0.75416666666666665</v>
      </c>
      <c r="J69" s="203">
        <v>0.75486111111111109</v>
      </c>
      <c r="K69" s="203">
        <v>0.75555555555555554</v>
      </c>
      <c r="L69" s="203">
        <v>0.75624999999999998</v>
      </c>
      <c r="M69" s="203">
        <v>0.75694444444444442</v>
      </c>
      <c r="N69" s="203">
        <v>0.75763888888888886</v>
      </c>
      <c r="O69" s="203">
        <v>0.7583333333333333</v>
      </c>
      <c r="P69" s="203">
        <v>0.75902777777777775</v>
      </c>
      <c r="Q69" s="203">
        <v>0.75972222222222219</v>
      </c>
      <c r="R69" s="203">
        <v>0.76041666666666663</v>
      </c>
      <c r="S69" s="6">
        <v>40</v>
      </c>
      <c r="T69">
        <f>AVERAGE(D12)</f>
        <v>259</v>
      </c>
      <c r="U69">
        <f t="shared" si="19"/>
        <v>4800</v>
      </c>
      <c r="W69" s="6">
        <v>40</v>
      </c>
      <c r="X69">
        <f>AVERAGE(P61:P62)</f>
        <v>533.5</v>
      </c>
      <c r="Y69">
        <f t="shared" si="20"/>
        <v>10490</v>
      </c>
    </row>
    <row r="70" spans="1:26" ht="26.4">
      <c r="A70" s="37" t="s">
        <v>358</v>
      </c>
      <c r="B70" s="214" t="s">
        <v>397</v>
      </c>
      <c r="C70" s="37">
        <v>296</v>
      </c>
      <c r="D70" s="37">
        <v>232</v>
      </c>
      <c r="E70" s="37">
        <v>423</v>
      </c>
      <c r="F70" s="37">
        <v>141</v>
      </c>
      <c r="G70" s="37">
        <v>277</v>
      </c>
      <c r="H70" s="37">
        <v>510</v>
      </c>
      <c r="I70" s="37">
        <v>328</v>
      </c>
      <c r="J70" s="37">
        <v>200</v>
      </c>
      <c r="K70" s="37">
        <v>354</v>
      </c>
      <c r="L70" s="37">
        <v>228</v>
      </c>
      <c r="M70" s="37">
        <v>297</v>
      </c>
      <c r="N70" s="37">
        <v>121</v>
      </c>
      <c r="O70" s="37">
        <v>447</v>
      </c>
      <c r="P70" s="37">
        <v>502</v>
      </c>
      <c r="Q70" s="37">
        <v>471</v>
      </c>
      <c r="R70" s="37">
        <v>163</v>
      </c>
      <c r="S70" s="6">
        <v>60</v>
      </c>
      <c r="T70">
        <f>AVERAGE(D15:D16)</f>
        <v>221</v>
      </c>
      <c r="U70">
        <f t="shared" si="19"/>
        <v>6075</v>
      </c>
      <c r="W70" s="6">
        <v>60</v>
      </c>
      <c r="X70">
        <f>AVERAGE(P64:P65)</f>
        <v>515.5</v>
      </c>
      <c r="Y70">
        <f t="shared" si="20"/>
        <v>15622.5</v>
      </c>
    </row>
    <row r="71" spans="1:26" ht="26.4">
      <c r="A71" s="37" t="s">
        <v>358</v>
      </c>
      <c r="B71" s="215" t="s">
        <v>397</v>
      </c>
      <c r="C71" s="37">
        <v>317</v>
      </c>
      <c r="D71" s="37">
        <v>218</v>
      </c>
      <c r="E71" s="37">
        <v>428</v>
      </c>
      <c r="F71" s="49"/>
      <c r="G71" s="49"/>
      <c r="H71" s="37">
        <v>472</v>
      </c>
      <c r="I71" s="37">
        <v>344</v>
      </c>
      <c r="K71" s="37" t="s">
        <v>421</v>
      </c>
      <c r="L71" s="37">
        <v>211</v>
      </c>
      <c r="M71" s="37">
        <v>336</v>
      </c>
      <c r="O71" s="37">
        <v>440</v>
      </c>
      <c r="P71" s="37">
        <v>500</v>
      </c>
      <c r="Q71" s="37">
        <v>496</v>
      </c>
      <c r="R71" s="49"/>
      <c r="S71" s="6">
        <v>90</v>
      </c>
      <c r="T71">
        <f>AVERAGE(D18:D19)</f>
        <v>184</v>
      </c>
      <c r="U71">
        <f t="shared" si="19"/>
        <v>5377.5</v>
      </c>
      <c r="W71" s="6">
        <v>90</v>
      </c>
      <c r="X71">
        <f>AVERAGE(P67:P68)</f>
        <v>526</v>
      </c>
      <c r="Y71">
        <f t="shared" si="20"/>
        <v>15405</v>
      </c>
    </row>
    <row r="72" spans="1:26" ht="13.2">
      <c r="S72" s="6">
        <v>120</v>
      </c>
      <c r="T72">
        <f>AVERAGE(D21:D22)</f>
        <v>174.5</v>
      </c>
      <c r="V72">
        <f>SUM(U67:U71)</f>
        <v>27257.5</v>
      </c>
      <c r="W72" s="6">
        <v>120</v>
      </c>
      <c r="X72">
        <f>AVERAGE(P70:P71)</f>
        <v>501</v>
      </c>
    </row>
    <row r="73" spans="1:26" ht="13.2">
      <c r="Z73">
        <f>SUM(Y67:Y71)</f>
        <v>58777.5</v>
      </c>
    </row>
    <row r="74" spans="1:26" ht="13.2">
      <c r="S74" s="6" t="s">
        <v>435</v>
      </c>
      <c r="W74" s="6" t="s">
        <v>436</v>
      </c>
    </row>
    <row r="75" spans="1:26" ht="13.2">
      <c r="P75" s="6" t="s">
        <v>437</v>
      </c>
      <c r="S75" s="6">
        <v>0</v>
      </c>
      <c r="T75" s="6">
        <f>AVERAGE(I55)</f>
        <v>187</v>
      </c>
      <c r="U75">
        <f t="shared" ref="U75:U79" si="21">(T75+T76)/2*(S76-S75)</f>
        <v>6240</v>
      </c>
      <c r="W75" s="6">
        <v>0</v>
      </c>
      <c r="X75" s="6">
        <f>AVERAGE(E55:E56)</f>
        <v>225</v>
      </c>
      <c r="Y75">
        <f t="shared" ref="Y75:Y79" si="22">(X76+X75)/2*(W76-W75)</f>
        <v>7110</v>
      </c>
    </row>
    <row r="76" spans="1:26" ht="13.2">
      <c r="P76" s="6">
        <v>0</v>
      </c>
      <c r="Q76">
        <f>AVERAGE(L31:L32)</f>
        <v>221</v>
      </c>
      <c r="R76">
        <f t="shared" ref="R76:R80" si="23">(Q76+Q77)/2*(P77-P76)</f>
        <v>7220</v>
      </c>
      <c r="S76" s="6">
        <v>20</v>
      </c>
      <c r="T76">
        <f>AVERAGE(I58:I59)</f>
        <v>437</v>
      </c>
      <c r="U76">
        <f t="shared" si="21"/>
        <v>9080</v>
      </c>
      <c r="W76" s="6">
        <v>20</v>
      </c>
      <c r="X76">
        <f>AVERAGE(E58:E59)</f>
        <v>486</v>
      </c>
      <c r="Y76">
        <f t="shared" si="22"/>
        <v>9870</v>
      </c>
    </row>
    <row r="77" spans="1:26" ht="13.2">
      <c r="P77" s="6">
        <v>20</v>
      </c>
      <c r="Q77">
        <f>AVERAGE(L34:L35)</f>
        <v>501</v>
      </c>
      <c r="R77">
        <f t="shared" si="23"/>
        <v>9675</v>
      </c>
      <c r="S77" s="6">
        <v>40</v>
      </c>
      <c r="T77">
        <f>AVERAGE(I62)</f>
        <v>471</v>
      </c>
      <c r="U77">
        <f t="shared" si="21"/>
        <v>8005</v>
      </c>
      <c r="W77" s="6">
        <v>40</v>
      </c>
      <c r="X77">
        <f>AVERAGE(E61:E62)</f>
        <v>501</v>
      </c>
      <c r="Y77">
        <f t="shared" si="22"/>
        <v>9720</v>
      </c>
    </row>
    <row r="78" spans="1:26" ht="13.2">
      <c r="P78" s="6">
        <v>40</v>
      </c>
      <c r="Q78">
        <f>AVERAGE(L37:L38)</f>
        <v>466.5</v>
      </c>
      <c r="R78">
        <f t="shared" si="23"/>
        <v>9275</v>
      </c>
      <c r="S78" s="6">
        <v>60</v>
      </c>
      <c r="T78">
        <f>AVERAGE(I64:I65)</f>
        <v>329.5</v>
      </c>
      <c r="U78">
        <f t="shared" si="21"/>
        <v>8422.5</v>
      </c>
      <c r="W78" s="6">
        <v>60</v>
      </c>
      <c r="X78">
        <f>AVERAGE(E64)</f>
        <v>471</v>
      </c>
      <c r="Y78">
        <f t="shared" si="22"/>
        <v>14085</v>
      </c>
    </row>
    <row r="79" spans="1:26" ht="13.2">
      <c r="P79" s="6">
        <v>60</v>
      </c>
      <c r="Q79">
        <f>AVERAGE(L40:L41)</f>
        <v>461</v>
      </c>
      <c r="R79">
        <f t="shared" si="23"/>
        <v>13177.5</v>
      </c>
      <c r="S79" s="6">
        <v>90</v>
      </c>
      <c r="T79">
        <f>AVERAGE(I67)</f>
        <v>232</v>
      </c>
      <c r="U79">
        <f t="shared" si="21"/>
        <v>8640</v>
      </c>
      <c r="W79" s="6">
        <v>90</v>
      </c>
      <c r="X79">
        <f>AVERAGE(E67:E68)</f>
        <v>468</v>
      </c>
      <c r="Y79">
        <f t="shared" si="22"/>
        <v>13402.5</v>
      </c>
    </row>
    <row r="80" spans="1:26" ht="13.2">
      <c r="P80" s="6">
        <v>90</v>
      </c>
      <c r="Q80">
        <f>AVERAGE(L43:L44)</f>
        <v>417.5</v>
      </c>
      <c r="R80">
        <f t="shared" si="23"/>
        <v>11550</v>
      </c>
      <c r="S80" s="6">
        <v>120</v>
      </c>
      <c r="T80">
        <f>AVERAGE(I71)</f>
        <v>344</v>
      </c>
      <c r="W80" s="6">
        <v>120</v>
      </c>
      <c r="X80">
        <f>AVERAGE(E70:E71)</f>
        <v>425.5</v>
      </c>
    </row>
    <row r="81" spans="16:26" ht="13.2">
      <c r="P81" s="6">
        <v>120</v>
      </c>
      <c r="Q81">
        <f>AVERAGE(L46:L47)</f>
        <v>352.5</v>
      </c>
      <c r="V81">
        <f>SUM(U75:U79)</f>
        <v>40387.5</v>
      </c>
      <c r="Z81">
        <f>SUM(Y75:Y79)</f>
        <v>54187.5</v>
      </c>
    </row>
    <row r="82" spans="16:26" ht="13.2">
      <c r="R82">
        <f>SUM(R76:R80)</f>
        <v>50897.5</v>
      </c>
      <c r="S82" s="6" t="s">
        <v>66</v>
      </c>
      <c r="W82" s="6" t="s">
        <v>47</v>
      </c>
    </row>
    <row r="83" spans="16:26" ht="13.2">
      <c r="S83" s="6">
        <v>0</v>
      </c>
      <c r="T83" s="6">
        <f>AVERAGE(E31:E32)</f>
        <v>193</v>
      </c>
      <c r="U83">
        <f t="shared" ref="U83:U87" si="24">(T83+T84)/2*(S84-S83)</f>
        <v>5950</v>
      </c>
      <c r="W83" s="6">
        <v>0</v>
      </c>
      <c r="X83" s="6">
        <f>AVERAGE(M55:M56)</f>
        <v>228</v>
      </c>
      <c r="Y83">
        <f t="shared" ref="Y83:Y87" si="25">(X84+X83)/2*(W84-W83)</f>
        <v>6495</v>
      </c>
    </row>
    <row r="84" spans="16:26" ht="13.2">
      <c r="S84" s="6">
        <v>20</v>
      </c>
      <c r="T84">
        <f>AVERAGE(E34:E35)</f>
        <v>402</v>
      </c>
      <c r="U84">
        <f t="shared" si="24"/>
        <v>7470</v>
      </c>
      <c r="W84" s="6">
        <v>20</v>
      </c>
      <c r="X84">
        <f>AVERAGE(M58:M59)</f>
        <v>421.5</v>
      </c>
      <c r="Y84">
        <f t="shared" si="25"/>
        <v>8335</v>
      </c>
    </row>
    <row r="85" spans="16:26" ht="13.2">
      <c r="S85" s="6">
        <v>40</v>
      </c>
      <c r="T85">
        <f>AVERAGE(E37:E38)</f>
        <v>345</v>
      </c>
      <c r="U85">
        <f t="shared" si="24"/>
        <v>6900</v>
      </c>
      <c r="W85" s="6">
        <v>40</v>
      </c>
      <c r="X85">
        <f>AVERAGE(M61:M62)</f>
        <v>412</v>
      </c>
      <c r="Y85">
        <f t="shared" si="25"/>
        <v>7010</v>
      </c>
    </row>
    <row r="86" spans="16:26" ht="13.2">
      <c r="S86" s="6">
        <v>60</v>
      </c>
      <c r="T86">
        <f>AVERAGE(E37:E38)</f>
        <v>345</v>
      </c>
      <c r="U86">
        <f t="shared" si="24"/>
        <v>9382.5</v>
      </c>
      <c r="W86" s="6">
        <v>60</v>
      </c>
      <c r="X86">
        <f>AVERAGE(M64:M65)</f>
        <v>289</v>
      </c>
      <c r="Y86">
        <f t="shared" si="25"/>
        <v>8340</v>
      </c>
    </row>
    <row r="87" spans="16:26" ht="13.2">
      <c r="S87" s="6">
        <v>90</v>
      </c>
      <c r="T87">
        <f>AVERAGE(E43:E44)</f>
        <v>280.5</v>
      </c>
      <c r="U87">
        <f t="shared" si="24"/>
        <v>7695</v>
      </c>
      <c r="W87" s="6">
        <v>90</v>
      </c>
      <c r="X87">
        <f>AVERAGE(M67:M68)</f>
        <v>267</v>
      </c>
      <c r="Y87">
        <f t="shared" si="25"/>
        <v>8752.5</v>
      </c>
    </row>
    <row r="88" spans="16:26" ht="13.2">
      <c r="S88" s="6">
        <v>120</v>
      </c>
      <c r="T88">
        <f>AVERAGE(E46:E47)</f>
        <v>232.5</v>
      </c>
      <c r="W88" s="6">
        <v>120</v>
      </c>
      <c r="X88">
        <f>AVERAGE(M70:M71)</f>
        <v>316.5</v>
      </c>
    </row>
    <row r="89" spans="16:26" ht="13.2">
      <c r="V89">
        <f>SUM(U83:U88)</f>
        <v>37397.5</v>
      </c>
      <c r="Z89">
        <f>SUM(Y83:Y87)</f>
        <v>38932.5</v>
      </c>
    </row>
    <row r="90" spans="16:26" ht="13.2">
      <c r="S90" s="6" t="s">
        <v>72</v>
      </c>
      <c r="W90" s="6" t="s">
        <v>58</v>
      </c>
    </row>
    <row r="91" spans="16:26" ht="13.2">
      <c r="S91" s="6">
        <v>0</v>
      </c>
      <c r="T91" s="6">
        <f>AVERAGE(I31:I32)</f>
        <v>194</v>
      </c>
      <c r="U91">
        <f t="shared" ref="U91:U95" si="26">(T91+T92)/2*(S92-S91)</f>
        <v>5800</v>
      </c>
      <c r="W91" s="6">
        <v>0</v>
      </c>
      <c r="X91" s="6">
        <f>AVERAGE(Q55:Q56)</f>
        <v>219.5</v>
      </c>
      <c r="Y91">
        <f t="shared" ref="Y91:Y95" si="27">(X92+X91)/2*(W92-W91)</f>
        <v>6505</v>
      </c>
    </row>
    <row r="92" spans="16:26" ht="13.2">
      <c r="S92" s="6">
        <v>20</v>
      </c>
      <c r="T92">
        <f>AVERAGE(I34:I35)</f>
        <v>386</v>
      </c>
      <c r="U92">
        <f t="shared" si="26"/>
        <v>8090</v>
      </c>
      <c r="W92" s="6">
        <v>20</v>
      </c>
      <c r="X92">
        <f>AVERAGE(Q58:Q59)</f>
        <v>431</v>
      </c>
      <c r="Y92">
        <f t="shared" si="27"/>
        <v>9470</v>
      </c>
    </row>
    <row r="93" spans="16:26" ht="13.2">
      <c r="S93" s="6">
        <v>40</v>
      </c>
      <c r="T93">
        <f>AVERAGE(I37:I38)</f>
        <v>423</v>
      </c>
      <c r="U93">
        <f t="shared" si="26"/>
        <v>7470</v>
      </c>
      <c r="W93" s="6">
        <v>40</v>
      </c>
      <c r="X93">
        <f>AVERAGE(Q61:Q62)</f>
        <v>516</v>
      </c>
      <c r="Y93">
        <f t="shared" si="27"/>
        <v>10210</v>
      </c>
    </row>
    <row r="94" spans="16:26" ht="13.2">
      <c r="S94" s="6">
        <v>60</v>
      </c>
      <c r="T94">
        <f>AVERAGE(I40:I41)</f>
        <v>324</v>
      </c>
      <c r="U94">
        <f t="shared" si="26"/>
        <v>9142.5</v>
      </c>
      <c r="W94" s="6">
        <v>60</v>
      </c>
      <c r="X94">
        <f>AVERAGE(Q64)</f>
        <v>505</v>
      </c>
      <c r="Y94">
        <f t="shared" si="27"/>
        <v>15607.5</v>
      </c>
    </row>
    <row r="95" spans="16:26" ht="13.2">
      <c r="S95" s="6">
        <v>90</v>
      </c>
      <c r="T95">
        <f>AVERAGE(I43:I44)</f>
        <v>285.5</v>
      </c>
      <c r="U95">
        <f t="shared" si="26"/>
        <v>7335</v>
      </c>
      <c r="W95" s="6">
        <v>90</v>
      </c>
      <c r="X95">
        <f>AVERAGE(Q67:Q68)</f>
        <v>535.5</v>
      </c>
      <c r="Y95">
        <f t="shared" si="27"/>
        <v>15285</v>
      </c>
    </row>
    <row r="96" spans="16:26" ht="13.2">
      <c r="S96" s="6">
        <v>120</v>
      </c>
      <c r="T96">
        <f>AVERAGE(I46:I47)</f>
        <v>203.5</v>
      </c>
      <c r="W96" s="6">
        <v>120</v>
      </c>
      <c r="X96">
        <f>AVERAGE(Q70:Q71)</f>
        <v>483.5</v>
      </c>
    </row>
    <row r="97" spans="19:26" ht="13.2">
      <c r="V97">
        <f>SUM(U91:U95)</f>
        <v>37837.5</v>
      </c>
      <c r="Z97">
        <f>SUM(Y91:Y95)</f>
        <v>57077.5</v>
      </c>
    </row>
    <row r="98" spans="19:26" ht="13.2">
      <c r="S98" s="6" t="s">
        <v>79</v>
      </c>
      <c r="W98" s="6" t="s">
        <v>90</v>
      </c>
    </row>
    <row r="99" spans="19:26" ht="13.2">
      <c r="S99" s="6">
        <v>0</v>
      </c>
      <c r="T99" s="6">
        <f>AVERAGE(M31:M32)</f>
        <v>168</v>
      </c>
      <c r="U99">
        <f t="shared" ref="U99:U103" si="28">(T99+T100)/2*(S100-S99)</f>
        <v>4840</v>
      </c>
      <c r="W99" s="6">
        <v>0</v>
      </c>
      <c r="X99" s="6">
        <f>AVERAGE(E6:E7)</f>
        <v>190</v>
      </c>
      <c r="Y99">
        <f t="shared" ref="Y99:Y103" si="29">(X100+X99)/2*(W100-W99)</f>
        <v>7180</v>
      </c>
    </row>
    <row r="100" spans="19:26" ht="13.2">
      <c r="S100" s="6">
        <v>20</v>
      </c>
      <c r="T100">
        <f>AVERAGE(M34:M35)</f>
        <v>316</v>
      </c>
      <c r="U100">
        <f t="shared" si="28"/>
        <v>6355</v>
      </c>
      <c r="W100" s="6">
        <v>20</v>
      </c>
      <c r="X100">
        <f>AVERAGE(E9:E10)</f>
        <v>528</v>
      </c>
      <c r="Y100">
        <f t="shared" si="29"/>
        <v>10220</v>
      </c>
    </row>
    <row r="101" spans="19:26" ht="13.2">
      <c r="S101" s="6">
        <v>40</v>
      </c>
      <c r="T101">
        <f>AVERAGE(M37:M38)</f>
        <v>319.5</v>
      </c>
      <c r="U101">
        <f t="shared" si="28"/>
        <v>5390</v>
      </c>
      <c r="W101" s="6">
        <v>40</v>
      </c>
      <c r="X101">
        <f>AVERAGE(E12:E13)</f>
        <v>494</v>
      </c>
      <c r="Y101">
        <f t="shared" si="29"/>
        <v>10270</v>
      </c>
    </row>
    <row r="102" spans="19:26" ht="13.2">
      <c r="S102" s="6">
        <v>60</v>
      </c>
      <c r="T102">
        <f>AVERAGE(M40:M41)</f>
        <v>219.5</v>
      </c>
      <c r="U102">
        <f t="shared" si="28"/>
        <v>6172.5</v>
      </c>
      <c r="W102" s="6">
        <v>60</v>
      </c>
      <c r="X102">
        <f>AVERAGE(E15:E16)</f>
        <v>533</v>
      </c>
      <c r="Y102">
        <f t="shared" si="29"/>
        <v>15345</v>
      </c>
    </row>
    <row r="103" spans="19:26" ht="13.2">
      <c r="S103" s="6">
        <v>90</v>
      </c>
      <c r="T103">
        <f>AVERAGE(M43:M44)</f>
        <v>192</v>
      </c>
      <c r="U103">
        <f t="shared" si="28"/>
        <v>5685</v>
      </c>
      <c r="W103" s="6">
        <v>90</v>
      </c>
      <c r="X103">
        <f>AVERAGE(E18:E19)</f>
        <v>490</v>
      </c>
      <c r="Y103">
        <f t="shared" si="29"/>
        <v>13725</v>
      </c>
    </row>
    <row r="104" spans="19:26" ht="13.2">
      <c r="S104" s="6">
        <v>120</v>
      </c>
      <c r="T104">
        <f>AVERAGE(M46:M47)</f>
        <v>187</v>
      </c>
      <c r="W104" s="6">
        <v>120</v>
      </c>
      <c r="X104">
        <f>AVERAGE(E21:E22)</f>
        <v>425</v>
      </c>
    </row>
    <row r="105" spans="19:26" ht="13.2">
      <c r="V105">
        <f>SUM(U99:U103)</f>
        <v>28442.5</v>
      </c>
      <c r="Z105">
        <f>SUM(Y99:Y103)</f>
        <v>56740</v>
      </c>
    </row>
    <row r="106" spans="19:26" ht="13.2">
      <c r="S106" s="6" t="s">
        <v>83</v>
      </c>
      <c r="W106" s="6" t="s">
        <v>93</v>
      </c>
    </row>
    <row r="107" spans="19:26" ht="13.2">
      <c r="S107" s="6">
        <v>0</v>
      </c>
      <c r="T107" s="6">
        <f>AVERAGE(Q31:Q32)</f>
        <v>234.5</v>
      </c>
      <c r="U107">
        <f t="shared" ref="U107:U111" si="30">(T107+T108)/2*(S108-S107)</f>
        <v>5770</v>
      </c>
      <c r="W107" s="6">
        <v>0</v>
      </c>
      <c r="X107" s="6">
        <f>AVERAGE(H6:H7)</f>
        <v>166.5</v>
      </c>
      <c r="Y107">
        <f t="shared" ref="Y107:Y111" si="31">(X108+X107)/2*(W108-W107)</f>
        <v>4595</v>
      </c>
    </row>
    <row r="108" spans="19:26" ht="13.2">
      <c r="S108" s="6">
        <v>20</v>
      </c>
      <c r="T108">
        <f>AVERAGE(Q34:Q35)</f>
        <v>342.5</v>
      </c>
      <c r="U108">
        <f t="shared" si="30"/>
        <v>7555</v>
      </c>
      <c r="W108" s="6">
        <v>20</v>
      </c>
      <c r="X108">
        <f>AVERAGE(H9:H10)</f>
        <v>293</v>
      </c>
      <c r="Y108">
        <f t="shared" si="31"/>
        <v>5305</v>
      </c>
    </row>
    <row r="109" spans="19:26" ht="13.2">
      <c r="S109" s="6">
        <v>40</v>
      </c>
      <c r="T109">
        <f>AVERAGE(Q37:Q38)</f>
        <v>413</v>
      </c>
      <c r="U109">
        <f t="shared" si="30"/>
        <v>7175</v>
      </c>
      <c r="W109" s="6">
        <v>40</v>
      </c>
      <c r="X109">
        <f>AVERAGE(H12:H13)</f>
        <v>237.5</v>
      </c>
      <c r="Y109">
        <f t="shared" si="31"/>
        <v>4810</v>
      </c>
    </row>
    <row r="110" spans="19:26" ht="13.2">
      <c r="S110" s="6">
        <v>60</v>
      </c>
      <c r="T110">
        <f>AVERAGE(Q40:Q41)</f>
        <v>304.5</v>
      </c>
      <c r="U110">
        <f t="shared" si="30"/>
        <v>8520</v>
      </c>
      <c r="W110" s="6">
        <v>60</v>
      </c>
      <c r="X110">
        <f>AVERAGE(H15:H16)</f>
        <v>243.5</v>
      </c>
      <c r="Y110">
        <f t="shared" si="31"/>
        <v>7395</v>
      </c>
    </row>
    <row r="111" spans="19:26" ht="13.2">
      <c r="S111" s="6">
        <v>90</v>
      </c>
      <c r="T111">
        <f>AVERAGE(Q43:Q44)</f>
        <v>263.5</v>
      </c>
      <c r="U111">
        <f t="shared" si="30"/>
        <v>7410</v>
      </c>
      <c r="W111" s="6">
        <v>90</v>
      </c>
      <c r="X111">
        <f>AVERAGE(H18:H19)</f>
        <v>249.5</v>
      </c>
      <c r="Y111">
        <f t="shared" si="31"/>
        <v>7672.5</v>
      </c>
    </row>
    <row r="112" spans="19:26" ht="13.2">
      <c r="S112" s="6">
        <v>120</v>
      </c>
      <c r="T112">
        <f>AVERAGE(Q46:Q47)</f>
        <v>230.5</v>
      </c>
      <c r="W112" s="6">
        <v>120</v>
      </c>
      <c r="X112">
        <f>AVERAGE(H21:H22)</f>
        <v>262</v>
      </c>
    </row>
    <row r="113" spans="19:26" ht="13.2">
      <c r="V113">
        <f>SUM(U107:U111)</f>
        <v>36430</v>
      </c>
      <c r="Z113">
        <f>SUM(Y107:Y111)</f>
        <v>29777.5</v>
      </c>
    </row>
    <row r="114" spans="19:26" ht="13.2">
      <c r="S114" s="6" t="s">
        <v>55</v>
      </c>
      <c r="W114" s="6" t="s">
        <v>41</v>
      </c>
    </row>
    <row r="115" spans="19:26" ht="13.2">
      <c r="S115" s="6">
        <v>0</v>
      </c>
      <c r="T115" s="6">
        <f>AVERAGE(J55:J56)</f>
        <v>159.5</v>
      </c>
      <c r="U115">
        <f t="shared" ref="U115:U119" si="32">(T115+T116)/2*(S116-S115)</f>
        <v>4735</v>
      </c>
      <c r="W115" s="6">
        <v>0</v>
      </c>
      <c r="X115" s="6">
        <f>AVERAGE(F55:F56)</f>
        <v>130.5</v>
      </c>
      <c r="Y115">
        <f t="shared" ref="Y115:Y119" si="33">(X116+X115)/2*(W116-W115)</f>
        <v>4125</v>
      </c>
    </row>
    <row r="116" spans="19:26" ht="13.2">
      <c r="S116" s="6">
        <v>20</v>
      </c>
      <c r="T116">
        <f>AVERAGE(J58:J59)</f>
        <v>314</v>
      </c>
      <c r="U116">
        <f t="shared" si="32"/>
        <v>5460</v>
      </c>
      <c r="W116" s="6">
        <v>20</v>
      </c>
      <c r="X116">
        <f>AVERAGE(F58:F59)</f>
        <v>282</v>
      </c>
      <c r="Y116">
        <f t="shared" si="33"/>
        <v>4560</v>
      </c>
    </row>
    <row r="117" spans="19:26" ht="13.2">
      <c r="S117" s="6">
        <v>40</v>
      </c>
      <c r="T117">
        <f>AVERAGE(J61:J62)</f>
        <v>232</v>
      </c>
      <c r="U117">
        <f t="shared" si="32"/>
        <v>4290</v>
      </c>
      <c r="W117" s="6">
        <v>40</v>
      </c>
      <c r="X117">
        <f>AVERAGE(F61:F62)</f>
        <v>174</v>
      </c>
      <c r="Y117">
        <f t="shared" si="33"/>
        <v>3590</v>
      </c>
    </row>
    <row r="118" spans="19:26" ht="13.2">
      <c r="S118" s="6">
        <v>60</v>
      </c>
      <c r="T118">
        <f>AVERAGE(J64)</f>
        <v>197</v>
      </c>
      <c r="U118">
        <f t="shared" si="32"/>
        <v>5670</v>
      </c>
      <c r="W118" s="6">
        <v>60</v>
      </c>
      <c r="X118">
        <f>AVERAGE(F64:F65)</f>
        <v>185</v>
      </c>
      <c r="Y118">
        <f t="shared" si="33"/>
        <v>5085</v>
      </c>
    </row>
    <row r="119" spans="19:26" ht="13.2">
      <c r="S119" s="6">
        <v>90</v>
      </c>
      <c r="T119">
        <f>AVERAGE(J67)</f>
        <v>181</v>
      </c>
      <c r="U119">
        <f t="shared" si="32"/>
        <v>5715</v>
      </c>
      <c r="W119" s="6">
        <v>90</v>
      </c>
      <c r="X119">
        <f>AVERAGE(F67)</f>
        <v>154</v>
      </c>
      <c r="Y119">
        <f t="shared" si="33"/>
        <v>4425</v>
      </c>
    </row>
    <row r="120" spans="19:26" ht="13.2">
      <c r="S120" s="6">
        <v>120</v>
      </c>
      <c r="T120">
        <f>AVERAGE(J70)</f>
        <v>200</v>
      </c>
      <c r="W120" s="6">
        <v>120</v>
      </c>
      <c r="X120">
        <f>AVERAGE(F70)</f>
        <v>141</v>
      </c>
    </row>
    <row r="121" spans="19:26" ht="13.2">
      <c r="V121">
        <f>SUM(U115:U119)</f>
        <v>25870</v>
      </c>
      <c r="Z121">
        <f>SUM(Y115:Y119)</f>
        <v>21785</v>
      </c>
    </row>
    <row r="122" spans="19:26" ht="13.2">
      <c r="S122" s="6" t="s">
        <v>61</v>
      </c>
      <c r="W122" s="6" t="s">
        <v>74</v>
      </c>
    </row>
    <row r="123" spans="19:26" ht="13.2">
      <c r="S123" s="6">
        <v>0</v>
      </c>
      <c r="T123" s="6">
        <f>AVERAGE(N55:N56)</f>
        <v>108</v>
      </c>
      <c r="U123">
        <f t="shared" ref="U123:U127" si="34">(T123+T124)/2*(S124-S123)</f>
        <v>3980</v>
      </c>
      <c r="W123" s="6">
        <v>0</v>
      </c>
      <c r="X123" s="6">
        <f>AVERAGE(F31:F32)</f>
        <v>211</v>
      </c>
      <c r="Y123">
        <f t="shared" ref="Y123:Y127" si="35">(X124+X123)/2*(W124-W123)</f>
        <v>5785</v>
      </c>
    </row>
    <row r="124" spans="19:26" ht="13.2">
      <c r="S124" s="6">
        <v>20</v>
      </c>
      <c r="T124">
        <f>AVERAGE(N58:N59)</f>
        <v>290</v>
      </c>
      <c r="U124">
        <f t="shared" si="34"/>
        <v>5195</v>
      </c>
      <c r="W124" s="6">
        <v>20</v>
      </c>
      <c r="X124">
        <f>AVERAGE(F34:F35)</f>
        <v>367.5</v>
      </c>
      <c r="Y124">
        <f t="shared" si="35"/>
        <v>6790</v>
      </c>
    </row>
    <row r="125" spans="19:26" ht="13.2">
      <c r="S125" s="6">
        <v>40</v>
      </c>
      <c r="T125">
        <f>AVERAGE(N61:N62)</f>
        <v>229.5</v>
      </c>
      <c r="U125">
        <f t="shared" si="34"/>
        <v>4125</v>
      </c>
      <c r="W125" s="6">
        <v>40</v>
      </c>
      <c r="X125">
        <f>AVERAGE(F37:F38)</f>
        <v>311.5</v>
      </c>
      <c r="Y125">
        <f t="shared" si="35"/>
        <v>5295</v>
      </c>
    </row>
    <row r="126" spans="19:26" ht="13.2">
      <c r="S126" s="6">
        <v>60</v>
      </c>
      <c r="T126">
        <f>AVERAGE(N64)</f>
        <v>183</v>
      </c>
      <c r="U126">
        <f t="shared" si="34"/>
        <v>4980</v>
      </c>
      <c r="W126" s="6">
        <v>60</v>
      </c>
      <c r="X126">
        <f>AVERAGE(F40)</f>
        <v>218</v>
      </c>
      <c r="Y126" t="e">
        <f t="shared" si="35"/>
        <v>#VALUE!</v>
      </c>
    </row>
    <row r="127" spans="19:26" ht="13.2">
      <c r="S127" s="6">
        <v>90</v>
      </c>
      <c r="T127">
        <f>AVERAGE(N67)</f>
        <v>149</v>
      </c>
      <c r="U127">
        <f t="shared" si="34"/>
        <v>4050</v>
      </c>
      <c r="W127" s="6">
        <v>90</v>
      </c>
      <c r="X127" t="s">
        <v>440</v>
      </c>
      <c r="Y127" t="e">
        <f t="shared" si="35"/>
        <v>#VALUE!</v>
      </c>
    </row>
    <row r="128" spans="19:26" ht="13.2">
      <c r="S128" s="6">
        <v>120</v>
      </c>
      <c r="T128">
        <f>AVERAGE(N70)</f>
        <v>121</v>
      </c>
      <c r="W128" s="6">
        <v>120</v>
      </c>
      <c r="X128">
        <f>AVERAGE(F46:F47)</f>
        <v>181</v>
      </c>
    </row>
    <row r="129" spans="19:26" ht="13.2">
      <c r="V129">
        <f>SUM(U123:U127)</f>
        <v>22330</v>
      </c>
      <c r="Z129">
        <f>SUM(Y123:Y125)</f>
        <v>17870</v>
      </c>
    </row>
    <row r="130" spans="19:26" ht="13.2">
      <c r="S130" s="6" t="s">
        <v>69</v>
      </c>
      <c r="W130" s="6" t="s">
        <v>84</v>
      </c>
    </row>
    <row r="131" spans="19:26" ht="13.2">
      <c r="S131" s="6">
        <v>0</v>
      </c>
      <c r="T131" s="6">
        <f>AVERAGE(R55:R56)</f>
        <v>148.5</v>
      </c>
      <c r="U131">
        <f t="shared" ref="U131:U135" si="36">(T131+T132)/2*(S132-S131)</f>
        <v>4085</v>
      </c>
      <c r="W131" s="6">
        <v>0</v>
      </c>
      <c r="X131" s="6">
        <f>AVERAGE(N31:N32)</f>
        <v>192.5</v>
      </c>
      <c r="Y131">
        <f t="shared" ref="Y131:Y135" si="37">(X132+X131)/2*(W132-W131)</f>
        <v>5915</v>
      </c>
    </row>
    <row r="132" spans="19:26" ht="13.2">
      <c r="S132" s="6">
        <v>20</v>
      </c>
      <c r="T132">
        <f>AVERAGE(R58:R59)</f>
        <v>260</v>
      </c>
      <c r="U132">
        <f t="shared" si="36"/>
        <v>4355</v>
      </c>
      <c r="W132" s="6">
        <v>20</v>
      </c>
      <c r="X132">
        <f>AVERAGE(N34:N35)</f>
        <v>399</v>
      </c>
      <c r="Y132">
        <f t="shared" si="37"/>
        <v>7110</v>
      </c>
    </row>
    <row r="133" spans="19:26" ht="13.2">
      <c r="S133" s="6">
        <v>40</v>
      </c>
      <c r="T133">
        <f>AVERAGE(R61:R62)</f>
        <v>175.5</v>
      </c>
      <c r="U133">
        <f t="shared" si="36"/>
        <v>2735</v>
      </c>
      <c r="W133" s="6">
        <v>40</v>
      </c>
      <c r="X133">
        <f>AVERAGE(N40)</f>
        <v>312</v>
      </c>
      <c r="Y133">
        <f t="shared" si="37"/>
        <v>6500</v>
      </c>
    </row>
    <row r="134" spans="19:26" ht="13.2">
      <c r="S134" s="6">
        <v>60</v>
      </c>
      <c r="T134">
        <f>AVERAGE(R64)</f>
        <v>98</v>
      </c>
      <c r="U134">
        <f t="shared" si="36"/>
        <v>3870</v>
      </c>
      <c r="W134" s="6">
        <v>60</v>
      </c>
      <c r="X134">
        <f>AVERAGE(N37:N38)</f>
        <v>338</v>
      </c>
      <c r="Y134">
        <f t="shared" si="37"/>
        <v>9045</v>
      </c>
    </row>
    <row r="135" spans="19:26" ht="13.2">
      <c r="S135" s="6">
        <v>90</v>
      </c>
      <c r="T135">
        <f>AVERAGE(R67)</f>
        <v>160</v>
      </c>
      <c r="U135">
        <f t="shared" si="36"/>
        <v>4845</v>
      </c>
      <c r="W135" s="6">
        <v>90</v>
      </c>
      <c r="X135">
        <f>AVERAGE(N43:N44)</f>
        <v>265</v>
      </c>
      <c r="Y135">
        <f t="shared" si="37"/>
        <v>7305</v>
      </c>
    </row>
    <row r="136" spans="19:26" ht="13.2">
      <c r="S136" s="6">
        <v>120</v>
      </c>
      <c r="T136">
        <f>AVERAGE(R70)</f>
        <v>163</v>
      </c>
      <c r="W136" s="6">
        <v>120</v>
      </c>
      <c r="X136">
        <f>AVERAGE(N46)</f>
        <v>222</v>
      </c>
    </row>
    <row r="137" spans="19:26" ht="13.2">
      <c r="V137">
        <f>SUM(U131:U135)</f>
        <v>19890</v>
      </c>
      <c r="Z137">
        <f>SUM(Y131:Y135)</f>
        <v>35875</v>
      </c>
    </row>
    <row r="138" spans="19:26" ht="13.2">
      <c r="S138" s="6" t="s">
        <v>78</v>
      </c>
      <c r="W138" s="6" t="s">
        <v>95</v>
      </c>
    </row>
    <row r="139" spans="19:26" ht="13.2">
      <c r="S139" s="6">
        <v>0</v>
      </c>
      <c r="T139" s="6">
        <f>AVERAGE(J31:J32)</f>
        <v>141</v>
      </c>
      <c r="U139">
        <f t="shared" ref="U139:U143" si="38">(T139+T140)/2*(S140-S139)</f>
        <v>4480</v>
      </c>
      <c r="W139" s="6">
        <v>0</v>
      </c>
      <c r="X139" s="6">
        <f>AVERAGE(F6:F7)</f>
        <v>170.5</v>
      </c>
      <c r="Y139">
        <f t="shared" ref="Y139:Y143" si="39">(X140+X139)/2*(W140-W139)</f>
        <v>4795</v>
      </c>
    </row>
    <row r="140" spans="19:26" ht="13.2">
      <c r="S140" s="6">
        <v>20</v>
      </c>
      <c r="T140">
        <f>AVERAGE(J34)</f>
        <v>307</v>
      </c>
      <c r="U140">
        <f t="shared" si="38"/>
        <v>4900</v>
      </c>
      <c r="W140" s="6">
        <v>20</v>
      </c>
      <c r="X140">
        <f>AVERAGE(F9:F10)</f>
        <v>309</v>
      </c>
      <c r="Y140">
        <f t="shared" si="39"/>
        <v>5445</v>
      </c>
    </row>
    <row r="141" spans="19:26" ht="13.2">
      <c r="S141" s="6">
        <v>40</v>
      </c>
      <c r="T141">
        <f>AVERAGE(J37)</f>
        <v>183</v>
      </c>
      <c r="U141">
        <f t="shared" si="38"/>
        <v>3610</v>
      </c>
      <c r="W141" s="6">
        <v>40</v>
      </c>
      <c r="X141">
        <f>AVERAGE(F12:F13)</f>
        <v>235.5</v>
      </c>
      <c r="Y141">
        <f t="shared" si="39"/>
        <v>4270</v>
      </c>
    </row>
    <row r="142" spans="19:26" ht="13.2">
      <c r="S142" s="6">
        <v>60</v>
      </c>
      <c r="T142">
        <f>AVERAGE(J40)</f>
        <v>178</v>
      </c>
      <c r="U142">
        <f t="shared" si="38"/>
        <v>5385</v>
      </c>
      <c r="W142" s="6">
        <v>60</v>
      </c>
      <c r="X142">
        <f>AVERAGE(F15:F16)</f>
        <v>191.5</v>
      </c>
      <c r="Y142">
        <f t="shared" si="39"/>
        <v>5887.5</v>
      </c>
    </row>
    <row r="143" spans="19:26" ht="13.2">
      <c r="S143" s="6">
        <v>90</v>
      </c>
      <c r="T143">
        <f>AVERAGE(J43)</f>
        <v>181</v>
      </c>
      <c r="U143">
        <f t="shared" si="38"/>
        <v>4515</v>
      </c>
      <c r="W143" s="6">
        <v>90</v>
      </c>
      <c r="X143">
        <f>AVERAGE(F18)</f>
        <v>201</v>
      </c>
      <c r="Y143">
        <f t="shared" si="39"/>
        <v>5955</v>
      </c>
    </row>
    <row r="144" spans="19:26" ht="13.2">
      <c r="S144" s="6">
        <v>120</v>
      </c>
      <c r="T144">
        <f>AVERAGE(J46)</f>
        <v>120</v>
      </c>
      <c r="W144" s="6">
        <v>120</v>
      </c>
      <c r="X144">
        <f>AVERAGE(F21:F22)</f>
        <v>196</v>
      </c>
    </row>
    <row r="145" spans="19:26" ht="13.2">
      <c r="V145">
        <f>SUM(U139:U143)</f>
        <v>22890</v>
      </c>
      <c r="Z145">
        <f>SUM(Y139:Y143)</f>
        <v>26352.5</v>
      </c>
    </row>
    <row r="146" spans="19:26" ht="13.2">
      <c r="S146" s="6" t="s">
        <v>89</v>
      </c>
      <c r="W146" s="6" t="s">
        <v>98</v>
      </c>
    </row>
    <row r="147" spans="19:26" ht="13.2">
      <c r="S147" s="6">
        <v>0</v>
      </c>
      <c r="T147" s="6">
        <f>AVERAGE(R31:R32)</f>
        <v>143</v>
      </c>
      <c r="U147">
        <f t="shared" ref="U147:U151" si="40">(T147+T148)/2*(S148-S147)</f>
        <v>4995</v>
      </c>
      <c r="W147" s="6">
        <v>0</v>
      </c>
      <c r="X147" s="6">
        <f>AVERAGE(I6:I7)</f>
        <v>170</v>
      </c>
      <c r="Y147">
        <f t="shared" ref="Y147:Y151" si="41">(X148+X147)/2*(W148-W147)</f>
        <v>3580</v>
      </c>
    </row>
    <row r="148" spans="19:26" ht="13.2">
      <c r="S148" s="6">
        <v>20</v>
      </c>
      <c r="T148">
        <f>AVERAGE(R34:R35)</f>
        <v>356.5</v>
      </c>
      <c r="U148">
        <f t="shared" si="40"/>
        <v>5545</v>
      </c>
      <c r="W148" s="6">
        <v>20</v>
      </c>
      <c r="X148">
        <f>AVERAGE(I9:I10)</f>
        <v>188</v>
      </c>
      <c r="Y148">
        <f t="shared" si="41"/>
        <v>3840</v>
      </c>
    </row>
    <row r="149" spans="19:26" ht="13.2">
      <c r="S149" s="6">
        <v>40</v>
      </c>
      <c r="T149">
        <f>AVERAGE(R37:R38)</f>
        <v>198</v>
      </c>
      <c r="U149">
        <f t="shared" si="40"/>
        <v>2960</v>
      </c>
      <c r="W149" s="6">
        <v>40</v>
      </c>
      <c r="X149">
        <f>AVERAGE(I12:I13)</f>
        <v>196</v>
      </c>
      <c r="Y149">
        <f t="shared" si="41"/>
        <v>4075</v>
      </c>
    </row>
    <row r="150" spans="19:26" ht="13.2">
      <c r="S150" s="6">
        <v>60</v>
      </c>
      <c r="T150">
        <f>AVERAGE(R64)</f>
        <v>98</v>
      </c>
      <c r="U150">
        <f t="shared" si="40"/>
        <v>3795</v>
      </c>
      <c r="W150" s="6">
        <v>60</v>
      </c>
      <c r="X150">
        <f>AVERAGE(I15:I16)</f>
        <v>211.5</v>
      </c>
      <c r="Y150">
        <f t="shared" si="41"/>
        <v>5932.5</v>
      </c>
    </row>
    <row r="151" spans="19:26" ht="13.2">
      <c r="S151" s="6">
        <v>90</v>
      </c>
      <c r="T151">
        <f>AVERAGE(R43)</f>
        <v>155</v>
      </c>
      <c r="U151">
        <f t="shared" si="40"/>
        <v>4312.5</v>
      </c>
      <c r="W151" s="6">
        <v>90</v>
      </c>
      <c r="X151">
        <f>AVERAGE(I18:I19)</f>
        <v>184</v>
      </c>
      <c r="Y151">
        <f t="shared" si="41"/>
        <v>5332.5</v>
      </c>
    </row>
    <row r="152" spans="19:26" ht="13.2">
      <c r="S152" s="6">
        <v>120</v>
      </c>
      <c r="T152">
        <f>AVERAGE(R46:R47)</f>
        <v>132.5</v>
      </c>
      <c r="W152" s="6">
        <v>120</v>
      </c>
      <c r="X152">
        <f>AVERAGE(I21:I22)</f>
        <v>171.5</v>
      </c>
    </row>
    <row r="153" spans="19:26" ht="13.2">
      <c r="V153">
        <f>SUM(U147:U151)</f>
        <v>21607.5</v>
      </c>
      <c r="Z153">
        <f>SUM(Y147:Y151)</f>
        <v>22760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/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>
      <c r="A2" s="8" t="s">
        <v>20</v>
      </c>
      <c r="B2" s="5">
        <v>0</v>
      </c>
      <c r="C2" s="5">
        <v>0</v>
      </c>
      <c r="D2" s="9">
        <v>42992</v>
      </c>
      <c r="E2" s="10">
        <v>378.4</v>
      </c>
      <c r="F2" s="11" t="s">
        <v>21</v>
      </c>
      <c r="G2" s="12">
        <f>AVERAGE(F3:F19)</f>
        <v>6.2119047619047612</v>
      </c>
      <c r="H2" s="12">
        <f>AVERAGE(G2:G1011)</f>
        <v>6.0205793650793655</v>
      </c>
      <c r="I2" s="13">
        <v>99.4</v>
      </c>
      <c r="J2" s="14"/>
      <c r="K2" s="13">
        <v>24.1</v>
      </c>
      <c r="L2" s="15">
        <f>AVERAGE(K50,K134,K241,K328,K421,K530,K638,K750,K860,K953)</f>
        <v>42.289999999999992</v>
      </c>
      <c r="M2" s="14"/>
      <c r="N2" s="14"/>
      <c r="O2" s="14"/>
      <c r="P2" s="14">
        <f>SUM(O2:O13)-104.4</f>
        <v>305.5</v>
      </c>
      <c r="Q2" s="6" t="s">
        <v>22</v>
      </c>
      <c r="R2" s="6" t="s">
        <v>22</v>
      </c>
      <c r="S2" s="14"/>
      <c r="T2" s="7">
        <f>SUM(S2:S8)*5.24</f>
        <v>1529.556</v>
      </c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>
      <c r="A3" s="5" t="s">
        <v>23</v>
      </c>
      <c r="B3" s="5">
        <v>0</v>
      </c>
      <c r="C3" s="5">
        <v>0</v>
      </c>
      <c r="D3" s="9">
        <v>42993</v>
      </c>
      <c r="E3" s="10">
        <v>370.4</v>
      </c>
      <c r="F3" s="12">
        <f>E2-E3</f>
        <v>8</v>
      </c>
      <c r="G3" s="14"/>
      <c r="H3" s="14"/>
      <c r="I3" s="13">
        <v>95</v>
      </c>
      <c r="J3" s="16">
        <f t="shared" ref="J3:J6" si="0">(I2-I3)/(D3-D2)</f>
        <v>4.4000000000000057</v>
      </c>
      <c r="K3" s="13">
        <v>24.3</v>
      </c>
      <c r="L3" s="14"/>
      <c r="M3" s="14"/>
      <c r="N3" s="14"/>
      <c r="O3" s="12">
        <f>E7-E14</f>
        <v>82.899999999999977</v>
      </c>
      <c r="P3" s="14"/>
      <c r="Q3" s="14">
        <f>SUM(P2,P193,P280,P812,P905)</f>
        <v>1357.5</v>
      </c>
      <c r="R3" s="14">
        <f>SUM(P86,P373,P482,P590,P702)</f>
        <v>1311.6999999999998</v>
      </c>
      <c r="S3" s="15">
        <f>I12-I17</f>
        <v>31.4</v>
      </c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>
      <c r="A4" s="14"/>
      <c r="B4" s="5">
        <v>0</v>
      </c>
      <c r="C4" s="5">
        <v>0</v>
      </c>
      <c r="D4" s="9">
        <v>42996</v>
      </c>
      <c r="E4" s="10">
        <v>353</v>
      </c>
      <c r="F4" s="12">
        <f t="shared" ref="F4:F6" si="1">(E3-E4)/(D4-D3)</f>
        <v>5.7999999999999927</v>
      </c>
      <c r="G4" s="14"/>
      <c r="H4" s="14"/>
      <c r="I4" s="13">
        <v>81.400000000000006</v>
      </c>
      <c r="J4" s="16">
        <f t="shared" si="0"/>
        <v>4.5333333333333314</v>
      </c>
      <c r="K4" s="13">
        <v>24.7</v>
      </c>
      <c r="L4" s="14"/>
      <c r="M4" s="14"/>
      <c r="N4" s="14"/>
      <c r="O4" s="12">
        <f>E15-E17</f>
        <v>26.699999999999989</v>
      </c>
      <c r="P4" s="14"/>
      <c r="Q4" s="14"/>
      <c r="R4" s="14"/>
      <c r="S4" s="15">
        <f>I19-I20</f>
        <v>30.4</v>
      </c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>
      <c r="A5" s="14"/>
      <c r="B5" s="5">
        <v>0</v>
      </c>
      <c r="C5" s="5">
        <v>0</v>
      </c>
      <c r="D5" s="9">
        <v>42998</v>
      </c>
      <c r="E5" s="10">
        <v>340.6</v>
      </c>
      <c r="F5" s="12">
        <f t="shared" si="1"/>
        <v>6.1999999999999886</v>
      </c>
      <c r="G5" s="14"/>
      <c r="H5" s="14"/>
      <c r="I5" s="13">
        <v>72.2</v>
      </c>
      <c r="J5" s="16">
        <f t="shared" si="0"/>
        <v>4.6000000000000014</v>
      </c>
      <c r="K5" s="13">
        <v>25.7</v>
      </c>
      <c r="L5" s="14"/>
      <c r="M5" s="14"/>
      <c r="N5" s="14"/>
      <c r="O5" s="12">
        <f>E18-E21</f>
        <v>33.599999999999966</v>
      </c>
      <c r="P5" s="14"/>
      <c r="Q5" s="14"/>
      <c r="R5" s="14"/>
      <c r="S5" s="15">
        <f>109.6-I28</f>
        <v>82.1</v>
      </c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>
      <c r="A6" s="14"/>
      <c r="B6" s="5">
        <v>0</v>
      </c>
      <c r="C6" s="5">
        <v>0</v>
      </c>
      <c r="D6" s="17">
        <v>42999</v>
      </c>
      <c r="E6" s="10">
        <v>331.8</v>
      </c>
      <c r="F6" s="12">
        <f t="shared" si="1"/>
        <v>8.8000000000000114</v>
      </c>
      <c r="G6" s="14"/>
      <c r="H6" s="14"/>
      <c r="I6" s="13">
        <v>67.599999999999994</v>
      </c>
      <c r="J6" s="14">
        <f t="shared" si="0"/>
        <v>4.6000000000000085</v>
      </c>
      <c r="K6" s="13">
        <v>26.5</v>
      </c>
      <c r="L6" s="14"/>
      <c r="M6" s="14"/>
      <c r="N6" s="14"/>
      <c r="O6" s="12">
        <f>E22-E25</f>
        <v>39.5</v>
      </c>
      <c r="P6" s="14"/>
      <c r="Q6" s="14"/>
      <c r="R6" s="14"/>
      <c r="S6" s="15">
        <f>73.7-I33</f>
        <v>36.900000000000006</v>
      </c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>
      <c r="A7" s="14"/>
      <c r="B7" s="5">
        <v>0.5</v>
      </c>
      <c r="C7" s="5">
        <v>0</v>
      </c>
      <c r="D7" s="17">
        <v>42999</v>
      </c>
      <c r="E7" s="10">
        <v>383.5</v>
      </c>
      <c r="F7" s="12"/>
      <c r="G7" s="14"/>
      <c r="H7" s="14"/>
      <c r="I7" s="13">
        <v>54.3</v>
      </c>
      <c r="J7" s="14"/>
      <c r="K7" s="13"/>
      <c r="L7" s="14"/>
      <c r="M7" s="14"/>
      <c r="N7" s="14"/>
      <c r="O7" s="12">
        <f>E26-E29</f>
        <v>32.900000000000034</v>
      </c>
      <c r="P7" s="14"/>
      <c r="Q7" s="14"/>
      <c r="R7" s="14"/>
      <c r="S7" s="15">
        <f>I35-I45</f>
        <v>57.5</v>
      </c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>
      <c r="A8" s="14"/>
      <c r="B8" s="5">
        <v>0.5</v>
      </c>
      <c r="C8" s="5">
        <f t="shared" ref="C8:C61" si="2">D8-$D$7</f>
        <v>1</v>
      </c>
      <c r="D8" s="17">
        <v>43000</v>
      </c>
      <c r="E8" s="10">
        <v>378.6</v>
      </c>
      <c r="F8" s="12">
        <f t="shared" ref="F8:F13" si="3">(E7-E8)/(D8-D7)</f>
        <v>4.8999999999999773</v>
      </c>
      <c r="G8" s="14"/>
      <c r="H8" s="14"/>
      <c r="I8" s="13">
        <v>49.3</v>
      </c>
      <c r="J8" s="16">
        <f t="shared" ref="J8:J11" si="4">(I7-I8)/(D8-D7)</f>
        <v>5</v>
      </c>
      <c r="K8" s="13">
        <v>27</v>
      </c>
      <c r="L8" s="14"/>
      <c r="M8" s="14"/>
      <c r="N8" s="14"/>
      <c r="O8" s="12">
        <f>E30-E33</f>
        <v>32.300000000000011</v>
      </c>
      <c r="P8" s="14"/>
      <c r="Q8" s="14"/>
      <c r="R8" s="14"/>
      <c r="S8" s="15">
        <f>114.1-I54</f>
        <v>53.599999999999994</v>
      </c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>
      <c r="A9" s="14"/>
      <c r="B9" s="5">
        <v>0.5</v>
      </c>
      <c r="C9" s="5">
        <f t="shared" si="2"/>
        <v>4</v>
      </c>
      <c r="D9" s="9">
        <v>43003</v>
      </c>
      <c r="E9" s="10">
        <v>362.4</v>
      </c>
      <c r="F9" s="12">
        <f t="shared" si="3"/>
        <v>5.4000000000000155</v>
      </c>
      <c r="G9" s="14"/>
      <c r="H9" s="14"/>
      <c r="I9" s="13">
        <v>30.1</v>
      </c>
      <c r="J9" s="16">
        <f t="shared" si="4"/>
        <v>6.3999999999999986</v>
      </c>
      <c r="K9" s="13">
        <v>27.5</v>
      </c>
      <c r="L9" s="14"/>
      <c r="M9" s="14"/>
      <c r="N9" s="14"/>
      <c r="O9" s="12">
        <f>E34-E37</f>
        <v>33</v>
      </c>
      <c r="P9" s="14"/>
      <c r="Q9" s="14"/>
      <c r="R9" s="14"/>
      <c r="S9" s="14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>
      <c r="A10" s="14"/>
      <c r="B10" s="5">
        <v>1</v>
      </c>
      <c r="C10" s="5">
        <f t="shared" si="2"/>
        <v>6</v>
      </c>
      <c r="D10" s="9">
        <v>43005</v>
      </c>
      <c r="E10" s="10">
        <v>353.5</v>
      </c>
      <c r="F10" s="12">
        <f t="shared" si="3"/>
        <v>4.4499999999999886</v>
      </c>
      <c r="G10" s="14"/>
      <c r="H10" s="14"/>
      <c r="I10" s="13">
        <v>17.600000000000001</v>
      </c>
      <c r="J10" s="14">
        <f t="shared" si="4"/>
        <v>6.25</v>
      </c>
      <c r="K10" s="18">
        <v>28.4</v>
      </c>
      <c r="L10" s="14"/>
      <c r="M10" s="14"/>
      <c r="N10" s="14"/>
      <c r="O10" s="12">
        <f>E38-E40</f>
        <v>25.300000000000011</v>
      </c>
      <c r="P10" s="14"/>
      <c r="Q10" s="14"/>
      <c r="R10" s="14"/>
      <c r="S10" s="14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>
      <c r="A11" s="14"/>
      <c r="B11" s="5">
        <v>1</v>
      </c>
      <c r="C11" s="5">
        <f t="shared" si="2"/>
        <v>8</v>
      </c>
      <c r="D11" s="9">
        <v>43007</v>
      </c>
      <c r="E11" s="10">
        <v>341.8</v>
      </c>
      <c r="F11" s="12">
        <f t="shared" si="3"/>
        <v>5.8499999999999943</v>
      </c>
      <c r="G11" s="14"/>
      <c r="H11" s="14"/>
      <c r="I11" s="13">
        <v>12.3</v>
      </c>
      <c r="J11" s="14">
        <f t="shared" si="4"/>
        <v>2.6500000000000004</v>
      </c>
      <c r="K11" s="13">
        <v>28.9</v>
      </c>
      <c r="L11" s="14"/>
      <c r="M11" s="14"/>
      <c r="N11" s="14"/>
      <c r="O11" s="12">
        <f>E41-E46</f>
        <v>38</v>
      </c>
      <c r="P11" s="14"/>
      <c r="Q11" s="14"/>
      <c r="R11" s="14"/>
      <c r="S11" s="14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>
      <c r="A12" s="14"/>
      <c r="B12" s="5">
        <v>1</v>
      </c>
      <c r="C12" s="5">
        <f t="shared" si="2"/>
        <v>11</v>
      </c>
      <c r="D12" s="19">
        <v>43010</v>
      </c>
      <c r="E12" s="11">
        <v>326.7</v>
      </c>
      <c r="F12" s="12">
        <f t="shared" si="3"/>
        <v>5.0333333333333412</v>
      </c>
      <c r="G12" s="14"/>
      <c r="H12" s="14"/>
      <c r="I12" s="13">
        <v>61</v>
      </c>
      <c r="J12" s="16"/>
      <c r="K12" s="13">
        <v>29.4</v>
      </c>
      <c r="L12" s="14"/>
      <c r="M12" s="14"/>
      <c r="N12" s="14"/>
      <c r="O12" s="12">
        <f>E47-E50</f>
        <v>30.399999999999977</v>
      </c>
      <c r="P12" s="14"/>
      <c r="Q12" s="14"/>
      <c r="R12" s="14"/>
      <c r="S12" s="14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>
      <c r="A13" s="14"/>
      <c r="B13" s="5">
        <v>1</v>
      </c>
      <c r="C13" s="5">
        <f t="shared" si="2"/>
        <v>13</v>
      </c>
      <c r="D13" s="19">
        <v>43012</v>
      </c>
      <c r="E13" s="11">
        <v>310.8</v>
      </c>
      <c r="F13" s="12">
        <f t="shared" si="3"/>
        <v>7.9499999999999886</v>
      </c>
      <c r="G13" s="14"/>
      <c r="H13" s="14"/>
      <c r="I13" s="13">
        <v>52.2</v>
      </c>
      <c r="J13" s="16">
        <f>(I12-I13)/(D13-D12)</f>
        <v>4.3999999999999986</v>
      </c>
      <c r="K13" s="13">
        <v>29.8</v>
      </c>
      <c r="L13" s="14"/>
      <c r="M13" s="14"/>
      <c r="N13" s="14"/>
      <c r="O13" s="12">
        <f>E51-E54</f>
        <v>35.300000000000011</v>
      </c>
      <c r="P13" s="14"/>
      <c r="Q13" s="14"/>
      <c r="R13" s="14"/>
      <c r="S13" s="14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>
      <c r="A14" s="14"/>
      <c r="B14" s="5">
        <v>2</v>
      </c>
      <c r="C14" s="5">
        <f t="shared" si="2"/>
        <v>14</v>
      </c>
      <c r="D14" s="20">
        <v>43013</v>
      </c>
      <c r="E14" s="11">
        <v>300.60000000000002</v>
      </c>
      <c r="F14" s="11"/>
      <c r="G14" s="14"/>
      <c r="H14" s="14"/>
      <c r="I14" s="13" t="s">
        <v>24</v>
      </c>
      <c r="J14" s="14"/>
      <c r="K14" s="13"/>
      <c r="L14" s="14"/>
      <c r="M14" s="14"/>
      <c r="N14" s="14"/>
      <c r="O14" s="14"/>
      <c r="P14" s="14"/>
      <c r="Q14" s="14"/>
      <c r="R14" s="14"/>
      <c r="S14" s="14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>
      <c r="A15" s="14"/>
      <c r="B15" s="5">
        <v>2</v>
      </c>
      <c r="C15" s="5">
        <f t="shared" si="2"/>
        <v>15</v>
      </c>
      <c r="D15" s="20">
        <v>43014</v>
      </c>
      <c r="E15" s="11">
        <v>365.7</v>
      </c>
      <c r="F15" s="12">
        <f>(372.1-E15)/(D15-D14)</f>
        <v>6.4000000000000341</v>
      </c>
      <c r="G15" s="14"/>
      <c r="H15" s="14"/>
      <c r="I15" s="13">
        <v>45</v>
      </c>
      <c r="J15" s="14">
        <f>(I13-I15)/(D15-D13)</f>
        <v>3.6000000000000014</v>
      </c>
      <c r="K15" s="13">
        <v>30.7</v>
      </c>
      <c r="L15" s="14"/>
      <c r="M15" s="14"/>
      <c r="N15" s="14"/>
      <c r="O15" s="14"/>
      <c r="P15" s="14"/>
      <c r="Q15" s="14"/>
      <c r="R15" s="14"/>
      <c r="S15" s="14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>
      <c r="A16" s="14"/>
      <c r="B16" s="5">
        <v>2</v>
      </c>
      <c r="C16" s="5">
        <f t="shared" si="2"/>
        <v>18</v>
      </c>
      <c r="D16" s="20">
        <v>43017</v>
      </c>
      <c r="E16" s="11">
        <v>351.5</v>
      </c>
      <c r="F16" s="12">
        <f t="shared" ref="F16:F17" si="5">(E15-E16)/(D16-D15)</f>
        <v>4.7333333333333298</v>
      </c>
      <c r="G16" s="14"/>
      <c r="H16" s="14"/>
      <c r="I16" s="13">
        <v>35.6</v>
      </c>
      <c r="J16" s="16">
        <f t="shared" ref="J16:J17" si="6">(I15-I16)/(D16-D15)</f>
        <v>3.1333333333333329</v>
      </c>
      <c r="K16" s="13">
        <v>31.1</v>
      </c>
      <c r="L16" s="14"/>
      <c r="M16" s="14"/>
      <c r="N16" s="14"/>
      <c r="O16" s="14"/>
      <c r="P16" s="5" t="s">
        <v>25</v>
      </c>
      <c r="Q16" s="14">
        <f>AVERAGE(T2,T86,T193,T280,T373,T482,T590,T702,T813,T908,)</f>
        <v>1193.1003636363637</v>
      </c>
      <c r="R16" s="14"/>
      <c r="S16" s="14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>
      <c r="A17" s="14"/>
      <c r="B17" s="5">
        <v>2</v>
      </c>
      <c r="C17" s="5">
        <f t="shared" si="2"/>
        <v>20</v>
      </c>
      <c r="D17" s="20">
        <v>43019</v>
      </c>
      <c r="E17" s="11">
        <v>339</v>
      </c>
      <c r="F17" s="12">
        <f t="shared" si="5"/>
        <v>6.25</v>
      </c>
      <c r="G17" s="14"/>
      <c r="H17" s="14"/>
      <c r="I17" s="13">
        <v>29.6</v>
      </c>
      <c r="J17" s="15">
        <f t="shared" si="6"/>
        <v>3</v>
      </c>
      <c r="K17" s="13">
        <v>31.7</v>
      </c>
      <c r="L17" s="14"/>
      <c r="M17" s="14"/>
      <c r="N17" s="14"/>
      <c r="O17" s="14"/>
      <c r="P17" s="5" t="s">
        <v>26</v>
      </c>
      <c r="Q17" s="14">
        <f>STDEV(T2,T86,T193,T280,T373,T482,T590,T702,T813,T908,)/SQRT(10)</f>
        <v>142.9870218059859</v>
      </c>
      <c r="R17" s="14"/>
      <c r="S17" s="14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>
      <c r="A18" s="14"/>
      <c r="B18" s="5">
        <v>3</v>
      </c>
      <c r="C18" s="5">
        <f t="shared" si="2"/>
        <v>21</v>
      </c>
      <c r="D18" s="20">
        <v>43020</v>
      </c>
      <c r="E18" s="11">
        <v>390.9</v>
      </c>
      <c r="F18" s="12"/>
      <c r="G18" s="14"/>
      <c r="H18" s="14"/>
      <c r="I18" s="13"/>
      <c r="J18" s="14"/>
      <c r="K18" s="13"/>
      <c r="L18" s="14"/>
      <c r="M18" s="14"/>
      <c r="N18" s="14"/>
      <c r="O18" s="14"/>
      <c r="P18" s="14"/>
      <c r="Q18" s="14"/>
      <c r="R18" s="14"/>
      <c r="S18" s="14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>
      <c r="A19" s="14"/>
      <c r="B19" s="5">
        <v>3</v>
      </c>
      <c r="C19" s="5">
        <f t="shared" si="2"/>
        <v>22</v>
      </c>
      <c r="D19" s="20">
        <f>D17+2</f>
        <v>43021</v>
      </c>
      <c r="E19" s="11">
        <v>383.7</v>
      </c>
      <c r="F19" s="12">
        <f t="shared" ref="F19:F21" si="7">(E18-E19)/(D19-D18)</f>
        <v>7.1999999999999886</v>
      </c>
      <c r="G19" s="14"/>
      <c r="H19" s="14"/>
      <c r="I19" s="13">
        <v>73.8</v>
      </c>
      <c r="J19" s="14">
        <f t="shared" ref="J19:J20" si="8">(86.2-I19)/(D19-D17)</f>
        <v>6.2000000000000028</v>
      </c>
      <c r="K19" s="13">
        <v>33.200000000000003</v>
      </c>
      <c r="L19" s="14"/>
      <c r="M19" s="14"/>
      <c r="N19" s="14"/>
      <c r="O19" s="14"/>
      <c r="P19" s="14"/>
      <c r="Q19" s="14"/>
      <c r="R19" s="14"/>
      <c r="S19" s="14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>
      <c r="A20" s="14"/>
      <c r="B20" s="5">
        <v>3</v>
      </c>
      <c r="C20" s="5">
        <f t="shared" si="2"/>
        <v>25</v>
      </c>
      <c r="D20" s="20">
        <f>D19+3</f>
        <v>43024</v>
      </c>
      <c r="E20" s="11">
        <v>369.1</v>
      </c>
      <c r="F20" s="12">
        <f t="shared" si="7"/>
        <v>4.8666666666666556</v>
      </c>
      <c r="G20" s="14"/>
      <c r="H20" s="14"/>
      <c r="I20" s="13">
        <v>43.4</v>
      </c>
      <c r="J20" s="14">
        <f t="shared" si="8"/>
        <v>10.700000000000001</v>
      </c>
      <c r="K20" s="13">
        <v>34</v>
      </c>
      <c r="L20" s="14"/>
      <c r="M20" s="14"/>
      <c r="N20" s="14"/>
      <c r="O20" s="14"/>
      <c r="P20" s="14"/>
      <c r="Q20" s="14"/>
      <c r="R20" s="14"/>
      <c r="S20" s="14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>
      <c r="A21" s="14"/>
      <c r="B21" s="5">
        <v>3</v>
      </c>
      <c r="C21" s="5">
        <f t="shared" si="2"/>
        <v>27</v>
      </c>
      <c r="D21" s="20">
        <f>D20+2</f>
        <v>43026</v>
      </c>
      <c r="E21" s="11">
        <v>357.3</v>
      </c>
      <c r="F21" s="12">
        <f t="shared" si="7"/>
        <v>5.9000000000000057</v>
      </c>
      <c r="G21" s="14"/>
      <c r="H21" s="14"/>
      <c r="I21" s="13">
        <v>76.099999999999994</v>
      </c>
      <c r="J21" s="14"/>
      <c r="K21" s="13">
        <v>34.299999999999997</v>
      </c>
      <c r="L21" s="14"/>
      <c r="M21" s="14"/>
      <c r="N21" s="14"/>
      <c r="O21" s="14"/>
      <c r="P21" s="14"/>
      <c r="Q21" s="14"/>
      <c r="R21" s="14"/>
      <c r="S21" s="14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>
      <c r="A22" s="14"/>
      <c r="B22" s="5">
        <v>4</v>
      </c>
      <c r="C22" s="5">
        <f t="shared" si="2"/>
        <v>28</v>
      </c>
      <c r="D22" s="20">
        <v>43027</v>
      </c>
      <c r="E22" s="11">
        <v>397.2</v>
      </c>
      <c r="F22" s="12"/>
      <c r="G22" s="14"/>
      <c r="H22" s="14"/>
      <c r="I22" s="15"/>
      <c r="J22" s="14"/>
      <c r="K22" s="15"/>
      <c r="L22" s="14"/>
      <c r="M22" s="14"/>
      <c r="N22" s="14"/>
      <c r="O22" s="14"/>
      <c r="P22" s="14"/>
      <c r="Q22" s="14"/>
      <c r="R22" s="14"/>
      <c r="S22" s="14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>
      <c r="A23" s="14"/>
      <c r="B23" s="5">
        <v>4</v>
      </c>
      <c r="C23" s="5">
        <f t="shared" si="2"/>
        <v>29</v>
      </c>
      <c r="D23" s="20">
        <f>D21+2</f>
        <v>43028</v>
      </c>
      <c r="E23" s="11">
        <v>390</v>
      </c>
      <c r="F23" s="12">
        <f t="shared" ref="F23:F25" si="9">(E22-E23)/(D23-D22)</f>
        <v>7.1999999999999886</v>
      </c>
      <c r="G23" s="14"/>
      <c r="H23" s="14"/>
      <c r="I23" s="13">
        <v>68.599999999999994</v>
      </c>
      <c r="J23" s="14">
        <f>(I21-I23)/(D23-D21)</f>
        <v>3.75</v>
      </c>
      <c r="K23" s="13">
        <v>35.6</v>
      </c>
      <c r="L23" s="14"/>
      <c r="M23" s="14"/>
      <c r="N23" s="14"/>
      <c r="O23" s="14"/>
      <c r="P23" s="14"/>
      <c r="Q23" s="14"/>
      <c r="R23" s="14"/>
      <c r="S23" s="14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>
      <c r="A24" s="14"/>
      <c r="B24" s="5">
        <v>4</v>
      </c>
      <c r="C24" s="5">
        <f t="shared" si="2"/>
        <v>32</v>
      </c>
      <c r="D24" s="20">
        <v>43031</v>
      </c>
      <c r="E24" s="11">
        <v>374.9</v>
      </c>
      <c r="F24" s="12">
        <f t="shared" si="9"/>
        <v>5.0333333333333412</v>
      </c>
      <c r="G24" s="14"/>
      <c r="H24" s="14"/>
      <c r="I24" s="13">
        <v>51</v>
      </c>
      <c r="J24" s="21">
        <f t="shared" ref="J24:J25" si="10">(I23-I24)/(D24-D23)</f>
        <v>5.8666666666666645</v>
      </c>
      <c r="K24" s="13">
        <v>36.6</v>
      </c>
      <c r="L24" s="14"/>
      <c r="M24" s="14"/>
      <c r="N24" s="14"/>
      <c r="O24" s="14"/>
      <c r="P24" s="14"/>
      <c r="Q24" s="14"/>
      <c r="R24" s="14"/>
      <c r="S24" s="14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>
      <c r="A25" s="14"/>
      <c r="B25" s="5">
        <v>4</v>
      </c>
      <c r="C25" s="5">
        <f t="shared" si="2"/>
        <v>34</v>
      </c>
      <c r="D25" s="20">
        <v>43033</v>
      </c>
      <c r="E25" s="11">
        <v>357.7</v>
      </c>
      <c r="F25" s="12">
        <f t="shared" si="9"/>
        <v>8.5999999999999943</v>
      </c>
      <c r="G25" s="14"/>
      <c r="H25" s="14"/>
      <c r="I25" s="13">
        <v>45.1</v>
      </c>
      <c r="J25" s="14">
        <f t="shared" si="10"/>
        <v>2.9499999999999993</v>
      </c>
      <c r="K25" s="13">
        <v>36.9</v>
      </c>
      <c r="L25" s="14"/>
      <c r="M25" s="14"/>
      <c r="N25" s="14"/>
      <c r="O25" s="14"/>
      <c r="P25" s="14"/>
      <c r="Q25" s="14"/>
      <c r="R25" s="14"/>
      <c r="S25" s="14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>
      <c r="A26" s="14"/>
      <c r="B26" s="5">
        <v>5</v>
      </c>
      <c r="C26" s="5">
        <f t="shared" si="2"/>
        <v>35</v>
      </c>
      <c r="D26" s="20">
        <v>43034</v>
      </c>
      <c r="E26" s="11">
        <v>389.6</v>
      </c>
      <c r="F26" s="12"/>
      <c r="G26" s="14"/>
      <c r="H26" s="14"/>
      <c r="I26" s="15"/>
      <c r="J26" s="14"/>
      <c r="K26" s="15"/>
      <c r="L26" s="14"/>
      <c r="M26" s="14"/>
      <c r="N26" s="14"/>
      <c r="O26" s="14"/>
      <c r="P26" s="14"/>
      <c r="Q26" s="14"/>
      <c r="R26" s="14"/>
      <c r="S26" s="14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5.75" customHeight="1">
      <c r="A27" s="14"/>
      <c r="B27" s="5">
        <v>5</v>
      </c>
      <c r="C27" s="5">
        <f t="shared" si="2"/>
        <v>36</v>
      </c>
      <c r="D27" s="20">
        <v>43035</v>
      </c>
      <c r="E27" s="11">
        <v>384.3</v>
      </c>
      <c r="F27" s="12">
        <f t="shared" ref="F27:F29" si="11">(E26-E27)/(D27-D26)</f>
        <v>5.3000000000000114</v>
      </c>
      <c r="G27" s="14"/>
      <c r="H27" s="14"/>
      <c r="I27" s="13">
        <v>37.1</v>
      </c>
      <c r="J27" s="14">
        <f>(I25-I27)/(D27-D25)</f>
        <v>4</v>
      </c>
      <c r="K27" s="13">
        <v>37.799999999999997</v>
      </c>
      <c r="L27" s="14"/>
      <c r="M27" s="14"/>
      <c r="N27" s="14"/>
      <c r="O27" s="14"/>
      <c r="P27" s="14"/>
      <c r="Q27" s="14"/>
      <c r="R27" s="14"/>
      <c r="S27" s="14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5.75" customHeight="1">
      <c r="A28" s="14"/>
      <c r="B28" s="5">
        <v>5</v>
      </c>
      <c r="C28" s="5">
        <f t="shared" si="2"/>
        <v>39</v>
      </c>
      <c r="D28" s="20">
        <v>43038</v>
      </c>
      <c r="E28" s="11">
        <v>367.6</v>
      </c>
      <c r="F28" s="12">
        <f t="shared" si="11"/>
        <v>5.5666666666666629</v>
      </c>
      <c r="G28" s="14"/>
      <c r="H28" s="14"/>
      <c r="I28" s="13">
        <v>27.5</v>
      </c>
      <c r="J28" s="14">
        <f>(I27-I28)/(D28-D27)</f>
        <v>3.2000000000000006</v>
      </c>
      <c r="K28" s="13">
        <v>38.6</v>
      </c>
      <c r="L28" s="14"/>
      <c r="M28" s="14"/>
      <c r="N28" s="14"/>
      <c r="O28" s="14"/>
      <c r="P28" s="14"/>
      <c r="Q28" s="14"/>
      <c r="R28" s="14"/>
      <c r="S28" s="14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5.75" customHeight="1">
      <c r="A29" s="14"/>
      <c r="B29" s="5">
        <v>5</v>
      </c>
      <c r="C29" s="5">
        <f t="shared" si="2"/>
        <v>41</v>
      </c>
      <c r="D29" s="20">
        <v>43040</v>
      </c>
      <c r="E29" s="11">
        <v>356.7</v>
      </c>
      <c r="F29" s="12">
        <f t="shared" si="11"/>
        <v>5.4500000000000171</v>
      </c>
      <c r="G29" s="14"/>
      <c r="H29" s="14"/>
      <c r="I29" s="13">
        <v>64.2</v>
      </c>
      <c r="J29" s="14">
        <f>(73.7-I29)/(D29-D28)</f>
        <v>4.75</v>
      </c>
      <c r="K29" s="13">
        <v>39.6</v>
      </c>
      <c r="L29" s="14"/>
      <c r="M29" s="14"/>
      <c r="N29" s="14"/>
      <c r="O29" s="14"/>
      <c r="P29" s="14"/>
      <c r="Q29" s="14"/>
      <c r="R29" s="14"/>
      <c r="S29" s="14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5.75" customHeight="1">
      <c r="A30" s="14"/>
      <c r="B30" s="5">
        <v>6</v>
      </c>
      <c r="C30" s="5">
        <f t="shared" si="2"/>
        <v>42</v>
      </c>
      <c r="D30" s="20">
        <v>43041</v>
      </c>
      <c r="E30" s="11">
        <v>372.5</v>
      </c>
      <c r="F30" s="12"/>
      <c r="G30" s="14"/>
      <c r="H30" s="14"/>
      <c r="I30" s="15"/>
      <c r="J30" s="14"/>
      <c r="K30" s="15"/>
      <c r="L30" s="14"/>
      <c r="M30" s="14"/>
      <c r="N30" s="14"/>
      <c r="O30" s="14"/>
      <c r="P30" s="14"/>
      <c r="Q30" s="14"/>
      <c r="R30" s="14"/>
      <c r="S30" s="14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5.75" customHeight="1">
      <c r="A31" s="14"/>
      <c r="B31" s="5">
        <v>6</v>
      </c>
      <c r="C31" s="5">
        <f t="shared" si="2"/>
        <v>43</v>
      </c>
      <c r="D31" s="20">
        <v>43042</v>
      </c>
      <c r="E31" s="11">
        <v>366.3</v>
      </c>
      <c r="F31" s="12">
        <f t="shared" ref="F31:F33" si="12">(E30-E31)/(D31-D30)</f>
        <v>6.1999999999999886</v>
      </c>
      <c r="G31" s="14"/>
      <c r="H31" s="14"/>
      <c r="I31" s="13">
        <v>57.8</v>
      </c>
      <c r="J31" s="14">
        <f>(I29-I31)/(D31-D29)</f>
        <v>3.2000000000000028</v>
      </c>
      <c r="K31" s="13">
        <v>40.6</v>
      </c>
      <c r="L31" s="14"/>
      <c r="M31" s="14"/>
      <c r="N31" s="14"/>
      <c r="O31" s="14"/>
      <c r="P31" s="14"/>
      <c r="Q31" s="14"/>
      <c r="R31" s="14"/>
      <c r="S31" s="14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5.75" customHeight="1">
      <c r="A32" s="14"/>
      <c r="B32" s="5">
        <v>6</v>
      </c>
      <c r="C32" s="5">
        <f t="shared" si="2"/>
        <v>46</v>
      </c>
      <c r="D32" s="20">
        <v>43045</v>
      </c>
      <c r="E32" s="11">
        <v>350.9</v>
      </c>
      <c r="F32" s="12">
        <f t="shared" si="12"/>
        <v>5.1333333333333444</v>
      </c>
      <c r="G32" s="14"/>
      <c r="H32" s="14"/>
      <c r="I32" s="13">
        <v>48.1</v>
      </c>
      <c r="J32" s="16">
        <f t="shared" ref="J32:J33" si="13">(I31-I32)/(D32-D31)</f>
        <v>3.2333333333333321</v>
      </c>
      <c r="K32" s="13">
        <v>41.5</v>
      </c>
      <c r="L32" s="14"/>
      <c r="M32" s="14"/>
      <c r="N32" s="14"/>
      <c r="O32" s="14"/>
      <c r="P32" s="14"/>
      <c r="Q32" s="14"/>
      <c r="R32" s="14"/>
      <c r="S32" s="14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5.75" customHeight="1">
      <c r="A33" s="14"/>
      <c r="B33" s="5">
        <v>6</v>
      </c>
      <c r="C33" s="5">
        <f t="shared" si="2"/>
        <v>48</v>
      </c>
      <c r="D33" s="20">
        <v>43047</v>
      </c>
      <c r="E33" s="11">
        <v>340.2</v>
      </c>
      <c r="F33" s="12">
        <f t="shared" si="12"/>
        <v>5.3499999999999943</v>
      </c>
      <c r="G33" s="14"/>
      <c r="H33" s="14"/>
      <c r="I33" s="13">
        <v>36.799999999999997</v>
      </c>
      <c r="J33" s="16">
        <f t="shared" si="13"/>
        <v>5.6500000000000021</v>
      </c>
      <c r="K33" s="13">
        <v>41.7</v>
      </c>
      <c r="L33" s="14"/>
      <c r="M33" s="14"/>
      <c r="N33" s="14"/>
      <c r="O33" s="14"/>
      <c r="P33" s="14"/>
      <c r="Q33" s="14"/>
      <c r="R33" s="14"/>
      <c r="S33" s="14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5.75" customHeight="1">
      <c r="A34" s="14"/>
      <c r="B34" s="5">
        <v>7</v>
      </c>
      <c r="C34" s="5">
        <f t="shared" si="2"/>
        <v>49</v>
      </c>
      <c r="D34" s="20">
        <v>43048</v>
      </c>
      <c r="E34" s="11">
        <v>366.2</v>
      </c>
      <c r="F34" s="12"/>
      <c r="G34" s="14"/>
      <c r="H34" s="14"/>
      <c r="J34" s="22"/>
      <c r="K34" s="15"/>
      <c r="L34" s="14"/>
      <c r="M34" s="14"/>
      <c r="N34" s="14"/>
      <c r="O34" s="14"/>
      <c r="P34" s="14"/>
      <c r="Q34" s="14"/>
      <c r="R34" s="14"/>
      <c r="S34" s="14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5.75" customHeight="1">
      <c r="A35" s="14"/>
      <c r="B35" s="5">
        <v>7</v>
      </c>
      <c r="C35" s="5">
        <f t="shared" si="2"/>
        <v>50</v>
      </c>
      <c r="D35" s="20">
        <v>43049</v>
      </c>
      <c r="E35" s="11">
        <v>359.5</v>
      </c>
      <c r="F35" s="12">
        <f t="shared" ref="F35:F37" si="14">(E34-E35)/(D35-D34)</f>
        <v>6.6999999999999886</v>
      </c>
      <c r="G35" s="14"/>
      <c r="H35" s="14"/>
      <c r="I35" s="13">
        <v>94.7</v>
      </c>
      <c r="J35" s="16"/>
      <c r="K35" s="13">
        <v>42.9</v>
      </c>
      <c r="L35" s="14"/>
      <c r="M35" s="14"/>
      <c r="N35" s="14"/>
      <c r="O35" s="14"/>
      <c r="P35" s="14"/>
      <c r="Q35" s="14"/>
      <c r="R35" s="14"/>
      <c r="S35" s="14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5.75" customHeight="1">
      <c r="A36" s="14"/>
      <c r="B36" s="5">
        <v>7</v>
      </c>
      <c r="C36" s="5">
        <f t="shared" si="2"/>
        <v>53</v>
      </c>
      <c r="D36" s="20">
        <v>43052</v>
      </c>
      <c r="E36" s="11">
        <v>345</v>
      </c>
      <c r="F36" s="12">
        <f t="shared" si="14"/>
        <v>4.833333333333333</v>
      </c>
      <c r="G36" s="14"/>
      <c r="H36" s="14"/>
      <c r="I36" s="13">
        <v>84</v>
      </c>
      <c r="J36" s="16">
        <f t="shared" ref="J36:J37" si="15">(I35-I36)/(D36-D35)</f>
        <v>3.5666666666666678</v>
      </c>
      <c r="K36" s="13">
        <v>44</v>
      </c>
      <c r="L36" s="14"/>
      <c r="M36" s="14"/>
      <c r="N36" s="14"/>
      <c r="O36" s="14"/>
      <c r="P36" s="14"/>
      <c r="Q36" s="14"/>
      <c r="R36" s="14"/>
      <c r="S36" s="14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3.2">
      <c r="A37" s="14"/>
      <c r="B37" s="5">
        <v>7</v>
      </c>
      <c r="C37" s="5">
        <f t="shared" si="2"/>
        <v>55</v>
      </c>
      <c r="D37" s="20">
        <v>43054</v>
      </c>
      <c r="E37" s="11">
        <v>333.2</v>
      </c>
      <c r="F37" s="12">
        <f t="shared" si="14"/>
        <v>5.9000000000000057</v>
      </c>
      <c r="G37" s="14"/>
      <c r="H37" s="14"/>
      <c r="I37" s="13">
        <v>76.8</v>
      </c>
      <c r="J37" s="16">
        <f t="shared" si="15"/>
        <v>3.6000000000000014</v>
      </c>
      <c r="K37" s="13">
        <v>45.2</v>
      </c>
      <c r="L37" s="14"/>
      <c r="M37" s="14"/>
      <c r="N37" s="14"/>
      <c r="O37" s="14"/>
      <c r="P37" s="14"/>
      <c r="Q37" s="14"/>
      <c r="R37" s="14"/>
      <c r="S37" s="14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3.2">
      <c r="A38" s="14"/>
      <c r="B38" s="5">
        <v>8</v>
      </c>
      <c r="C38" s="5">
        <f t="shared" si="2"/>
        <v>56</v>
      </c>
      <c r="D38" s="20">
        <v>43055</v>
      </c>
      <c r="E38" s="11">
        <v>397.1</v>
      </c>
      <c r="F38" s="12"/>
      <c r="G38" s="14"/>
      <c r="H38" s="14"/>
      <c r="I38" s="15"/>
      <c r="J38" s="14"/>
      <c r="K38" s="15"/>
      <c r="L38" s="14"/>
      <c r="M38" s="14"/>
      <c r="N38" s="14"/>
      <c r="O38" s="14"/>
      <c r="P38" s="14"/>
      <c r="Q38" s="14"/>
      <c r="R38" s="14"/>
      <c r="S38" s="14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3.2">
      <c r="A39" s="14"/>
      <c r="B39" s="5">
        <v>8</v>
      </c>
      <c r="C39" s="5">
        <f t="shared" si="2"/>
        <v>57</v>
      </c>
      <c r="D39" s="20">
        <v>43056</v>
      </c>
      <c r="E39" s="11">
        <v>384.1</v>
      </c>
      <c r="F39" s="12">
        <f t="shared" ref="F39:F40" si="16">(E38-E39)/(D39-D38)</f>
        <v>13</v>
      </c>
      <c r="G39" s="14"/>
      <c r="H39" s="14"/>
      <c r="I39" s="13">
        <v>70.7</v>
      </c>
      <c r="J39" s="16">
        <f>(I37-I39)/(D39-D37)</f>
        <v>3.0499999999999972</v>
      </c>
      <c r="K39" s="13">
        <v>45.6</v>
      </c>
      <c r="L39" s="14"/>
      <c r="M39" s="14"/>
      <c r="N39" s="14"/>
      <c r="O39" s="14"/>
      <c r="P39" s="14"/>
      <c r="Q39" s="14"/>
      <c r="R39" s="14"/>
      <c r="S39" s="14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3.2">
      <c r="A40" s="14"/>
      <c r="B40" s="5">
        <v>8</v>
      </c>
      <c r="C40" s="5">
        <f t="shared" si="2"/>
        <v>60</v>
      </c>
      <c r="D40" s="20">
        <v>43059</v>
      </c>
      <c r="E40" s="11">
        <v>371.8</v>
      </c>
      <c r="F40" s="12">
        <f t="shared" si="16"/>
        <v>4.1000000000000041</v>
      </c>
      <c r="G40" s="14"/>
      <c r="H40" s="14"/>
      <c r="I40" s="13">
        <v>60.8</v>
      </c>
      <c r="J40" s="16">
        <f>(I39-I40)/(D40-D39)</f>
        <v>3.300000000000002</v>
      </c>
      <c r="K40" s="13">
        <v>46.8</v>
      </c>
      <c r="L40" s="14"/>
      <c r="M40" s="14"/>
      <c r="N40" s="14"/>
      <c r="O40" s="14"/>
      <c r="P40" s="14"/>
      <c r="Q40" s="14"/>
      <c r="R40" s="14"/>
      <c r="S40" s="14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3.2">
      <c r="A41" s="14"/>
      <c r="B41" s="5">
        <v>8</v>
      </c>
      <c r="C41" s="5">
        <f t="shared" si="2"/>
        <v>61</v>
      </c>
      <c r="D41" s="20">
        <v>43060</v>
      </c>
      <c r="E41" s="11">
        <v>377.2</v>
      </c>
      <c r="F41" s="12"/>
      <c r="G41" s="14"/>
      <c r="H41" s="14"/>
      <c r="I41" s="15"/>
      <c r="J41" s="14"/>
      <c r="K41" s="15"/>
      <c r="L41" s="14"/>
      <c r="M41" s="14"/>
      <c r="N41" s="14"/>
      <c r="O41" s="14"/>
      <c r="P41" s="14"/>
      <c r="Q41" s="14"/>
      <c r="R41" s="14"/>
      <c r="S41" s="14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3.2">
      <c r="A42" s="14"/>
      <c r="B42" s="5">
        <v>8</v>
      </c>
      <c r="C42" s="5">
        <f t="shared" si="2"/>
        <v>62</v>
      </c>
      <c r="D42" s="20">
        <v>43061</v>
      </c>
      <c r="E42" s="11">
        <v>372.2</v>
      </c>
      <c r="F42" s="12">
        <f>(E41-E42)/(D42-D41)</f>
        <v>5</v>
      </c>
      <c r="G42" s="14"/>
      <c r="H42" s="14"/>
      <c r="I42" s="13">
        <v>53.6</v>
      </c>
      <c r="J42" s="16">
        <f>(I40-I42)/(D42-D40)</f>
        <v>3.5999999999999979</v>
      </c>
      <c r="K42" s="13">
        <v>47.2</v>
      </c>
      <c r="L42" s="14"/>
      <c r="M42" s="14"/>
      <c r="N42" s="14"/>
      <c r="O42" s="14"/>
      <c r="P42" s="14"/>
      <c r="Q42" s="14"/>
      <c r="R42" s="14"/>
      <c r="S42" s="14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3.2">
      <c r="A43" s="14"/>
      <c r="B43" s="5">
        <v>9</v>
      </c>
      <c r="C43" s="5">
        <f t="shared" si="2"/>
        <v>63</v>
      </c>
      <c r="D43" s="20">
        <v>43062</v>
      </c>
      <c r="E43" s="11"/>
      <c r="F43" s="12"/>
      <c r="G43" s="14"/>
      <c r="H43" s="14"/>
      <c r="I43" s="13"/>
      <c r="J43" s="16"/>
      <c r="K43" s="13"/>
      <c r="L43" s="14"/>
      <c r="M43" s="14"/>
      <c r="N43" s="14"/>
      <c r="O43" s="14"/>
      <c r="P43" s="14"/>
      <c r="Q43" s="14"/>
      <c r="R43" s="14"/>
      <c r="S43" s="14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3.2">
      <c r="A44" s="14"/>
      <c r="B44" s="5">
        <v>9</v>
      </c>
      <c r="C44" s="5">
        <f t="shared" si="2"/>
        <v>64</v>
      </c>
      <c r="D44" s="20">
        <v>43063</v>
      </c>
      <c r="E44" s="11">
        <v>362.6</v>
      </c>
      <c r="F44" s="12">
        <f>(E42-E44)/(D44-D42)</f>
        <v>4.7999999999999829</v>
      </c>
      <c r="G44" s="14"/>
      <c r="H44" s="14"/>
      <c r="I44" s="13">
        <v>47.1</v>
      </c>
      <c r="J44" s="16">
        <f>(I42-I44)/(D44-D42)</f>
        <v>3.25</v>
      </c>
      <c r="K44" s="13">
        <v>48.2</v>
      </c>
      <c r="L44" s="14"/>
      <c r="M44" s="14"/>
      <c r="N44" s="14"/>
      <c r="O44" s="14"/>
      <c r="P44" s="14"/>
      <c r="Q44" s="14"/>
      <c r="R44" s="14"/>
      <c r="S44" s="14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3.2">
      <c r="A45" s="14"/>
      <c r="B45" s="5">
        <v>9</v>
      </c>
      <c r="C45" s="5">
        <f t="shared" si="2"/>
        <v>67</v>
      </c>
      <c r="D45" s="23">
        <v>43066</v>
      </c>
      <c r="E45" s="11">
        <v>349.2</v>
      </c>
      <c r="F45" s="12">
        <f t="shared" ref="F45:F46" si="17">(E44-E45)/(D45-D44)</f>
        <v>4.4666666666666783</v>
      </c>
      <c r="G45" s="14"/>
      <c r="H45" s="14"/>
      <c r="I45" s="13">
        <v>37.200000000000003</v>
      </c>
      <c r="J45" s="16">
        <f>(I44-I45)/(D45-D44)</f>
        <v>3.2999999999999994</v>
      </c>
      <c r="K45" s="13">
        <v>49.4</v>
      </c>
      <c r="L45" s="14"/>
      <c r="M45" s="14"/>
      <c r="N45" s="14"/>
      <c r="O45" s="14"/>
      <c r="P45" s="14"/>
      <c r="Q45" s="14"/>
      <c r="R45" s="14"/>
      <c r="S45" s="14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3.2">
      <c r="A46" s="14"/>
      <c r="B46" s="5">
        <v>9</v>
      </c>
      <c r="C46" s="5">
        <f t="shared" si="2"/>
        <v>69</v>
      </c>
      <c r="D46" s="23">
        <v>43068</v>
      </c>
      <c r="E46" s="11">
        <v>339.2</v>
      </c>
      <c r="F46" s="12">
        <f t="shared" si="17"/>
        <v>5</v>
      </c>
      <c r="G46" s="14"/>
      <c r="H46" s="14"/>
      <c r="I46" s="13">
        <v>106.93</v>
      </c>
      <c r="J46" s="14">
        <f>(114.1-I46)/(D46-D45)</f>
        <v>3.5849999999999937</v>
      </c>
      <c r="K46" s="13">
        <v>49.8</v>
      </c>
      <c r="L46" s="14"/>
      <c r="M46" s="14"/>
      <c r="N46" s="14"/>
      <c r="O46" s="14"/>
      <c r="P46" s="14"/>
      <c r="Q46" s="14"/>
      <c r="R46" s="14"/>
      <c r="S46" s="14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3.2">
      <c r="A47" s="14"/>
      <c r="B47" s="5">
        <v>10</v>
      </c>
      <c r="C47" s="5">
        <f t="shared" si="2"/>
        <v>70</v>
      </c>
      <c r="D47" s="23">
        <v>43069</v>
      </c>
      <c r="E47" s="11">
        <v>375.2</v>
      </c>
      <c r="F47" s="12"/>
      <c r="G47" s="14"/>
      <c r="H47" s="14"/>
      <c r="I47" s="15"/>
      <c r="J47" s="14"/>
      <c r="K47" s="15"/>
      <c r="L47" s="14"/>
      <c r="M47" s="14"/>
      <c r="N47" s="14"/>
      <c r="O47" s="14"/>
      <c r="P47" s="14"/>
      <c r="Q47" s="14"/>
      <c r="R47" s="14"/>
      <c r="S47" s="14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3.2">
      <c r="A48" s="14"/>
      <c r="B48" s="5">
        <v>10</v>
      </c>
      <c r="C48" s="5">
        <f t="shared" si="2"/>
        <v>71</v>
      </c>
      <c r="D48" s="23">
        <v>43070</v>
      </c>
      <c r="E48" s="11">
        <v>366.5</v>
      </c>
      <c r="F48" s="12">
        <f t="shared" ref="F48:F50" si="18">(E47-E48)/(D48-D47)</f>
        <v>8.6999999999999886</v>
      </c>
      <c r="G48" s="14"/>
      <c r="H48" s="14"/>
      <c r="I48" s="13">
        <v>99.7</v>
      </c>
      <c r="J48" s="16">
        <f>(I46-I48)/(D48-D46)</f>
        <v>3.615000000000002</v>
      </c>
      <c r="K48" s="13">
        <v>50.5</v>
      </c>
      <c r="L48" s="14"/>
      <c r="M48" s="14"/>
      <c r="N48" s="14"/>
      <c r="O48" s="14"/>
      <c r="P48" s="14"/>
      <c r="Q48" s="14"/>
      <c r="R48" s="14"/>
      <c r="S48" s="14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3.2">
      <c r="A49" s="14"/>
      <c r="B49" s="5">
        <v>10</v>
      </c>
      <c r="C49" s="5">
        <f t="shared" si="2"/>
        <v>74</v>
      </c>
      <c r="D49" s="23">
        <v>43073</v>
      </c>
      <c r="E49" s="11">
        <v>355.3</v>
      </c>
      <c r="F49" s="12">
        <f t="shared" si="18"/>
        <v>3.7333333333333294</v>
      </c>
      <c r="G49" s="14"/>
      <c r="H49" s="14"/>
      <c r="I49" s="13">
        <v>90.1</v>
      </c>
      <c r="J49" s="16">
        <f t="shared" ref="J49:J50" si="19">(I48-I49)/(D49-D48)</f>
        <v>3.2000000000000028</v>
      </c>
      <c r="K49" s="13">
        <v>50.8</v>
      </c>
      <c r="L49" s="14"/>
      <c r="M49" s="14"/>
      <c r="N49" s="14"/>
      <c r="O49" s="14"/>
      <c r="P49" s="14"/>
      <c r="Q49" s="14"/>
      <c r="R49" s="14"/>
      <c r="S49" s="14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3.2">
      <c r="A50" s="14"/>
      <c r="B50" s="5">
        <v>10</v>
      </c>
      <c r="C50" s="5">
        <f t="shared" si="2"/>
        <v>76</v>
      </c>
      <c r="D50" s="23">
        <v>43075</v>
      </c>
      <c r="E50" s="11">
        <v>344.8</v>
      </c>
      <c r="F50" s="12">
        <f t="shared" si="18"/>
        <v>5.25</v>
      </c>
      <c r="G50" s="14"/>
      <c r="H50" s="14"/>
      <c r="I50" s="13">
        <v>83.7</v>
      </c>
      <c r="J50" s="16">
        <f t="shared" si="19"/>
        <v>3.1999999999999957</v>
      </c>
      <c r="K50" s="13">
        <v>51</v>
      </c>
      <c r="L50" s="14"/>
      <c r="M50" s="14"/>
      <c r="N50" s="14"/>
      <c r="O50" s="14"/>
      <c r="P50" s="14"/>
      <c r="Q50" s="14"/>
      <c r="R50" s="14"/>
      <c r="S50" s="14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3.2">
      <c r="A51" s="14"/>
      <c r="B51" s="5">
        <v>11</v>
      </c>
      <c r="C51" s="5">
        <f t="shared" si="2"/>
        <v>77</v>
      </c>
      <c r="D51" s="24">
        <v>43076</v>
      </c>
      <c r="E51" s="11">
        <v>373.1</v>
      </c>
      <c r="F51" s="12"/>
      <c r="G51" s="14"/>
      <c r="H51" s="14"/>
      <c r="I51" s="15"/>
      <c r="J51" s="14"/>
      <c r="K51" s="15"/>
      <c r="L51" s="14"/>
      <c r="M51" s="14"/>
      <c r="N51" s="14"/>
      <c r="O51" s="14"/>
      <c r="P51" s="14"/>
      <c r="Q51" s="14"/>
      <c r="R51" s="14"/>
      <c r="S51" s="14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3.2">
      <c r="A52" s="14"/>
      <c r="B52" s="5">
        <v>11</v>
      </c>
      <c r="C52" s="5">
        <f t="shared" si="2"/>
        <v>78</v>
      </c>
      <c r="D52" s="24">
        <v>43077</v>
      </c>
      <c r="E52" s="11">
        <v>365.5</v>
      </c>
      <c r="F52" s="12">
        <f t="shared" ref="F52:F54" si="20">(E51-E52)/(D52-D51)</f>
        <v>7.6000000000000227</v>
      </c>
      <c r="G52" s="14"/>
      <c r="H52" s="14"/>
      <c r="I52" s="13">
        <v>77.3</v>
      </c>
      <c r="J52" s="16">
        <f>(I50-I52)/(D52-D50)</f>
        <v>3.2000000000000028</v>
      </c>
      <c r="K52" s="13">
        <v>51.2</v>
      </c>
      <c r="L52" s="14"/>
      <c r="M52" s="14"/>
      <c r="N52" s="14"/>
      <c r="O52" s="14"/>
      <c r="P52" s="14"/>
      <c r="Q52" s="14"/>
      <c r="R52" s="14"/>
      <c r="S52" s="14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3.2">
      <c r="A53" s="14"/>
      <c r="B53" s="5">
        <v>11</v>
      </c>
      <c r="C53" s="5">
        <f t="shared" si="2"/>
        <v>81</v>
      </c>
      <c r="D53" s="24">
        <v>43080</v>
      </c>
      <c r="E53" s="11">
        <v>351.4</v>
      </c>
      <c r="F53" s="12">
        <f t="shared" si="20"/>
        <v>4.7000000000000073</v>
      </c>
      <c r="G53" s="14"/>
      <c r="H53" s="14"/>
      <c r="I53" s="13">
        <v>67.3</v>
      </c>
      <c r="J53" s="16">
        <f t="shared" ref="J53:J54" si="21">(I52-I53)/(D53-D52)</f>
        <v>3.3333333333333335</v>
      </c>
      <c r="K53" s="13">
        <v>51.9</v>
      </c>
      <c r="L53" s="14"/>
      <c r="M53" s="14"/>
      <c r="N53" s="14"/>
      <c r="O53" s="14"/>
      <c r="P53" s="14"/>
      <c r="Q53" s="14"/>
      <c r="R53" s="14"/>
      <c r="S53" s="14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26.4">
      <c r="A54" s="5" t="s">
        <v>27</v>
      </c>
      <c r="B54" s="5">
        <v>11</v>
      </c>
      <c r="C54" s="5">
        <f t="shared" si="2"/>
        <v>83</v>
      </c>
      <c r="D54" s="25">
        <v>43082</v>
      </c>
      <c r="E54" s="11">
        <v>337.8</v>
      </c>
      <c r="F54" s="12">
        <f t="shared" si="20"/>
        <v>6.7999999999999829</v>
      </c>
      <c r="G54" s="14"/>
      <c r="H54" s="14"/>
      <c r="I54" s="13">
        <v>60.5</v>
      </c>
      <c r="J54" s="16">
        <f t="shared" si="21"/>
        <v>3.3999999999999986</v>
      </c>
      <c r="K54" s="13">
        <v>52.6</v>
      </c>
      <c r="L54" s="14"/>
      <c r="M54" s="14"/>
      <c r="N54" s="14"/>
      <c r="O54" s="14"/>
      <c r="P54" s="14"/>
      <c r="Q54" s="14"/>
      <c r="R54" s="14"/>
      <c r="S54" s="14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3.2">
      <c r="B55" s="5">
        <v>12</v>
      </c>
      <c r="C55" s="5">
        <f t="shared" si="2"/>
        <v>84</v>
      </c>
      <c r="D55" s="24">
        <v>43083</v>
      </c>
      <c r="E55" s="12"/>
      <c r="F55" s="12"/>
      <c r="G55" s="14"/>
      <c r="H55" s="14"/>
      <c r="I55" s="15"/>
      <c r="J55" s="14"/>
      <c r="K55" s="13"/>
      <c r="L55" s="14"/>
      <c r="M55" s="14"/>
      <c r="N55" s="14"/>
      <c r="O55" s="14"/>
      <c r="P55" s="14"/>
      <c r="Q55" s="14"/>
      <c r="R55" s="14"/>
      <c r="S55" s="14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3.2">
      <c r="A56" s="26" t="s">
        <v>28</v>
      </c>
      <c r="B56" s="26">
        <v>12</v>
      </c>
      <c r="C56" s="26">
        <f t="shared" si="2"/>
        <v>85</v>
      </c>
      <c r="D56" s="27">
        <v>43084</v>
      </c>
      <c r="E56" s="28"/>
      <c r="F56" s="28"/>
      <c r="G56" s="29"/>
      <c r="H56" s="29"/>
      <c r="I56" s="30"/>
      <c r="J56" s="29"/>
      <c r="K56" s="31">
        <v>51.3</v>
      </c>
      <c r="L56" s="29"/>
      <c r="M56" s="29"/>
      <c r="N56" s="29"/>
      <c r="O56" s="29"/>
      <c r="P56" s="29"/>
      <c r="Q56" s="29"/>
      <c r="R56" s="29"/>
      <c r="S56" s="14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3.2">
      <c r="A57" s="14"/>
      <c r="B57" s="5">
        <v>12</v>
      </c>
      <c r="C57" s="5">
        <f t="shared" si="2"/>
        <v>98</v>
      </c>
      <c r="D57" s="32">
        <v>43097</v>
      </c>
      <c r="E57" s="12"/>
      <c r="F57" s="12"/>
      <c r="G57" s="14"/>
      <c r="H57" s="14"/>
      <c r="I57" s="33">
        <v>63.9</v>
      </c>
      <c r="J57" s="14"/>
      <c r="K57" s="33">
        <v>51.6</v>
      </c>
      <c r="L57" s="14"/>
      <c r="M57" s="14"/>
      <c r="N57" s="14"/>
      <c r="O57" s="14"/>
      <c r="P57" s="14"/>
      <c r="Q57" s="14"/>
      <c r="R57" s="14"/>
      <c r="S57" s="14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3.2">
      <c r="A58" s="14"/>
      <c r="B58" s="5">
        <v>12</v>
      </c>
      <c r="C58" s="5">
        <f t="shared" si="2"/>
        <v>105</v>
      </c>
      <c r="D58" s="32">
        <v>43104</v>
      </c>
      <c r="E58" s="12"/>
      <c r="F58" s="12"/>
      <c r="G58" s="14"/>
      <c r="H58" s="14"/>
      <c r="I58" s="33">
        <v>36.200000000000003</v>
      </c>
      <c r="J58" s="14"/>
      <c r="K58" s="33">
        <v>52</v>
      </c>
      <c r="L58" s="14"/>
      <c r="M58" s="14"/>
      <c r="N58" s="14"/>
      <c r="O58" s="14"/>
      <c r="P58" s="14"/>
      <c r="Q58" s="14"/>
      <c r="R58" s="14"/>
      <c r="S58" s="14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3.2">
      <c r="A59" s="14"/>
      <c r="B59" s="14"/>
      <c r="C59" s="5">
        <f t="shared" si="2"/>
        <v>112</v>
      </c>
      <c r="D59" s="32">
        <v>43111</v>
      </c>
      <c r="E59" s="12"/>
      <c r="F59" s="12"/>
      <c r="G59" s="14"/>
      <c r="H59" s="14"/>
      <c r="I59" s="33">
        <v>13.3</v>
      </c>
      <c r="J59" s="14"/>
      <c r="K59" s="33">
        <v>53.4</v>
      </c>
      <c r="L59" s="14"/>
      <c r="M59" s="14"/>
      <c r="N59" s="14"/>
      <c r="O59" s="14"/>
      <c r="P59" s="14"/>
      <c r="Q59" s="14"/>
      <c r="R59" s="14"/>
      <c r="S59" s="14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3.2">
      <c r="A60" s="14"/>
      <c r="B60" s="14"/>
      <c r="C60" s="5">
        <f t="shared" si="2"/>
        <v>116</v>
      </c>
      <c r="D60" s="34">
        <v>43115</v>
      </c>
      <c r="E60" s="12"/>
      <c r="F60" s="12"/>
      <c r="G60" s="14"/>
      <c r="H60" s="14"/>
      <c r="I60" s="33"/>
      <c r="J60" s="14"/>
      <c r="K60" s="33"/>
      <c r="L60" s="14"/>
      <c r="M60" s="14"/>
      <c r="N60" s="14"/>
      <c r="O60" s="14"/>
      <c r="P60" s="14"/>
      <c r="Q60" s="14"/>
      <c r="R60" s="14"/>
      <c r="S60" s="14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3.2">
      <c r="A61" s="14"/>
      <c r="B61" s="14"/>
      <c r="C61" s="5">
        <f t="shared" si="2"/>
        <v>117</v>
      </c>
      <c r="D61" s="20">
        <v>43116</v>
      </c>
      <c r="E61" s="12"/>
      <c r="F61" s="12"/>
      <c r="G61" s="14"/>
      <c r="H61" s="14"/>
      <c r="I61" s="33">
        <v>24</v>
      </c>
      <c r="J61" s="14"/>
      <c r="K61" s="33">
        <v>54.8</v>
      </c>
      <c r="L61" s="14"/>
      <c r="M61" s="14"/>
      <c r="N61" s="14"/>
      <c r="O61" s="14"/>
      <c r="P61" s="14"/>
      <c r="Q61" s="14"/>
      <c r="R61" s="14"/>
      <c r="S61" s="14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3.2">
      <c r="A62" s="14"/>
      <c r="B62" s="14"/>
      <c r="C62" s="5">
        <v>124</v>
      </c>
      <c r="D62" s="35">
        <v>43123</v>
      </c>
      <c r="E62" s="12"/>
      <c r="F62" s="12"/>
      <c r="G62" s="14"/>
      <c r="H62" s="14"/>
      <c r="I62" s="33">
        <v>32.5</v>
      </c>
      <c r="J62" s="14"/>
      <c r="K62" s="33">
        <v>56.1</v>
      </c>
      <c r="L62" s="14"/>
      <c r="M62" s="14"/>
      <c r="N62" s="14"/>
      <c r="O62" s="14"/>
      <c r="P62" s="14"/>
      <c r="Q62" s="14"/>
      <c r="R62" s="14"/>
      <c r="S62" s="14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3.2">
      <c r="A63" s="14"/>
      <c r="B63" s="14"/>
      <c r="C63" s="5">
        <v>131</v>
      </c>
      <c r="D63" s="20">
        <v>43130</v>
      </c>
      <c r="E63" s="12"/>
      <c r="F63" s="12"/>
      <c r="G63" s="14"/>
      <c r="H63" s="14"/>
      <c r="I63" s="36">
        <v>54</v>
      </c>
      <c r="J63" s="14"/>
      <c r="K63" s="36">
        <v>56.6</v>
      </c>
      <c r="L63" s="14"/>
      <c r="M63" s="14"/>
      <c r="N63" s="14"/>
      <c r="O63" s="14"/>
      <c r="P63" s="14"/>
      <c r="Q63" s="14"/>
      <c r="R63" s="14"/>
      <c r="S63" s="14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3.2">
      <c r="A64" s="14"/>
      <c r="B64" s="14"/>
      <c r="C64" s="5">
        <v>138</v>
      </c>
      <c r="D64" s="20">
        <v>43137</v>
      </c>
      <c r="E64" s="12"/>
      <c r="F64" s="12"/>
      <c r="G64" s="14"/>
      <c r="H64" s="14"/>
      <c r="I64" s="33">
        <v>29.6</v>
      </c>
      <c r="J64" s="37"/>
      <c r="K64" s="33">
        <v>56.5</v>
      </c>
      <c r="L64" s="14"/>
      <c r="M64" s="14"/>
      <c r="N64" s="14"/>
      <c r="O64" s="14"/>
      <c r="P64" s="14"/>
      <c r="Q64" s="14"/>
      <c r="R64" s="14"/>
      <c r="S64" s="14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3.2">
      <c r="A65" s="14"/>
      <c r="B65" s="14"/>
      <c r="C65" s="5">
        <v>145</v>
      </c>
      <c r="D65" s="20">
        <v>43144</v>
      </c>
      <c r="E65" s="12"/>
      <c r="F65" s="12"/>
      <c r="G65" s="14"/>
      <c r="H65" s="14"/>
      <c r="I65" s="13">
        <v>73</v>
      </c>
      <c r="J65" s="14"/>
      <c r="K65" s="13">
        <v>56.4</v>
      </c>
      <c r="L65" s="14"/>
      <c r="M65" s="14"/>
      <c r="N65" s="14"/>
      <c r="O65" s="14"/>
      <c r="P65" s="14"/>
      <c r="Q65" s="14"/>
      <c r="R65" s="14"/>
      <c r="S65" s="14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3.2">
      <c r="A66" s="14"/>
      <c r="B66" s="14"/>
      <c r="C66" s="5">
        <v>152</v>
      </c>
      <c r="D66" s="20">
        <v>43151</v>
      </c>
      <c r="E66" s="12"/>
      <c r="F66" s="12"/>
      <c r="G66" s="14"/>
      <c r="H66" s="14"/>
      <c r="I66" s="13">
        <v>48.8</v>
      </c>
      <c r="J66" s="14"/>
      <c r="K66" s="13">
        <v>58.1</v>
      </c>
      <c r="L66" s="14"/>
      <c r="M66" s="14"/>
      <c r="N66" s="14"/>
      <c r="O66" s="14"/>
      <c r="P66" s="14"/>
      <c r="Q66" s="14"/>
      <c r="R66" s="14"/>
      <c r="S66" s="14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3.2">
      <c r="A67" s="14"/>
      <c r="B67" s="14"/>
      <c r="C67" s="5">
        <v>159</v>
      </c>
      <c r="D67" s="20">
        <v>43158</v>
      </c>
      <c r="E67" s="12"/>
      <c r="F67" s="12"/>
      <c r="G67" s="14"/>
      <c r="H67" s="14"/>
      <c r="I67" s="13">
        <v>25.5</v>
      </c>
      <c r="J67" s="14"/>
      <c r="K67" s="13">
        <v>57.6</v>
      </c>
      <c r="L67" s="14"/>
      <c r="M67" s="14"/>
      <c r="N67" s="14"/>
      <c r="O67" s="14"/>
      <c r="P67" s="14"/>
      <c r="Q67" s="14"/>
      <c r="R67" s="14"/>
      <c r="S67" s="14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3.2">
      <c r="A68" s="14"/>
      <c r="B68" s="14"/>
      <c r="C68" s="5">
        <v>166</v>
      </c>
      <c r="D68" s="20">
        <v>43165</v>
      </c>
      <c r="E68" s="12"/>
      <c r="F68" s="12"/>
      <c r="G68" s="14"/>
      <c r="H68" s="14"/>
      <c r="I68" s="13">
        <v>59.7</v>
      </c>
      <c r="J68" s="14"/>
      <c r="K68" s="13">
        <v>57.9</v>
      </c>
      <c r="L68" s="14"/>
      <c r="M68" s="14"/>
      <c r="N68" s="14"/>
      <c r="O68" s="14"/>
      <c r="P68" s="14"/>
      <c r="Q68" s="14"/>
      <c r="R68" s="14"/>
      <c r="S68" s="14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3.2">
      <c r="A69" s="14"/>
      <c r="B69" s="14"/>
      <c r="C69" s="5">
        <v>173</v>
      </c>
      <c r="D69" s="20">
        <v>43172</v>
      </c>
      <c r="E69" s="12"/>
      <c r="F69" s="12"/>
      <c r="G69" s="14"/>
      <c r="H69" s="14"/>
      <c r="I69" s="13">
        <v>36.299999999999997</v>
      </c>
      <c r="J69" s="14"/>
      <c r="K69" s="13">
        <v>57.6</v>
      </c>
      <c r="L69" s="14"/>
      <c r="M69" s="14"/>
      <c r="N69" s="14"/>
      <c r="O69" s="14"/>
      <c r="P69" s="14"/>
      <c r="Q69" s="14"/>
      <c r="R69" s="14"/>
      <c r="S69" s="14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3.2">
      <c r="A70" s="14"/>
      <c r="B70" s="14"/>
      <c r="C70" s="14"/>
      <c r="D70" s="14"/>
      <c r="E70" s="12"/>
      <c r="F70" s="12"/>
      <c r="G70" s="14"/>
      <c r="H70" s="14"/>
      <c r="I70" s="15"/>
      <c r="J70" s="14"/>
      <c r="K70" s="15"/>
      <c r="L70" s="14"/>
      <c r="M70" s="14"/>
      <c r="N70" s="14"/>
      <c r="O70" s="14"/>
      <c r="P70" s="14"/>
      <c r="Q70" s="14"/>
      <c r="R70" s="14"/>
      <c r="S70" s="14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3.2">
      <c r="A71" s="14"/>
      <c r="B71" s="14"/>
      <c r="C71" s="14"/>
      <c r="D71" s="14"/>
      <c r="E71" s="12"/>
      <c r="F71" s="12"/>
      <c r="G71" s="14"/>
      <c r="H71" s="14"/>
      <c r="I71" s="15"/>
      <c r="J71" s="14"/>
      <c r="K71" s="15"/>
      <c r="L71" s="14"/>
      <c r="M71" s="14"/>
      <c r="N71" s="14"/>
      <c r="O71" s="14"/>
      <c r="P71" s="14"/>
      <c r="Q71" s="14"/>
      <c r="R71" s="14"/>
      <c r="S71" s="14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3.2">
      <c r="A72" s="14"/>
      <c r="B72" s="14"/>
      <c r="C72" s="14"/>
      <c r="D72" s="14"/>
      <c r="E72" s="12"/>
      <c r="F72" s="12"/>
      <c r="G72" s="14"/>
      <c r="H72" s="14"/>
      <c r="I72" s="15"/>
      <c r="J72" s="14"/>
      <c r="K72" s="15"/>
      <c r="L72" s="14"/>
      <c r="M72" s="14"/>
      <c r="N72" s="14"/>
      <c r="O72" s="14"/>
      <c r="P72" s="14"/>
      <c r="Q72" s="14"/>
      <c r="R72" s="14"/>
      <c r="S72" s="14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3.2">
      <c r="A73" s="14"/>
      <c r="B73" s="14"/>
      <c r="C73" s="14"/>
      <c r="D73" s="14"/>
      <c r="E73" s="12"/>
      <c r="F73" s="12"/>
      <c r="G73" s="14"/>
      <c r="H73" s="14"/>
      <c r="I73" s="15"/>
      <c r="J73" s="14"/>
      <c r="K73" s="15"/>
      <c r="L73" s="14"/>
      <c r="M73" s="14"/>
      <c r="N73" s="14"/>
      <c r="O73" s="14"/>
      <c r="P73" s="14"/>
      <c r="Q73" s="14"/>
      <c r="R73" s="14"/>
      <c r="S73" s="14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3.2">
      <c r="A74" s="14"/>
      <c r="B74" s="14"/>
      <c r="C74" s="14"/>
      <c r="D74" s="14"/>
      <c r="E74" s="12"/>
      <c r="F74" s="12"/>
      <c r="G74" s="14"/>
      <c r="H74" s="14"/>
      <c r="I74" s="15"/>
      <c r="J74" s="14"/>
      <c r="K74" s="15"/>
      <c r="L74" s="14"/>
      <c r="M74" s="14"/>
      <c r="N74" s="14"/>
      <c r="O74" s="14"/>
      <c r="P74" s="14"/>
      <c r="Q74" s="14"/>
      <c r="R74" s="14"/>
      <c r="S74" s="14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3.2">
      <c r="A75" s="14"/>
      <c r="B75" s="14"/>
      <c r="C75" s="14"/>
      <c r="D75" s="14"/>
      <c r="E75" s="12"/>
      <c r="F75" s="12"/>
      <c r="G75" s="14"/>
      <c r="H75" s="14"/>
      <c r="I75" s="15"/>
      <c r="J75" s="14"/>
      <c r="K75" s="15"/>
      <c r="L75" s="14"/>
      <c r="M75" s="14"/>
      <c r="N75" s="14"/>
      <c r="O75" s="14"/>
      <c r="P75" s="14"/>
      <c r="Q75" s="14"/>
      <c r="R75" s="14"/>
      <c r="S75" s="14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3.2">
      <c r="A76" s="14"/>
      <c r="B76" s="14"/>
      <c r="C76" s="14"/>
      <c r="D76" s="14"/>
      <c r="E76" s="12"/>
      <c r="F76" s="12"/>
      <c r="G76" s="14"/>
      <c r="H76" s="14"/>
      <c r="I76" s="15"/>
      <c r="J76" s="14"/>
      <c r="K76" s="15"/>
      <c r="L76" s="14"/>
      <c r="M76" s="14"/>
      <c r="N76" s="14"/>
      <c r="O76" s="14"/>
      <c r="P76" s="14"/>
      <c r="Q76" s="14"/>
      <c r="R76" s="14"/>
      <c r="S76" s="14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3.2">
      <c r="A77" s="14"/>
      <c r="B77" s="14"/>
      <c r="C77" s="14"/>
      <c r="D77" s="14"/>
      <c r="E77" s="12"/>
      <c r="F77" s="12"/>
      <c r="G77" s="14"/>
      <c r="H77" s="14"/>
      <c r="I77" s="15"/>
      <c r="J77" s="14"/>
      <c r="K77" s="15"/>
      <c r="L77" s="14"/>
      <c r="M77" s="14"/>
      <c r="N77" s="14"/>
      <c r="O77" s="14"/>
      <c r="P77" s="14"/>
      <c r="Q77" s="14"/>
      <c r="R77" s="14"/>
      <c r="S77" s="14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3.2">
      <c r="A78" s="14"/>
      <c r="B78" s="14"/>
      <c r="C78" s="14"/>
      <c r="D78" s="14"/>
      <c r="E78" s="12"/>
      <c r="F78" s="12"/>
      <c r="G78" s="14"/>
      <c r="H78" s="14"/>
      <c r="I78" s="15"/>
      <c r="J78" s="14"/>
      <c r="K78" s="15"/>
      <c r="L78" s="14"/>
      <c r="M78" s="14"/>
      <c r="N78" s="14"/>
      <c r="O78" s="14"/>
      <c r="P78" s="14"/>
      <c r="Q78" s="14"/>
      <c r="R78" s="14"/>
      <c r="S78" s="14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3.2">
      <c r="A79" s="14"/>
      <c r="B79" s="14"/>
      <c r="C79" s="14"/>
      <c r="D79" s="14"/>
      <c r="E79" s="12"/>
      <c r="F79" s="12"/>
      <c r="G79" s="14"/>
      <c r="H79" s="14"/>
      <c r="I79" s="15"/>
      <c r="J79" s="14"/>
      <c r="K79" s="15"/>
      <c r="L79" s="14"/>
      <c r="M79" s="14"/>
      <c r="N79" s="14"/>
      <c r="O79" s="14"/>
      <c r="P79" s="14"/>
      <c r="Q79" s="14"/>
      <c r="R79" s="14"/>
      <c r="S79" s="14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3.2">
      <c r="A80" s="14"/>
      <c r="B80" s="14"/>
      <c r="C80" s="14"/>
      <c r="D80" s="14"/>
      <c r="E80" s="12"/>
      <c r="F80" s="12"/>
      <c r="G80" s="14"/>
      <c r="H80" s="14"/>
      <c r="I80" s="15"/>
      <c r="J80" s="14"/>
      <c r="K80" s="15"/>
      <c r="L80" s="14"/>
      <c r="M80" s="14"/>
      <c r="N80" s="14"/>
      <c r="O80" s="14"/>
      <c r="P80" s="14"/>
      <c r="Q80" s="14"/>
      <c r="R80" s="14"/>
      <c r="S80" s="14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3.2">
      <c r="A81" s="14"/>
      <c r="B81" s="14"/>
      <c r="C81" s="14"/>
      <c r="D81" s="14"/>
      <c r="E81" s="12"/>
      <c r="F81" s="12"/>
      <c r="G81" s="14"/>
      <c r="H81" s="14"/>
      <c r="I81" s="15"/>
      <c r="J81" s="14"/>
      <c r="K81" s="15"/>
      <c r="L81" s="14"/>
      <c r="M81" s="14"/>
      <c r="N81" s="14"/>
      <c r="O81" s="14"/>
      <c r="P81" s="14"/>
      <c r="Q81" s="14"/>
      <c r="R81" s="14"/>
      <c r="S81" s="14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3.2">
      <c r="A82" s="14"/>
      <c r="B82" s="14"/>
      <c r="C82" s="14"/>
      <c r="D82" s="14"/>
      <c r="E82" s="12"/>
      <c r="F82" s="12"/>
      <c r="G82" s="14"/>
      <c r="H82" s="14"/>
      <c r="I82" s="15"/>
      <c r="J82" s="14"/>
      <c r="K82" s="15"/>
      <c r="L82" s="14"/>
      <c r="M82" s="14"/>
      <c r="N82" s="14"/>
      <c r="O82" s="14"/>
      <c r="P82" s="14"/>
      <c r="Q82" s="14"/>
      <c r="R82" s="14"/>
      <c r="S82" s="14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3.2">
      <c r="A83" s="14"/>
      <c r="B83" s="14"/>
      <c r="C83" s="14"/>
      <c r="D83" s="14"/>
      <c r="E83" s="12"/>
      <c r="F83" s="12"/>
      <c r="G83" s="14"/>
      <c r="H83" s="14"/>
      <c r="I83" s="15"/>
      <c r="J83" s="14"/>
      <c r="K83" s="15"/>
      <c r="L83" s="14"/>
      <c r="M83" s="14"/>
      <c r="N83" s="14"/>
      <c r="O83" s="14"/>
      <c r="P83" s="14"/>
      <c r="Q83" s="14"/>
      <c r="R83" s="14"/>
      <c r="S83" s="14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3.2">
      <c r="A84" s="14"/>
      <c r="B84" s="14"/>
      <c r="C84" s="14"/>
      <c r="D84" s="14"/>
      <c r="E84" s="12"/>
      <c r="F84" s="12"/>
      <c r="G84" s="14"/>
      <c r="H84" s="14"/>
      <c r="I84" s="15"/>
      <c r="J84" s="14"/>
      <c r="K84" s="15"/>
      <c r="L84" s="14"/>
      <c r="M84" s="14"/>
      <c r="N84" s="14"/>
      <c r="O84" s="14"/>
      <c r="P84" s="14"/>
      <c r="Q84" s="14"/>
      <c r="R84" s="14"/>
      <c r="S84" s="14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3.2">
      <c r="A85" s="14"/>
      <c r="B85" s="14"/>
      <c r="C85" s="14"/>
      <c r="D85" s="14"/>
      <c r="E85" s="12"/>
      <c r="F85" s="12"/>
      <c r="G85" s="14"/>
      <c r="H85" s="14"/>
      <c r="I85" s="15"/>
      <c r="J85" s="14"/>
      <c r="K85" s="15"/>
      <c r="L85" s="14"/>
      <c r="M85" s="14"/>
      <c r="N85" s="14"/>
      <c r="O85" s="14"/>
      <c r="P85" s="14"/>
      <c r="Q85" s="14"/>
      <c r="R85" s="14"/>
      <c r="S85" s="14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3.2">
      <c r="A86" s="8" t="s">
        <v>29</v>
      </c>
      <c r="B86" s="5">
        <v>0</v>
      </c>
      <c r="C86" s="5">
        <v>0</v>
      </c>
      <c r="D86" s="9">
        <v>42992</v>
      </c>
      <c r="E86" s="10">
        <v>355.6</v>
      </c>
      <c r="F86" s="11"/>
      <c r="G86" s="12">
        <f>AVERAGE(F87:F103)</f>
        <v>5.1714285714285735</v>
      </c>
      <c r="H86" s="14"/>
      <c r="I86" s="13">
        <v>115.4</v>
      </c>
      <c r="J86" s="14">
        <f t="shared" ref="J86:J89" si="22">(I86-I87)/(D87-D86)</f>
        <v>3.8000000000000114</v>
      </c>
      <c r="K86" s="13">
        <v>17.5</v>
      </c>
      <c r="L86" s="14"/>
      <c r="M86" s="14"/>
      <c r="N86" s="14"/>
      <c r="O86" s="14"/>
      <c r="P86" s="14">
        <f>SUM(O86:O95)-104.4</f>
        <v>168.79999999999998</v>
      </c>
      <c r="Q86" s="14"/>
      <c r="R86" s="14"/>
      <c r="S86" s="15">
        <f>I91-I97</f>
        <v>30.1</v>
      </c>
      <c r="T86" s="7">
        <f>SUM(S86:S93)*5.24</f>
        <v>1861.2480000000003</v>
      </c>
      <c r="U86" s="7"/>
      <c r="V86" s="7"/>
      <c r="W86" s="7"/>
      <c r="X86" s="7"/>
      <c r="Y86" s="7"/>
      <c r="Z86" s="7"/>
      <c r="AA86" s="7"/>
      <c r="AB86" s="7"/>
      <c r="AC86" s="7"/>
    </row>
    <row r="87" spans="1:29" ht="13.2">
      <c r="A87" s="5" t="s">
        <v>30</v>
      </c>
      <c r="B87" s="5">
        <v>0</v>
      </c>
      <c r="C87" s="5">
        <v>0</v>
      </c>
      <c r="D87" s="9">
        <v>42993</v>
      </c>
      <c r="E87" s="10">
        <v>348.7</v>
      </c>
      <c r="F87" s="12">
        <f>E86-E87</f>
        <v>6.9000000000000341</v>
      </c>
      <c r="G87" s="14"/>
      <c r="H87" s="14"/>
      <c r="I87" s="13">
        <v>111.6</v>
      </c>
      <c r="J87" s="14">
        <f t="shared" si="22"/>
        <v>3.699999999999998</v>
      </c>
      <c r="K87" s="13">
        <v>17.600000000000001</v>
      </c>
      <c r="L87" s="14"/>
      <c r="M87" s="14"/>
      <c r="N87" s="14"/>
      <c r="O87" s="12">
        <f>E91-E98</f>
        <v>66.899999999999977</v>
      </c>
      <c r="P87" s="14"/>
      <c r="Q87" s="14"/>
      <c r="R87" s="14"/>
      <c r="S87" s="15">
        <f>I99-I101</f>
        <v>21.299999999999997</v>
      </c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3.2">
      <c r="A88" s="14"/>
      <c r="B88" s="5">
        <v>0</v>
      </c>
      <c r="C88" s="5">
        <v>0</v>
      </c>
      <c r="D88" s="9">
        <v>42996</v>
      </c>
      <c r="E88" s="10">
        <v>344.3</v>
      </c>
      <c r="F88" s="12">
        <f t="shared" ref="F88:F90" si="23">(E87-E88)/(D88-D87)</f>
        <v>1.466666666666659</v>
      </c>
      <c r="G88" s="14"/>
      <c r="H88" s="14"/>
      <c r="I88" s="13">
        <v>100.5</v>
      </c>
      <c r="J88" s="15">
        <f t="shared" si="22"/>
        <v>3.3500000000000014</v>
      </c>
      <c r="K88" s="13">
        <v>18.2</v>
      </c>
      <c r="L88" s="14"/>
      <c r="M88" s="14"/>
      <c r="N88" s="14"/>
      <c r="O88" s="12">
        <f>E99-E105</f>
        <v>25.199999999999989</v>
      </c>
      <c r="P88" s="14"/>
      <c r="Q88" s="14"/>
      <c r="R88" s="14"/>
      <c r="S88" s="15">
        <f>60.2-I104</f>
        <v>20.300000000000004</v>
      </c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3.2">
      <c r="A89" s="14"/>
      <c r="B89" s="5">
        <v>0</v>
      </c>
      <c r="C89" s="5">
        <v>0</v>
      </c>
      <c r="D89" s="9">
        <v>42998</v>
      </c>
      <c r="E89" s="10">
        <v>326.2</v>
      </c>
      <c r="F89" s="12">
        <f t="shared" si="23"/>
        <v>9.0500000000000114</v>
      </c>
      <c r="G89" s="14"/>
      <c r="H89" s="14"/>
      <c r="I89" s="13">
        <v>93.8</v>
      </c>
      <c r="J89" s="14">
        <f t="shared" si="22"/>
        <v>3.5999999999999943</v>
      </c>
      <c r="K89" s="13">
        <v>18.2</v>
      </c>
      <c r="L89" s="14"/>
      <c r="M89" s="14"/>
      <c r="N89" s="14"/>
      <c r="O89" s="12">
        <f>E106-E109</f>
        <v>34.899999999999977</v>
      </c>
      <c r="P89" s="14"/>
      <c r="Q89" s="14"/>
      <c r="R89" s="14"/>
      <c r="S89" s="15">
        <f>109.3-I112</f>
        <v>73.599999999999994</v>
      </c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3.2">
      <c r="A90" s="14"/>
      <c r="B90" s="5">
        <v>0</v>
      </c>
      <c r="C90" s="5">
        <v>0</v>
      </c>
      <c r="D90" s="17">
        <v>42999</v>
      </c>
      <c r="E90" s="10">
        <v>319.89999999999998</v>
      </c>
      <c r="F90" s="12">
        <f t="shared" si="23"/>
        <v>6.3000000000000114</v>
      </c>
      <c r="G90" s="14"/>
      <c r="H90" s="14"/>
      <c r="I90" s="13">
        <v>90.2</v>
      </c>
      <c r="J90" s="14">
        <f>(I89-I90)/(D90-D89)</f>
        <v>3.5999999999999943</v>
      </c>
      <c r="K90" s="13">
        <v>18.899999999999999</v>
      </c>
      <c r="L90" s="14"/>
      <c r="M90" s="14"/>
      <c r="N90" s="14"/>
      <c r="O90" s="12">
        <f>E110-E113</f>
        <v>28.600000000000023</v>
      </c>
      <c r="P90" s="14"/>
      <c r="Q90" s="14"/>
      <c r="R90" s="14"/>
      <c r="S90" s="15">
        <f>84.6-I117</f>
        <v>43.699999999999996</v>
      </c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3.2">
      <c r="A91" s="14"/>
      <c r="B91" s="5">
        <v>0.5</v>
      </c>
      <c r="C91" s="5">
        <v>0</v>
      </c>
      <c r="D91" s="17">
        <v>42999</v>
      </c>
      <c r="E91" s="10">
        <v>369.5</v>
      </c>
      <c r="F91" s="12"/>
      <c r="G91" s="14"/>
      <c r="H91" s="14"/>
      <c r="I91" s="13">
        <v>39.5</v>
      </c>
      <c r="J91" s="14"/>
      <c r="K91" s="13"/>
      <c r="L91" s="14"/>
      <c r="M91" s="14"/>
      <c r="N91" s="14"/>
      <c r="O91" s="12">
        <f>E114-E117</f>
        <v>27.5</v>
      </c>
      <c r="P91" s="14"/>
      <c r="Q91" s="14"/>
      <c r="R91" s="14"/>
      <c r="S91" s="15">
        <f>105.7-I124</f>
        <v>69.599999999999994</v>
      </c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3.2">
      <c r="A92" s="14"/>
      <c r="B92" s="5">
        <v>0.5</v>
      </c>
      <c r="C92" s="5">
        <f t="shared" ref="C92:C145" si="24">D92-$D$7</f>
        <v>1</v>
      </c>
      <c r="D92" s="17">
        <v>43000</v>
      </c>
      <c r="E92" s="10">
        <v>366.2</v>
      </c>
      <c r="F92" s="12">
        <f t="shared" ref="F92:F98" si="25">(E91-E92)/(D92-D91)</f>
        <v>3.3000000000000114</v>
      </c>
      <c r="G92" s="14"/>
      <c r="H92" s="14"/>
      <c r="I92" s="13">
        <v>36.200000000000003</v>
      </c>
      <c r="J92" s="14">
        <f t="shared" ref="J92:J97" si="26">(I91-I92)/(D92-D91)</f>
        <v>3.2999999999999972</v>
      </c>
      <c r="K92" s="13">
        <v>19.399999999999999</v>
      </c>
      <c r="L92" s="14"/>
      <c r="M92" s="14"/>
      <c r="N92" s="14"/>
      <c r="O92" s="12">
        <f>E118-E121</f>
        <v>28.300000000000011</v>
      </c>
      <c r="P92" s="14"/>
      <c r="Q92" s="14"/>
      <c r="R92" s="14"/>
      <c r="S92" s="15">
        <f>97.6-I133</f>
        <v>63.499999999999993</v>
      </c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3.2">
      <c r="A93" s="14"/>
      <c r="B93" s="5">
        <v>0.5</v>
      </c>
      <c r="C93" s="5">
        <f t="shared" si="24"/>
        <v>4</v>
      </c>
      <c r="D93" s="9">
        <v>43003</v>
      </c>
      <c r="E93" s="10">
        <v>353.8</v>
      </c>
      <c r="F93" s="12">
        <f t="shared" si="25"/>
        <v>4.1333333333333258</v>
      </c>
      <c r="G93" s="14"/>
      <c r="H93" s="14"/>
      <c r="I93" s="13">
        <v>29.5</v>
      </c>
      <c r="J93" s="15">
        <f t="shared" si="26"/>
        <v>2.2333333333333343</v>
      </c>
      <c r="K93" s="13">
        <v>19.2</v>
      </c>
      <c r="L93" s="14"/>
      <c r="M93" s="14"/>
      <c r="N93" s="14"/>
      <c r="O93" s="12">
        <f>E122-E126</f>
        <v>12.399999999999977</v>
      </c>
      <c r="P93" s="14"/>
      <c r="Q93" s="14"/>
      <c r="R93" s="14"/>
      <c r="S93" s="15">
        <f>78.9-I138</f>
        <v>33.100000000000009</v>
      </c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3.2">
      <c r="A94" s="14"/>
      <c r="B94" s="5">
        <v>1</v>
      </c>
      <c r="C94" s="5">
        <f t="shared" si="24"/>
        <v>6</v>
      </c>
      <c r="D94" s="9">
        <v>43005</v>
      </c>
      <c r="E94" s="10">
        <v>347</v>
      </c>
      <c r="F94" s="12">
        <f t="shared" si="25"/>
        <v>3.4000000000000057</v>
      </c>
      <c r="G94" s="14"/>
      <c r="H94" s="14"/>
      <c r="I94" s="13">
        <v>25.7</v>
      </c>
      <c r="J94" s="14">
        <f t="shared" si="26"/>
        <v>1.9000000000000004</v>
      </c>
      <c r="K94" s="18">
        <v>19.3</v>
      </c>
      <c r="L94" s="14"/>
      <c r="M94" s="14"/>
      <c r="N94" s="14"/>
      <c r="O94" s="12">
        <f>E128-E134</f>
        <v>22.800000000000011</v>
      </c>
      <c r="P94" s="14"/>
      <c r="Q94" s="14"/>
      <c r="R94" s="14"/>
      <c r="S94" s="14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3.2">
      <c r="A95" s="14"/>
      <c r="B95" s="5">
        <v>1</v>
      </c>
      <c r="C95" s="5">
        <f t="shared" si="24"/>
        <v>8</v>
      </c>
      <c r="D95" s="9">
        <v>43007</v>
      </c>
      <c r="E95" s="10">
        <v>338.2</v>
      </c>
      <c r="F95" s="12">
        <f t="shared" si="25"/>
        <v>4.4000000000000057</v>
      </c>
      <c r="G95" s="14"/>
      <c r="H95" s="14"/>
      <c r="I95" s="13">
        <v>21.2</v>
      </c>
      <c r="J95" s="14">
        <f t="shared" si="26"/>
        <v>2.25</v>
      </c>
      <c r="K95" s="13">
        <v>19.399999999999999</v>
      </c>
      <c r="L95" s="14"/>
      <c r="M95" s="14"/>
      <c r="N95" s="14"/>
      <c r="O95" s="12">
        <f>E135-E138</f>
        <v>26.600000000000023</v>
      </c>
      <c r="P95" s="14"/>
      <c r="Q95" s="14"/>
      <c r="R95" s="14"/>
      <c r="S95" s="14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3.2">
      <c r="A96" s="14"/>
      <c r="B96" s="5">
        <v>1</v>
      </c>
      <c r="C96" s="5">
        <f t="shared" si="24"/>
        <v>11</v>
      </c>
      <c r="D96" s="19">
        <v>43010</v>
      </c>
      <c r="E96" s="11">
        <v>324.3</v>
      </c>
      <c r="F96" s="12">
        <f t="shared" si="25"/>
        <v>4.6333333333333258</v>
      </c>
      <c r="G96" s="14"/>
      <c r="H96" s="14"/>
      <c r="I96" s="13">
        <v>14.7</v>
      </c>
      <c r="J96" s="15">
        <f t="shared" si="26"/>
        <v>2.1666666666666665</v>
      </c>
      <c r="K96" s="13">
        <v>19.3</v>
      </c>
      <c r="L96" s="14"/>
      <c r="M96" s="14"/>
      <c r="N96" s="14"/>
      <c r="O96" s="14"/>
      <c r="P96" s="14"/>
      <c r="Q96" s="14"/>
      <c r="R96" s="14"/>
      <c r="S96" s="14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3.2">
      <c r="A97" s="14"/>
      <c r="B97" s="5">
        <v>1</v>
      </c>
      <c r="C97" s="5">
        <f t="shared" si="24"/>
        <v>13</v>
      </c>
      <c r="D97" s="19">
        <v>43012</v>
      </c>
      <c r="E97" s="11">
        <v>309.8</v>
      </c>
      <c r="F97" s="12">
        <f t="shared" si="25"/>
        <v>7.25</v>
      </c>
      <c r="G97" s="14"/>
      <c r="H97" s="14"/>
      <c r="I97" s="13">
        <v>9.4</v>
      </c>
      <c r="J97" s="14">
        <f t="shared" si="26"/>
        <v>2.6499999999999995</v>
      </c>
      <c r="K97" s="13">
        <v>19.8</v>
      </c>
      <c r="L97" s="14"/>
      <c r="M97" s="14"/>
      <c r="N97" s="14"/>
      <c r="O97" s="14"/>
      <c r="P97" s="14"/>
      <c r="Q97" s="14"/>
      <c r="R97" s="14"/>
      <c r="S97" s="14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3.2">
      <c r="A98" s="14"/>
      <c r="B98" s="5">
        <v>2</v>
      </c>
      <c r="C98" s="5">
        <f t="shared" si="24"/>
        <v>14</v>
      </c>
      <c r="D98" s="20">
        <v>43013</v>
      </c>
      <c r="E98" s="11">
        <v>302.60000000000002</v>
      </c>
      <c r="F98" s="12">
        <f t="shared" si="25"/>
        <v>7.1999999999999886</v>
      </c>
      <c r="G98" s="14"/>
      <c r="H98" s="14"/>
      <c r="I98" s="13"/>
      <c r="J98" s="14"/>
      <c r="K98" s="13"/>
      <c r="L98" s="14"/>
      <c r="M98" s="14"/>
      <c r="N98" s="14"/>
      <c r="O98" s="14"/>
      <c r="P98" s="14"/>
      <c r="Q98" s="14"/>
      <c r="R98" s="14"/>
      <c r="S98" s="14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3.2">
      <c r="A99" s="14"/>
      <c r="B99" s="5">
        <v>2</v>
      </c>
      <c r="C99" s="5">
        <f t="shared" si="24"/>
        <v>15</v>
      </c>
      <c r="D99" s="20">
        <v>43014</v>
      </c>
      <c r="E99" s="11">
        <v>378.4</v>
      </c>
      <c r="F99" s="12"/>
      <c r="G99" s="14"/>
      <c r="H99" s="14"/>
      <c r="I99" s="13">
        <v>46.9</v>
      </c>
      <c r="J99" s="14"/>
      <c r="K99" s="13">
        <v>20</v>
      </c>
      <c r="L99" s="14"/>
      <c r="M99" s="14"/>
      <c r="N99" s="14"/>
      <c r="O99" s="14"/>
      <c r="P99" s="14"/>
      <c r="Q99" s="14"/>
      <c r="R99" s="14"/>
      <c r="S99" s="14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3.2">
      <c r="A100" s="14"/>
      <c r="B100" s="5">
        <v>2</v>
      </c>
      <c r="C100" s="5">
        <f t="shared" si="24"/>
        <v>18</v>
      </c>
      <c r="D100" s="20">
        <v>43017</v>
      </c>
      <c r="E100" s="11">
        <v>367.1</v>
      </c>
      <c r="F100" s="12">
        <f t="shared" ref="F100:F101" si="27">(E99-E100)/(D100-D99)</f>
        <v>3.7666666666666515</v>
      </c>
      <c r="G100" s="14"/>
      <c r="H100" s="14"/>
      <c r="I100" s="13">
        <v>32.9</v>
      </c>
      <c r="J100" s="15">
        <f t="shared" ref="J100:J101" si="28">(I99-I100)/(D100-D99)</f>
        <v>4.666666666666667</v>
      </c>
      <c r="K100" s="13">
        <v>21.1</v>
      </c>
      <c r="L100" s="14"/>
      <c r="M100" s="14"/>
      <c r="N100" s="14"/>
      <c r="O100" s="14"/>
      <c r="P100" s="14"/>
      <c r="Q100" s="14"/>
      <c r="R100" s="14"/>
      <c r="S100" s="14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3.2">
      <c r="A101" s="14"/>
      <c r="B101" s="5">
        <v>2</v>
      </c>
      <c r="C101" s="5">
        <f t="shared" si="24"/>
        <v>20</v>
      </c>
      <c r="D101" s="20">
        <v>43019</v>
      </c>
      <c r="E101" s="11">
        <v>356.3</v>
      </c>
      <c r="F101" s="12">
        <f t="shared" si="27"/>
        <v>5.4000000000000057</v>
      </c>
      <c r="G101" s="14"/>
      <c r="H101" s="14"/>
      <c r="I101" s="13">
        <v>25.6</v>
      </c>
      <c r="J101" s="14">
        <f t="shared" si="28"/>
        <v>3.6499999999999986</v>
      </c>
      <c r="K101" s="13">
        <v>21</v>
      </c>
      <c r="L101" s="14"/>
      <c r="M101" s="14"/>
      <c r="N101" s="14"/>
      <c r="O101" s="14"/>
      <c r="P101" s="14"/>
      <c r="Q101" s="14"/>
      <c r="R101" s="14"/>
      <c r="S101" s="14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3.2">
      <c r="A102" s="14"/>
      <c r="B102" s="5">
        <v>3</v>
      </c>
      <c r="C102" s="5">
        <f t="shared" si="24"/>
        <v>21</v>
      </c>
      <c r="D102" s="20">
        <v>43020</v>
      </c>
      <c r="E102" s="11">
        <v>380.9</v>
      </c>
      <c r="F102" s="12"/>
      <c r="G102" s="14"/>
      <c r="H102" s="14"/>
      <c r="I102" s="13"/>
      <c r="J102" s="14"/>
      <c r="K102" s="13"/>
      <c r="L102" s="14"/>
      <c r="M102" s="14"/>
      <c r="N102" s="14"/>
      <c r="O102" s="14"/>
      <c r="P102" s="14"/>
      <c r="Q102" s="14"/>
      <c r="R102" s="14"/>
      <c r="S102" s="14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3.2">
      <c r="A103" s="14"/>
      <c r="B103" s="5">
        <v>3</v>
      </c>
      <c r="C103" s="5">
        <f t="shared" si="24"/>
        <v>22</v>
      </c>
      <c r="D103" s="20">
        <f>D101+2</f>
        <v>43021</v>
      </c>
      <c r="E103" s="11">
        <v>375.7</v>
      </c>
      <c r="F103" s="12">
        <f t="shared" ref="F103:F105" si="29">(E102-E103)/(D103-D102)</f>
        <v>5.1999999999999886</v>
      </c>
      <c r="G103" s="14"/>
      <c r="H103" s="14"/>
      <c r="I103" s="13">
        <v>47.1</v>
      </c>
      <c r="J103" s="14">
        <f t="shared" ref="J103:J104" si="30">(60.2-I103)/(D103-D101)</f>
        <v>6.5500000000000007</v>
      </c>
      <c r="K103" s="13">
        <v>21.6</v>
      </c>
      <c r="L103" s="14"/>
      <c r="M103" s="14"/>
      <c r="N103" s="14"/>
      <c r="O103" s="14"/>
      <c r="P103" s="14"/>
      <c r="Q103" s="14"/>
      <c r="R103" s="14"/>
      <c r="S103" s="14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3.2">
      <c r="A104" s="14"/>
      <c r="B104" s="5">
        <v>3</v>
      </c>
      <c r="C104" s="5">
        <f t="shared" si="24"/>
        <v>25</v>
      </c>
      <c r="D104" s="20">
        <f>D103+3</f>
        <v>43024</v>
      </c>
      <c r="E104" s="11">
        <v>362.7</v>
      </c>
      <c r="F104" s="12">
        <f t="shared" si="29"/>
        <v>4.333333333333333</v>
      </c>
      <c r="G104" s="14"/>
      <c r="H104" s="14"/>
      <c r="I104" s="13">
        <v>39.9</v>
      </c>
      <c r="J104" s="16">
        <f t="shared" si="30"/>
        <v>5.0750000000000011</v>
      </c>
      <c r="K104" s="13">
        <v>22.5</v>
      </c>
      <c r="L104" s="14"/>
      <c r="M104" s="14"/>
      <c r="N104" s="14"/>
      <c r="O104" s="14"/>
      <c r="P104" s="14"/>
      <c r="Q104" s="14"/>
      <c r="R104" s="14"/>
      <c r="S104" s="14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3.2">
      <c r="A105" s="14"/>
      <c r="B105" s="5">
        <v>3</v>
      </c>
      <c r="C105" s="5">
        <f t="shared" si="24"/>
        <v>27</v>
      </c>
      <c r="D105" s="20">
        <f>D104+2</f>
        <v>43026</v>
      </c>
      <c r="E105" s="11">
        <v>353.2</v>
      </c>
      <c r="F105" s="12">
        <f t="shared" si="29"/>
        <v>4.75</v>
      </c>
      <c r="G105" s="14"/>
      <c r="H105" s="14"/>
      <c r="I105" s="13">
        <v>98.9</v>
      </c>
      <c r="J105" s="14">
        <f>(109.3-I105)/(D105-D104)</f>
        <v>5.1999999999999957</v>
      </c>
      <c r="K105" s="13">
        <v>22.8</v>
      </c>
      <c r="L105" s="14"/>
      <c r="M105" s="14"/>
      <c r="N105" s="14"/>
      <c r="O105" s="14"/>
      <c r="P105" s="14"/>
      <c r="Q105" s="14"/>
      <c r="R105" s="14"/>
      <c r="S105" s="14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3.2">
      <c r="A106" s="14"/>
      <c r="B106" s="5">
        <v>4</v>
      </c>
      <c r="C106" s="5">
        <f t="shared" si="24"/>
        <v>28</v>
      </c>
      <c r="D106" s="20">
        <v>43027</v>
      </c>
      <c r="E106" s="11">
        <v>390.5</v>
      </c>
      <c r="F106" s="12"/>
      <c r="G106" s="14"/>
      <c r="H106" s="14"/>
      <c r="I106" s="15"/>
      <c r="J106" s="14"/>
      <c r="K106" s="15"/>
      <c r="L106" s="14"/>
      <c r="M106" s="14"/>
      <c r="N106" s="14"/>
      <c r="O106" s="14"/>
      <c r="P106" s="14"/>
      <c r="Q106" s="14"/>
      <c r="R106" s="14"/>
      <c r="S106" s="14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3.2">
      <c r="A107" s="14"/>
      <c r="B107" s="5">
        <v>4</v>
      </c>
      <c r="C107" s="5">
        <f t="shared" si="24"/>
        <v>29</v>
      </c>
      <c r="D107" s="20">
        <f>D105+2</f>
        <v>43028</v>
      </c>
      <c r="E107" s="11">
        <v>383.2</v>
      </c>
      <c r="F107" s="12">
        <f t="shared" ref="F107:F109" si="31">(E106-E107)/(D107-D106)</f>
        <v>7.3000000000000114</v>
      </c>
      <c r="G107" s="14"/>
      <c r="H107" s="14"/>
      <c r="I107" s="13">
        <v>92.4</v>
      </c>
      <c r="J107" s="14">
        <f>(I105-I107)/(D107-D105)</f>
        <v>3.25</v>
      </c>
      <c r="K107" s="13">
        <v>23.5</v>
      </c>
      <c r="L107" s="14"/>
      <c r="M107" s="14"/>
      <c r="N107" s="14"/>
      <c r="O107" s="14"/>
      <c r="P107" s="14"/>
      <c r="Q107" s="14"/>
      <c r="R107" s="14"/>
      <c r="S107" s="14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3.2">
      <c r="A108" s="14"/>
      <c r="B108" s="5">
        <v>4</v>
      </c>
      <c r="C108" s="5">
        <f t="shared" si="24"/>
        <v>32</v>
      </c>
      <c r="D108" s="20">
        <v>43031</v>
      </c>
      <c r="E108" s="11">
        <v>369.9</v>
      </c>
      <c r="F108" s="12">
        <f t="shared" si="31"/>
        <v>4.4333333333333371</v>
      </c>
      <c r="G108" s="14"/>
      <c r="H108" s="14"/>
      <c r="I108" s="13">
        <v>81.900000000000006</v>
      </c>
      <c r="J108" s="14">
        <f t="shared" ref="J108:J109" si="32">(I107-I108)/(D108-D107)</f>
        <v>3.5</v>
      </c>
      <c r="K108" s="13">
        <v>23.1</v>
      </c>
      <c r="L108" s="14"/>
      <c r="M108" s="14"/>
      <c r="N108" s="14"/>
      <c r="O108" s="14"/>
      <c r="P108" s="14"/>
      <c r="Q108" s="14"/>
      <c r="R108" s="14"/>
      <c r="S108" s="14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3.2">
      <c r="A109" s="14"/>
      <c r="B109" s="5">
        <v>4</v>
      </c>
      <c r="C109" s="5">
        <f t="shared" si="24"/>
        <v>34</v>
      </c>
      <c r="D109" s="20">
        <v>43033</v>
      </c>
      <c r="E109" s="11">
        <v>355.6</v>
      </c>
      <c r="F109" s="12">
        <f t="shared" si="31"/>
        <v>7.1499999999999773</v>
      </c>
      <c r="G109" s="14"/>
      <c r="H109" s="14"/>
      <c r="I109" s="13">
        <v>68.900000000000006</v>
      </c>
      <c r="J109" s="14">
        <f t="shared" si="32"/>
        <v>6.5</v>
      </c>
      <c r="K109" s="13">
        <v>23.3</v>
      </c>
      <c r="L109" s="14"/>
      <c r="M109" s="14"/>
      <c r="N109" s="14"/>
      <c r="O109" s="14"/>
      <c r="P109" s="14"/>
      <c r="Q109" s="14"/>
      <c r="R109" s="14"/>
      <c r="S109" s="14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3.2">
      <c r="A110" s="14"/>
      <c r="B110" s="5">
        <v>5</v>
      </c>
      <c r="C110" s="5">
        <f t="shared" si="24"/>
        <v>35</v>
      </c>
      <c r="D110" s="20">
        <v>43034</v>
      </c>
      <c r="E110" s="11">
        <v>396</v>
      </c>
      <c r="F110" s="12"/>
      <c r="G110" s="14"/>
      <c r="H110" s="14"/>
      <c r="I110" s="15"/>
      <c r="J110" s="14"/>
      <c r="K110" s="15"/>
      <c r="L110" s="14"/>
      <c r="M110" s="14"/>
      <c r="N110" s="14"/>
      <c r="O110" s="14"/>
      <c r="P110" s="14"/>
      <c r="Q110" s="14"/>
      <c r="R110" s="14"/>
      <c r="S110" s="14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3.2">
      <c r="A111" s="14"/>
      <c r="B111" s="5">
        <v>5</v>
      </c>
      <c r="C111" s="5">
        <f t="shared" si="24"/>
        <v>36</v>
      </c>
      <c r="D111" s="20">
        <v>43035</v>
      </c>
      <c r="E111" s="11">
        <v>391.6</v>
      </c>
      <c r="F111" s="12">
        <f t="shared" ref="F111:F113" si="33">(E110-E111)/(D111-D110)</f>
        <v>4.3999999999999773</v>
      </c>
      <c r="G111" s="14"/>
      <c r="H111" s="14"/>
      <c r="I111" s="13">
        <v>54.5</v>
      </c>
      <c r="J111" s="15">
        <f>(I109-I111)/(D111-D109)</f>
        <v>7.2000000000000028</v>
      </c>
      <c r="K111" s="13">
        <v>22.9</v>
      </c>
      <c r="L111" s="14"/>
      <c r="M111" s="14"/>
      <c r="N111" s="14"/>
      <c r="O111" s="14"/>
      <c r="P111" s="14"/>
      <c r="Q111" s="14"/>
      <c r="R111" s="14"/>
      <c r="S111" s="14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3.2">
      <c r="A112" s="14"/>
      <c r="B112" s="5">
        <v>5</v>
      </c>
      <c r="C112" s="5">
        <f t="shared" si="24"/>
        <v>39</v>
      </c>
      <c r="D112" s="20">
        <v>43038</v>
      </c>
      <c r="E112" s="11">
        <v>375.3</v>
      </c>
      <c r="F112" s="12">
        <f t="shared" si="33"/>
        <v>5.4333333333333371</v>
      </c>
      <c r="G112" s="14"/>
      <c r="H112" s="14"/>
      <c r="I112" s="13">
        <v>35.700000000000003</v>
      </c>
      <c r="J112" s="15">
        <f>(I111-I112)/(D112-D111)</f>
        <v>6.2666666666666657</v>
      </c>
      <c r="K112" s="13">
        <v>24.6</v>
      </c>
      <c r="L112" s="14"/>
      <c r="M112" s="14"/>
      <c r="N112" s="14"/>
      <c r="O112" s="14"/>
      <c r="P112" s="14"/>
      <c r="Q112" s="14"/>
      <c r="R112" s="14"/>
      <c r="S112" s="14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3.2">
      <c r="A113" s="14"/>
      <c r="B113" s="5">
        <v>5</v>
      </c>
      <c r="C113" s="5">
        <f t="shared" si="24"/>
        <v>41</v>
      </c>
      <c r="D113" s="20">
        <v>43040</v>
      </c>
      <c r="E113" s="11">
        <v>367.4</v>
      </c>
      <c r="F113" s="12">
        <f t="shared" si="33"/>
        <v>3.9500000000000171</v>
      </c>
      <c r="G113" s="14"/>
      <c r="H113" s="14"/>
      <c r="I113" s="13">
        <v>66.5</v>
      </c>
      <c r="J113" s="14">
        <f>(84.6-I113)/(D113-D112)</f>
        <v>9.0499999999999972</v>
      </c>
      <c r="K113" s="13">
        <v>24.7</v>
      </c>
      <c r="L113" s="14"/>
      <c r="M113" s="14"/>
      <c r="N113" s="14"/>
      <c r="O113" s="14"/>
      <c r="P113" s="14"/>
      <c r="Q113" s="14"/>
      <c r="R113" s="14"/>
      <c r="S113" s="14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3.2">
      <c r="A114" s="14"/>
      <c r="B114" s="5">
        <v>6</v>
      </c>
      <c r="C114" s="5">
        <f t="shared" si="24"/>
        <v>42</v>
      </c>
      <c r="D114" s="20">
        <v>43041</v>
      </c>
      <c r="E114" s="11">
        <v>378.9</v>
      </c>
      <c r="F114" s="12"/>
      <c r="G114" s="14"/>
      <c r="H114" s="14"/>
      <c r="I114" s="15"/>
      <c r="J114" s="14"/>
      <c r="K114" s="15"/>
      <c r="L114" s="14"/>
      <c r="M114" s="14"/>
      <c r="N114" s="14"/>
      <c r="O114" s="14"/>
      <c r="P114" s="14"/>
      <c r="Q114" s="14"/>
      <c r="R114" s="14"/>
      <c r="S114" s="14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3.2">
      <c r="A115" s="14"/>
      <c r="B115" s="5">
        <v>6</v>
      </c>
      <c r="C115" s="5">
        <f t="shared" si="24"/>
        <v>43</v>
      </c>
      <c r="D115" s="20">
        <v>43042</v>
      </c>
      <c r="E115" s="11">
        <v>374.7</v>
      </c>
      <c r="F115" s="12">
        <f t="shared" ref="F115:F117" si="34">(E114-E115)/(D115-D114)</f>
        <v>4.1999999999999886</v>
      </c>
      <c r="G115" s="14"/>
      <c r="H115" s="14"/>
      <c r="I115" s="13">
        <v>57.1</v>
      </c>
      <c r="J115" s="15">
        <f>(I113-I115)/(D115-D113)</f>
        <v>4.6999999999999993</v>
      </c>
      <c r="K115" s="13">
        <v>26.6</v>
      </c>
      <c r="L115" s="14"/>
      <c r="M115" s="14"/>
      <c r="N115" s="14"/>
      <c r="O115" s="14"/>
      <c r="P115" s="14"/>
      <c r="Q115" s="14"/>
      <c r="R115" s="14"/>
      <c r="S115" s="14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3.2">
      <c r="A116" s="14"/>
      <c r="B116" s="5">
        <v>6</v>
      </c>
      <c r="C116" s="5">
        <f t="shared" si="24"/>
        <v>46</v>
      </c>
      <c r="D116" s="20">
        <v>43045</v>
      </c>
      <c r="E116" s="11">
        <v>359.6</v>
      </c>
      <c r="F116" s="12">
        <f t="shared" si="34"/>
        <v>5.0333333333333217</v>
      </c>
      <c r="G116" s="14"/>
      <c r="H116" s="14"/>
      <c r="I116" s="13">
        <v>45.7</v>
      </c>
      <c r="J116" s="15">
        <f t="shared" ref="J116:J117" si="35">(I115-I116)/(D116-D115)</f>
        <v>3.7999999999999994</v>
      </c>
      <c r="K116" s="13">
        <v>27</v>
      </c>
      <c r="L116" s="14"/>
      <c r="M116" s="14"/>
      <c r="N116" s="14"/>
      <c r="O116" s="14"/>
      <c r="P116" s="14"/>
      <c r="Q116" s="14"/>
      <c r="R116" s="14"/>
      <c r="S116" s="14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3.2">
      <c r="A117" s="14"/>
      <c r="B117" s="5">
        <v>6</v>
      </c>
      <c r="C117" s="5">
        <f t="shared" si="24"/>
        <v>48</v>
      </c>
      <c r="D117" s="20">
        <v>43047</v>
      </c>
      <c r="E117" s="11">
        <v>351.4</v>
      </c>
      <c r="F117" s="12">
        <f t="shared" si="34"/>
        <v>4.1000000000000227</v>
      </c>
      <c r="G117" s="14"/>
      <c r="H117" s="14"/>
      <c r="I117" s="13">
        <v>40.9</v>
      </c>
      <c r="J117" s="15">
        <f t="shared" si="35"/>
        <v>2.4000000000000021</v>
      </c>
      <c r="K117" s="13">
        <v>28</v>
      </c>
      <c r="L117" s="14"/>
      <c r="M117" s="14"/>
      <c r="N117" s="14"/>
      <c r="O117" s="14"/>
      <c r="P117" s="14"/>
      <c r="Q117" s="14"/>
      <c r="R117" s="14"/>
      <c r="S117" s="14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3.2">
      <c r="A118" s="14"/>
      <c r="B118" s="5">
        <v>7</v>
      </c>
      <c r="C118" s="5">
        <f t="shared" si="24"/>
        <v>49</v>
      </c>
      <c r="D118" s="20">
        <v>43048</v>
      </c>
      <c r="E118" s="11">
        <v>375</v>
      </c>
      <c r="F118" s="12"/>
      <c r="G118" s="14"/>
      <c r="H118" s="14"/>
      <c r="I118" s="15"/>
      <c r="J118" s="14"/>
      <c r="K118" s="15"/>
      <c r="L118" s="14"/>
      <c r="M118" s="14"/>
      <c r="N118" s="14"/>
      <c r="O118" s="14"/>
      <c r="P118" s="14"/>
      <c r="Q118" s="14"/>
      <c r="R118" s="14"/>
      <c r="S118" s="14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3.2">
      <c r="A119" s="14"/>
      <c r="B119" s="5">
        <v>7</v>
      </c>
      <c r="C119" s="5">
        <f t="shared" si="24"/>
        <v>50</v>
      </c>
      <c r="D119" s="20">
        <v>43049</v>
      </c>
      <c r="E119" s="11">
        <v>368.7</v>
      </c>
      <c r="F119" s="12">
        <f t="shared" ref="F119:F121" si="36">(E118-E119)/(D119-D118)</f>
        <v>6.3000000000000114</v>
      </c>
      <c r="G119" s="14"/>
      <c r="H119" s="14"/>
      <c r="I119" s="13">
        <v>90.3</v>
      </c>
      <c r="J119" s="14">
        <f>(105.7-I119)/(D119-D117)</f>
        <v>7.7000000000000028</v>
      </c>
      <c r="K119" s="13">
        <v>28</v>
      </c>
      <c r="L119" s="14"/>
      <c r="M119" s="14"/>
      <c r="N119" s="14"/>
      <c r="O119" s="14"/>
      <c r="P119" s="14"/>
      <c r="Q119" s="14"/>
      <c r="R119" s="14"/>
      <c r="S119" s="14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3.2">
      <c r="A120" s="14"/>
      <c r="B120" s="5">
        <v>7</v>
      </c>
      <c r="C120" s="5">
        <f t="shared" si="24"/>
        <v>53</v>
      </c>
      <c r="D120" s="20">
        <v>43052</v>
      </c>
      <c r="E120" s="11">
        <v>355.4</v>
      </c>
      <c r="F120" s="12">
        <f t="shared" si="36"/>
        <v>4.4333333333333371</v>
      </c>
      <c r="G120" s="14"/>
      <c r="H120" s="14"/>
      <c r="I120" s="13">
        <v>71.8</v>
      </c>
      <c r="J120" s="15">
        <f t="shared" ref="J120:J121" si="37">(I119-I120)/(D120-D119)</f>
        <v>6.166666666666667</v>
      </c>
      <c r="K120" s="13">
        <v>29.7</v>
      </c>
      <c r="L120" s="14"/>
      <c r="M120" s="14"/>
      <c r="N120" s="14"/>
      <c r="O120" s="14"/>
      <c r="P120" s="14"/>
      <c r="Q120" s="14"/>
      <c r="R120" s="14"/>
      <c r="S120" s="14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3.2">
      <c r="A121" s="14"/>
      <c r="B121" s="5">
        <v>7</v>
      </c>
      <c r="C121" s="5">
        <f t="shared" si="24"/>
        <v>55</v>
      </c>
      <c r="D121" s="20">
        <v>43054</v>
      </c>
      <c r="E121" s="11">
        <v>346.7</v>
      </c>
      <c r="F121" s="12">
        <f t="shared" si="36"/>
        <v>4.3499999999999943</v>
      </c>
      <c r="G121" s="14"/>
      <c r="H121" s="14"/>
      <c r="I121" s="13">
        <v>62</v>
      </c>
      <c r="J121" s="15">
        <f t="shared" si="37"/>
        <v>4.8999999999999986</v>
      </c>
      <c r="K121" s="13">
        <v>29.7</v>
      </c>
      <c r="L121" s="14"/>
      <c r="M121" s="14"/>
      <c r="N121" s="14"/>
      <c r="O121" s="14"/>
      <c r="P121" s="14"/>
      <c r="Q121" s="14"/>
      <c r="R121" s="14"/>
      <c r="S121" s="14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3.2">
      <c r="A122" s="14"/>
      <c r="B122" s="5">
        <v>8</v>
      </c>
      <c r="C122" s="5">
        <f t="shared" si="24"/>
        <v>56</v>
      </c>
      <c r="D122" s="20">
        <v>43055</v>
      </c>
      <c r="E122" s="11">
        <v>385.7</v>
      </c>
      <c r="F122" s="12"/>
      <c r="G122" s="14"/>
      <c r="H122" s="14"/>
      <c r="I122" s="15"/>
      <c r="J122" s="14"/>
      <c r="K122" s="15"/>
      <c r="L122" s="14"/>
      <c r="M122" s="14"/>
      <c r="N122" s="14"/>
      <c r="O122" s="14"/>
      <c r="P122" s="14"/>
      <c r="Q122" s="14"/>
      <c r="R122" s="14"/>
      <c r="S122" s="14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3.2">
      <c r="A123" s="14"/>
      <c r="B123" s="5">
        <v>8</v>
      </c>
      <c r="C123" s="5">
        <f t="shared" si="24"/>
        <v>57</v>
      </c>
      <c r="D123" s="20">
        <v>43056</v>
      </c>
      <c r="E123" s="11">
        <v>374.4</v>
      </c>
      <c r="F123" s="12">
        <f t="shared" ref="F123:F124" si="38">(E122-E123)/(D123-D122)</f>
        <v>11.300000000000011</v>
      </c>
      <c r="G123" s="14"/>
      <c r="H123" s="14"/>
      <c r="I123" s="13">
        <v>56.3</v>
      </c>
      <c r="J123" s="15">
        <f>(I121-I123)/(D123-D121)</f>
        <v>2.8500000000000014</v>
      </c>
      <c r="K123" s="13">
        <v>29.6</v>
      </c>
      <c r="L123" s="14"/>
      <c r="M123" s="14"/>
      <c r="N123" s="14"/>
      <c r="O123" s="14"/>
      <c r="P123" s="14"/>
      <c r="Q123" s="14"/>
      <c r="R123" s="14"/>
      <c r="S123" s="14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3.2">
      <c r="A124" s="14"/>
      <c r="B124" s="5">
        <v>8</v>
      </c>
      <c r="C124" s="5">
        <f t="shared" si="24"/>
        <v>60</v>
      </c>
      <c r="D124" s="20">
        <v>43059</v>
      </c>
      <c r="E124" s="11">
        <v>362.8</v>
      </c>
      <c r="F124" s="12">
        <f t="shared" si="38"/>
        <v>3.8666666666666551</v>
      </c>
      <c r="G124" s="14"/>
      <c r="H124" s="14"/>
      <c r="I124" s="13">
        <v>36.1</v>
      </c>
      <c r="J124" s="15">
        <f>(I123-I124)/(D124-D123)</f>
        <v>6.7333333333333316</v>
      </c>
      <c r="K124" s="13">
        <v>29.9</v>
      </c>
      <c r="L124" s="14"/>
      <c r="M124" s="14"/>
      <c r="N124" s="14"/>
      <c r="O124" s="14"/>
      <c r="P124" s="14"/>
      <c r="Q124" s="14"/>
      <c r="R124" s="14"/>
      <c r="S124" s="14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3.2">
      <c r="A125" s="14"/>
      <c r="B125" s="5">
        <v>8</v>
      </c>
      <c r="C125" s="5">
        <f t="shared" si="24"/>
        <v>61</v>
      </c>
      <c r="D125" s="20">
        <v>43060</v>
      </c>
      <c r="E125" s="11">
        <v>377.6</v>
      </c>
      <c r="F125" s="12"/>
      <c r="G125" s="14"/>
      <c r="H125" s="14"/>
      <c r="I125" s="15"/>
      <c r="J125" s="14"/>
      <c r="K125" s="15"/>
      <c r="L125" s="14"/>
      <c r="M125" s="14"/>
      <c r="N125" s="14"/>
      <c r="O125" s="14"/>
      <c r="P125" s="14"/>
      <c r="Q125" s="14"/>
      <c r="R125" s="14"/>
      <c r="S125" s="14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3.2">
      <c r="A126" s="14"/>
      <c r="B126" s="5">
        <v>8</v>
      </c>
      <c r="C126" s="5">
        <f t="shared" si="24"/>
        <v>62</v>
      </c>
      <c r="D126" s="20">
        <v>43061</v>
      </c>
      <c r="E126" s="11">
        <v>373.3</v>
      </c>
      <c r="F126" s="12">
        <f>(E125-E126)/(D126-D125)</f>
        <v>4.3000000000000114</v>
      </c>
      <c r="G126" s="14"/>
      <c r="H126" s="14"/>
      <c r="I126" s="13">
        <v>89.9</v>
      </c>
      <c r="J126" s="14">
        <f>(97.6-I126)/(D126-D125)</f>
        <v>7.6999999999999886</v>
      </c>
      <c r="K126" s="13">
        <v>31.1</v>
      </c>
      <c r="L126" s="14"/>
      <c r="M126" s="14"/>
      <c r="N126" s="14"/>
      <c r="O126" s="14"/>
      <c r="P126" s="14"/>
      <c r="Q126" s="14"/>
      <c r="R126" s="14"/>
      <c r="S126" s="14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3.2">
      <c r="A127" s="14"/>
      <c r="B127" s="5">
        <v>9</v>
      </c>
      <c r="C127" s="5">
        <f t="shared" si="24"/>
        <v>63</v>
      </c>
      <c r="D127" s="20">
        <v>43062</v>
      </c>
      <c r="E127" s="11"/>
      <c r="F127" s="12"/>
      <c r="G127" s="14"/>
      <c r="H127" s="14"/>
      <c r="I127" s="13"/>
      <c r="J127" s="15"/>
      <c r="K127" s="13"/>
      <c r="L127" s="14"/>
      <c r="M127" s="14"/>
      <c r="N127" s="14"/>
      <c r="O127" s="14"/>
      <c r="P127" s="14"/>
      <c r="Q127" s="14"/>
      <c r="R127" s="14"/>
      <c r="S127" s="14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3.2">
      <c r="A128" s="14"/>
      <c r="B128" s="5">
        <v>9</v>
      </c>
      <c r="C128" s="5">
        <f t="shared" si="24"/>
        <v>64</v>
      </c>
      <c r="D128" s="20">
        <v>43063</v>
      </c>
      <c r="E128" s="11">
        <v>364.7</v>
      </c>
      <c r="F128" s="12">
        <f>(E126-E128)/(D128-D126)</f>
        <v>4.3000000000000114</v>
      </c>
      <c r="G128" s="14"/>
      <c r="H128" s="14"/>
      <c r="I128" s="13">
        <v>81.5</v>
      </c>
      <c r="J128" s="15">
        <f>(I126-I128)/(D128-D126)</f>
        <v>4.2000000000000028</v>
      </c>
      <c r="K128" s="13">
        <v>32.200000000000003</v>
      </c>
      <c r="L128" s="14"/>
      <c r="M128" s="14"/>
      <c r="N128" s="14"/>
      <c r="O128" s="14"/>
      <c r="P128" s="14"/>
      <c r="Q128" s="14"/>
      <c r="R128" s="14"/>
      <c r="S128" s="14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3.2">
      <c r="A129" s="14"/>
      <c r="B129" s="5">
        <v>9</v>
      </c>
      <c r="C129" s="5">
        <f t="shared" si="24"/>
        <v>67</v>
      </c>
      <c r="D129" s="23">
        <v>43066</v>
      </c>
      <c r="E129" s="11">
        <v>353.3</v>
      </c>
      <c r="F129" s="12">
        <f t="shared" ref="F129:F130" si="39">(E128-E129)/(D129-D128)</f>
        <v>3.7999999999999923</v>
      </c>
      <c r="G129" s="14"/>
      <c r="H129" s="14"/>
      <c r="I129" s="13">
        <v>65.7</v>
      </c>
      <c r="J129" s="16">
        <f t="shared" ref="J129:J130" si="40">(I128-I129)/(D129-D128)</f>
        <v>5.2666666666666657</v>
      </c>
      <c r="K129" s="13">
        <v>32</v>
      </c>
      <c r="L129" s="14"/>
      <c r="M129" s="14"/>
      <c r="N129" s="14"/>
      <c r="O129" s="14"/>
      <c r="P129" s="14"/>
      <c r="Q129" s="14"/>
      <c r="R129" s="14"/>
      <c r="S129" s="14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3.2">
      <c r="A130" s="14"/>
      <c r="B130" s="5">
        <v>9</v>
      </c>
      <c r="C130" s="5">
        <f t="shared" si="24"/>
        <v>69</v>
      </c>
      <c r="D130" s="23">
        <v>43068</v>
      </c>
      <c r="E130" s="11">
        <v>344.8</v>
      </c>
      <c r="F130" s="12">
        <f t="shared" si="39"/>
        <v>4.25</v>
      </c>
      <c r="G130" s="14"/>
      <c r="H130" s="14"/>
      <c r="I130" s="13">
        <v>52.1</v>
      </c>
      <c r="J130" s="16">
        <f t="shared" si="40"/>
        <v>6.8000000000000007</v>
      </c>
      <c r="K130" s="13">
        <v>32.9</v>
      </c>
      <c r="L130" s="14"/>
      <c r="M130" s="14"/>
      <c r="N130" s="14"/>
      <c r="O130" s="14"/>
      <c r="P130" s="14"/>
      <c r="Q130" s="14"/>
      <c r="R130" s="14"/>
      <c r="S130" s="14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3.2">
      <c r="A131" s="14"/>
      <c r="B131" s="5">
        <v>10</v>
      </c>
      <c r="C131" s="5">
        <f t="shared" si="24"/>
        <v>70</v>
      </c>
      <c r="D131" s="23">
        <v>43069</v>
      </c>
      <c r="E131" s="11">
        <v>366.9</v>
      </c>
      <c r="F131" s="12"/>
      <c r="G131" s="14"/>
      <c r="H131" s="14"/>
      <c r="I131" s="15"/>
      <c r="J131" s="14"/>
      <c r="K131" s="15"/>
      <c r="L131" s="14"/>
      <c r="M131" s="14"/>
      <c r="N131" s="14"/>
      <c r="O131" s="14"/>
      <c r="P131" s="14"/>
      <c r="Q131" s="14"/>
      <c r="R131" s="14"/>
      <c r="S131" s="14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3.2">
      <c r="A132" s="14"/>
      <c r="B132" s="5">
        <v>10</v>
      </c>
      <c r="C132" s="5">
        <f t="shared" si="24"/>
        <v>71</v>
      </c>
      <c r="D132" s="23">
        <v>43070</v>
      </c>
      <c r="E132" s="11">
        <v>360.4</v>
      </c>
      <c r="F132" s="12">
        <f t="shared" ref="F132:F134" si="41">(E131-E132)/(D132-D131)</f>
        <v>6.5</v>
      </c>
      <c r="G132" s="14"/>
      <c r="H132" s="14"/>
      <c r="I132" s="13">
        <v>41.5</v>
      </c>
      <c r="J132" s="15">
        <f>(I130-I132)/(D132-D130)</f>
        <v>5.3000000000000007</v>
      </c>
      <c r="K132" s="13">
        <v>32.4</v>
      </c>
      <c r="L132" s="14"/>
      <c r="M132" s="14"/>
      <c r="N132" s="14"/>
      <c r="O132" s="14"/>
      <c r="P132" s="14"/>
      <c r="Q132" s="14"/>
      <c r="R132" s="14"/>
      <c r="S132" s="14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3.2">
      <c r="A133" s="14"/>
      <c r="B133" s="5">
        <v>10</v>
      </c>
      <c r="C133" s="5">
        <f t="shared" si="24"/>
        <v>74</v>
      </c>
      <c r="D133" s="23">
        <v>43073</v>
      </c>
      <c r="E133" s="11">
        <v>351.4</v>
      </c>
      <c r="F133" s="12">
        <f t="shared" si="41"/>
        <v>3</v>
      </c>
      <c r="G133" s="14"/>
      <c r="H133" s="14"/>
      <c r="I133" s="13">
        <v>34.1</v>
      </c>
      <c r="J133" s="16">
        <f>(I132-I133)/(D133-D132)</f>
        <v>2.4666666666666663</v>
      </c>
      <c r="K133" s="13">
        <v>33.1</v>
      </c>
      <c r="L133" s="14"/>
      <c r="M133" s="14"/>
      <c r="N133" s="14"/>
      <c r="O133" s="14"/>
      <c r="P133" s="14"/>
      <c r="Q133" s="14"/>
      <c r="R133" s="14"/>
      <c r="S133" s="14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3.2">
      <c r="A134" s="14"/>
      <c r="B134" s="5">
        <v>10</v>
      </c>
      <c r="C134" s="5">
        <f t="shared" si="24"/>
        <v>76</v>
      </c>
      <c r="D134" s="23">
        <v>43075</v>
      </c>
      <c r="E134" s="11">
        <v>341.9</v>
      </c>
      <c r="F134" s="12">
        <f t="shared" si="41"/>
        <v>4.75</v>
      </c>
      <c r="G134" s="14"/>
      <c r="H134" s="14"/>
      <c r="I134" s="13">
        <v>71.599999999999994</v>
      </c>
      <c r="J134" s="14">
        <f>(78.9-I134)/(D134-D133)</f>
        <v>3.6500000000000057</v>
      </c>
      <c r="K134" s="13">
        <v>33.5</v>
      </c>
      <c r="L134" s="14"/>
      <c r="M134" s="14"/>
      <c r="N134" s="14"/>
      <c r="O134" s="14"/>
      <c r="P134" s="14"/>
      <c r="Q134" s="14"/>
      <c r="R134" s="14"/>
      <c r="S134" s="14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3.2">
      <c r="A135" s="14"/>
      <c r="B135" s="5">
        <v>11</v>
      </c>
      <c r="C135" s="5">
        <f t="shared" si="24"/>
        <v>77</v>
      </c>
      <c r="D135" s="24">
        <v>43076</v>
      </c>
      <c r="E135" s="11">
        <v>370.5</v>
      </c>
      <c r="F135" s="12"/>
      <c r="G135" s="14"/>
      <c r="H135" s="14"/>
      <c r="I135" s="15"/>
      <c r="J135" s="14"/>
      <c r="K135" s="15"/>
      <c r="L135" s="14"/>
      <c r="M135" s="14"/>
      <c r="N135" s="14"/>
      <c r="O135" s="14"/>
      <c r="P135" s="14"/>
      <c r="Q135" s="14"/>
      <c r="R135" s="14"/>
      <c r="S135" s="14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3.2">
      <c r="A136" s="14"/>
      <c r="B136" s="5">
        <v>11</v>
      </c>
      <c r="C136" s="5">
        <f t="shared" si="24"/>
        <v>78</v>
      </c>
      <c r="D136" s="24">
        <v>43077</v>
      </c>
      <c r="E136" s="11">
        <v>363.6</v>
      </c>
      <c r="F136" s="12">
        <f t="shared" ref="F136:F138" si="42">(E135-E136)/(D136-D135)</f>
        <v>6.8999999999999773</v>
      </c>
      <c r="G136" s="14"/>
      <c r="H136" s="14"/>
      <c r="I136" s="13">
        <v>64.599999999999994</v>
      </c>
      <c r="J136" s="15">
        <f>(I134-I136)/(D136-D134)</f>
        <v>3.5</v>
      </c>
      <c r="K136" s="13">
        <v>34.5</v>
      </c>
      <c r="L136" s="14"/>
      <c r="M136" s="14"/>
      <c r="N136" s="14"/>
      <c r="O136" s="14"/>
      <c r="P136" s="14"/>
      <c r="Q136" s="14"/>
      <c r="R136" s="14"/>
      <c r="S136" s="14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3.2">
      <c r="A137" s="14"/>
      <c r="B137" s="5">
        <v>11</v>
      </c>
      <c r="C137" s="5">
        <f t="shared" si="24"/>
        <v>81</v>
      </c>
      <c r="D137" s="24">
        <v>43080</v>
      </c>
      <c r="E137" s="11">
        <v>354.9</v>
      </c>
      <c r="F137" s="12">
        <f t="shared" si="42"/>
        <v>2.900000000000015</v>
      </c>
      <c r="G137" s="14"/>
      <c r="H137" s="14"/>
      <c r="I137" s="13">
        <v>51.7</v>
      </c>
      <c r="J137" s="16">
        <f t="shared" ref="J137:J138" si="43">(I136-I137)/(D137-D136)</f>
        <v>4.2999999999999972</v>
      </c>
      <c r="K137" s="13">
        <v>35</v>
      </c>
      <c r="L137" s="14"/>
      <c r="M137" s="14"/>
      <c r="N137" s="14"/>
      <c r="O137" s="14"/>
      <c r="P137" s="14"/>
      <c r="Q137" s="14"/>
      <c r="R137" s="14"/>
      <c r="S137" s="14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26.4">
      <c r="A138" s="5" t="s">
        <v>45</v>
      </c>
      <c r="B138" s="5">
        <v>11</v>
      </c>
      <c r="C138" s="5">
        <f t="shared" si="24"/>
        <v>83</v>
      </c>
      <c r="D138" s="25">
        <v>43082</v>
      </c>
      <c r="E138" s="11">
        <v>343.9</v>
      </c>
      <c r="F138" s="12">
        <f t="shared" si="42"/>
        <v>5.5</v>
      </c>
      <c r="G138" s="14"/>
      <c r="H138" s="14"/>
      <c r="I138" s="13">
        <v>45.8</v>
      </c>
      <c r="J138" s="16">
        <f t="shared" si="43"/>
        <v>2.9500000000000028</v>
      </c>
      <c r="K138" s="13">
        <v>36.1</v>
      </c>
      <c r="L138" s="14"/>
      <c r="M138" s="14"/>
      <c r="N138" s="14"/>
      <c r="O138" s="14"/>
      <c r="P138" s="14"/>
      <c r="Q138" s="14"/>
      <c r="R138" s="14"/>
      <c r="S138" s="14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3.2">
      <c r="A139" s="14"/>
      <c r="B139" s="5">
        <v>12</v>
      </c>
      <c r="C139" s="5">
        <f t="shared" si="24"/>
        <v>84</v>
      </c>
      <c r="D139" s="24">
        <v>43083</v>
      </c>
      <c r="E139" s="12"/>
      <c r="F139" s="12"/>
      <c r="G139" s="14"/>
      <c r="H139" s="14"/>
      <c r="I139" s="15"/>
      <c r="J139" s="14"/>
      <c r="K139" s="13"/>
      <c r="L139" s="14"/>
      <c r="M139" s="14"/>
      <c r="N139" s="14"/>
      <c r="O139" s="14"/>
      <c r="P139" s="14"/>
      <c r="Q139" s="14"/>
      <c r="R139" s="14"/>
      <c r="S139" s="14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3.2">
      <c r="A140" s="26" t="s">
        <v>28</v>
      </c>
      <c r="B140" s="26">
        <v>12</v>
      </c>
      <c r="C140" s="26">
        <f t="shared" si="24"/>
        <v>85</v>
      </c>
      <c r="D140" s="27">
        <v>43084</v>
      </c>
      <c r="E140" s="28"/>
      <c r="F140" s="28"/>
      <c r="G140" s="29"/>
      <c r="H140" s="29"/>
      <c r="I140" s="30"/>
      <c r="J140" s="29"/>
      <c r="K140" s="31">
        <v>34.6</v>
      </c>
      <c r="L140" s="29"/>
      <c r="M140" s="29"/>
      <c r="N140" s="29"/>
      <c r="O140" s="29"/>
      <c r="P140" s="29"/>
      <c r="Q140" s="29"/>
      <c r="R140" s="29"/>
      <c r="S140" s="14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3.2">
      <c r="A141" s="14"/>
      <c r="B141" s="5">
        <v>12</v>
      </c>
      <c r="C141" s="5">
        <f t="shared" si="24"/>
        <v>98</v>
      </c>
      <c r="D141" s="32">
        <v>43097</v>
      </c>
      <c r="E141" s="12"/>
      <c r="F141" s="12"/>
      <c r="G141" s="14"/>
      <c r="H141" s="14"/>
      <c r="I141" s="33">
        <v>56.8</v>
      </c>
      <c r="J141" s="14"/>
      <c r="K141" s="33">
        <v>37</v>
      </c>
      <c r="L141" s="14"/>
      <c r="M141" s="14"/>
      <c r="N141" s="14"/>
      <c r="O141" s="14"/>
      <c r="P141" s="14"/>
      <c r="Q141" s="14"/>
      <c r="R141" s="14"/>
      <c r="S141" s="14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3.2">
      <c r="A142" s="14"/>
      <c r="B142" s="5">
        <v>12</v>
      </c>
      <c r="C142" s="5">
        <f t="shared" si="24"/>
        <v>105</v>
      </c>
      <c r="D142" s="32">
        <v>43104</v>
      </c>
      <c r="E142" s="12"/>
      <c r="F142" s="12"/>
      <c r="G142" s="14"/>
      <c r="H142" s="14"/>
      <c r="I142" s="33">
        <v>36.4</v>
      </c>
      <c r="J142" s="14"/>
      <c r="K142" s="33">
        <v>39.299999999999997</v>
      </c>
      <c r="L142" s="14"/>
      <c r="M142" s="14"/>
      <c r="N142" s="14"/>
      <c r="O142" s="14"/>
      <c r="P142" s="14"/>
      <c r="Q142" s="14"/>
      <c r="R142" s="14"/>
      <c r="S142" s="14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3.2">
      <c r="A143" s="14"/>
      <c r="B143" s="14"/>
      <c r="C143" s="5">
        <f t="shared" si="24"/>
        <v>112</v>
      </c>
      <c r="D143" s="32">
        <v>43111</v>
      </c>
      <c r="E143" s="12"/>
      <c r="F143" s="12"/>
      <c r="G143" s="14"/>
      <c r="H143" s="14"/>
      <c r="I143" s="33">
        <v>19.8</v>
      </c>
      <c r="J143" s="14"/>
      <c r="K143" s="33">
        <v>39.5</v>
      </c>
      <c r="L143" s="14"/>
      <c r="M143" s="14"/>
      <c r="N143" s="14"/>
      <c r="O143" s="14"/>
      <c r="P143" s="14"/>
      <c r="Q143" s="14"/>
      <c r="R143" s="14"/>
      <c r="S143" s="14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3.2">
      <c r="A144" s="14"/>
      <c r="B144" s="14"/>
      <c r="C144" s="5">
        <f t="shared" si="24"/>
        <v>116</v>
      </c>
      <c r="D144" s="34">
        <v>43115</v>
      </c>
      <c r="E144" s="12"/>
      <c r="F144" s="12"/>
      <c r="G144" s="14"/>
      <c r="H144" s="14"/>
      <c r="I144" s="33"/>
      <c r="J144" s="14"/>
      <c r="K144" s="33"/>
      <c r="L144" s="14"/>
      <c r="M144" s="14"/>
      <c r="N144" s="14"/>
      <c r="O144" s="14"/>
      <c r="P144" s="14"/>
      <c r="Q144" s="14"/>
      <c r="R144" s="14"/>
      <c r="S144" s="14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3.2">
      <c r="A145" s="14"/>
      <c r="B145" s="14"/>
      <c r="C145" s="5">
        <f t="shared" si="24"/>
        <v>117</v>
      </c>
      <c r="D145" s="20">
        <v>43116</v>
      </c>
      <c r="E145" s="12"/>
      <c r="F145" s="12"/>
      <c r="G145" s="14"/>
      <c r="H145" s="14"/>
      <c r="I145" s="33">
        <v>30.4</v>
      </c>
      <c r="J145" s="14"/>
      <c r="K145" s="33">
        <v>39.799999999999997</v>
      </c>
      <c r="L145" s="14"/>
      <c r="M145" s="14"/>
      <c r="N145" s="14"/>
      <c r="O145" s="14"/>
      <c r="P145" s="14"/>
      <c r="Q145" s="14"/>
      <c r="R145" s="14"/>
      <c r="S145" s="14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3.2">
      <c r="A146" s="14"/>
      <c r="B146" s="14"/>
      <c r="C146" s="5">
        <v>118</v>
      </c>
      <c r="D146" s="32">
        <v>43117</v>
      </c>
      <c r="E146" s="12"/>
      <c r="F146" s="12"/>
      <c r="G146" s="14"/>
      <c r="H146" s="14"/>
      <c r="I146" s="33">
        <v>62.7</v>
      </c>
      <c r="J146" s="14"/>
      <c r="K146" s="33">
        <v>40.700000000000003</v>
      </c>
      <c r="L146" s="14"/>
      <c r="M146" s="14"/>
      <c r="N146" s="14"/>
      <c r="O146" s="14"/>
      <c r="P146" s="14"/>
      <c r="Q146" s="14"/>
      <c r="R146" s="14"/>
      <c r="S146" s="14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3.2">
      <c r="A147" s="14"/>
      <c r="B147" s="14"/>
      <c r="C147" s="5">
        <v>119</v>
      </c>
      <c r="D147" s="32">
        <v>43118</v>
      </c>
      <c r="E147" s="12"/>
      <c r="F147" s="12"/>
      <c r="G147" s="14"/>
      <c r="H147" s="14"/>
      <c r="I147" s="33">
        <v>59.6</v>
      </c>
      <c r="J147" s="14"/>
      <c r="K147" s="33">
        <v>41.2</v>
      </c>
      <c r="L147" s="14"/>
      <c r="M147" s="14"/>
      <c r="N147" s="14"/>
      <c r="O147" s="14"/>
      <c r="P147" s="14"/>
      <c r="Q147" s="14"/>
      <c r="R147" s="14"/>
      <c r="S147" s="14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3.2">
      <c r="A148" s="14"/>
      <c r="B148" s="14"/>
      <c r="C148" s="5">
        <v>120</v>
      </c>
      <c r="D148" s="32">
        <v>43119</v>
      </c>
      <c r="E148" s="12"/>
      <c r="F148" s="12"/>
      <c r="G148" s="14"/>
      <c r="H148" s="14"/>
      <c r="I148" s="33">
        <v>57.5</v>
      </c>
      <c r="J148" s="14"/>
      <c r="K148" s="33">
        <v>41</v>
      </c>
      <c r="L148" s="14"/>
      <c r="M148" s="14"/>
      <c r="N148" s="14"/>
      <c r="O148" s="14"/>
      <c r="P148" s="14"/>
      <c r="Q148" s="14"/>
      <c r="R148" s="14"/>
      <c r="S148" s="14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3.2">
      <c r="A149" s="14"/>
      <c r="B149" s="14"/>
      <c r="C149" s="5">
        <v>121</v>
      </c>
      <c r="D149" s="32">
        <v>43120</v>
      </c>
      <c r="E149" s="12"/>
      <c r="F149" s="12"/>
      <c r="G149" s="14"/>
      <c r="H149" s="14"/>
      <c r="I149" s="33">
        <v>55.7</v>
      </c>
      <c r="J149" s="14"/>
      <c r="K149" s="33">
        <v>40.6</v>
      </c>
      <c r="L149" s="14"/>
      <c r="M149" s="14"/>
      <c r="N149" s="14"/>
      <c r="O149" s="14"/>
      <c r="P149" s="14"/>
      <c r="Q149" s="14"/>
      <c r="R149" s="14"/>
      <c r="S149" s="14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3.2">
      <c r="A150" s="14"/>
      <c r="B150" s="14"/>
      <c r="C150" s="5">
        <v>122</v>
      </c>
      <c r="D150" s="32">
        <v>43121</v>
      </c>
      <c r="E150" s="12"/>
      <c r="F150" s="12"/>
      <c r="G150" s="14"/>
      <c r="H150" s="14"/>
      <c r="I150" s="33">
        <v>52.9</v>
      </c>
      <c r="J150" s="14"/>
      <c r="K150" s="33">
        <v>40.799999999999997</v>
      </c>
      <c r="L150" s="14"/>
      <c r="M150" s="14"/>
      <c r="N150" s="14"/>
      <c r="O150" s="14"/>
      <c r="P150" s="14"/>
      <c r="Q150" s="14"/>
      <c r="R150" s="14"/>
      <c r="S150" s="14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3.2">
      <c r="A151" s="14"/>
      <c r="B151" s="14"/>
      <c r="C151" s="5">
        <v>123</v>
      </c>
      <c r="D151" s="32">
        <v>43122</v>
      </c>
      <c r="E151" s="12"/>
      <c r="F151" s="12"/>
      <c r="G151" s="14"/>
      <c r="H151" s="14"/>
      <c r="I151" s="33">
        <v>49.7</v>
      </c>
      <c r="J151" s="14"/>
      <c r="K151" s="33">
        <v>41.3</v>
      </c>
      <c r="L151" s="14"/>
      <c r="M151" s="14"/>
      <c r="N151" s="14"/>
      <c r="O151" s="14"/>
      <c r="P151" s="14"/>
      <c r="Q151" s="14"/>
      <c r="R151" s="14"/>
      <c r="S151" s="14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3.2">
      <c r="A152" s="14"/>
      <c r="B152" s="14"/>
      <c r="C152" s="5">
        <v>124</v>
      </c>
      <c r="D152" s="32">
        <v>43123</v>
      </c>
      <c r="E152" s="12"/>
      <c r="F152" s="12"/>
      <c r="G152" s="14"/>
      <c r="H152" s="14"/>
      <c r="I152" s="33">
        <v>46.9</v>
      </c>
      <c r="J152" s="14"/>
      <c r="K152" s="33">
        <v>42</v>
      </c>
      <c r="L152" s="14"/>
      <c r="M152" s="14"/>
      <c r="N152" s="14"/>
      <c r="O152" s="14"/>
      <c r="P152" s="14"/>
      <c r="Q152" s="14"/>
      <c r="R152" s="14"/>
      <c r="S152" s="14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3.2">
      <c r="A153" s="14"/>
      <c r="B153" s="14"/>
      <c r="C153" s="5">
        <v>125</v>
      </c>
      <c r="D153" s="52">
        <v>43124</v>
      </c>
      <c r="E153" s="12"/>
      <c r="F153" s="12"/>
      <c r="G153" s="14"/>
      <c r="H153" s="14"/>
      <c r="I153" s="33">
        <v>44.7</v>
      </c>
      <c r="J153" s="14"/>
      <c r="K153" s="33">
        <v>41.6</v>
      </c>
      <c r="L153" s="14"/>
      <c r="M153" s="14"/>
      <c r="N153" s="14"/>
      <c r="O153" s="14"/>
      <c r="P153" s="14"/>
      <c r="Q153" s="14"/>
      <c r="R153" s="14"/>
      <c r="S153" s="14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3.2">
      <c r="A154" s="14"/>
      <c r="B154" s="14"/>
      <c r="C154" s="5">
        <v>126</v>
      </c>
      <c r="D154" s="52">
        <v>43125</v>
      </c>
      <c r="E154" s="12"/>
      <c r="F154" s="12"/>
      <c r="G154" s="14"/>
      <c r="H154" s="14"/>
      <c r="I154" s="33">
        <v>42.6</v>
      </c>
      <c r="J154" s="14"/>
      <c r="K154" s="33">
        <v>41.7</v>
      </c>
      <c r="L154" s="14"/>
      <c r="M154" s="14"/>
      <c r="N154" s="14"/>
      <c r="O154" s="14"/>
      <c r="P154" s="14"/>
      <c r="Q154" s="14"/>
      <c r="R154" s="14"/>
      <c r="S154" s="14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3.2">
      <c r="A155" s="14"/>
      <c r="B155" s="14"/>
      <c r="C155" s="5">
        <v>127</v>
      </c>
      <c r="D155" s="52">
        <v>43126</v>
      </c>
      <c r="E155" s="12"/>
      <c r="F155" s="12"/>
      <c r="G155" s="14"/>
      <c r="H155" s="14"/>
      <c r="I155" s="33">
        <v>40.200000000000003</v>
      </c>
      <c r="J155" s="14"/>
      <c r="K155" s="33">
        <v>41.7</v>
      </c>
      <c r="L155" s="14"/>
      <c r="M155" s="14"/>
      <c r="N155" s="14"/>
      <c r="O155" s="14"/>
      <c r="P155" s="14"/>
      <c r="Q155" s="14"/>
      <c r="R155" s="14"/>
      <c r="S155" s="14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3.2">
      <c r="A156" s="14"/>
      <c r="B156" s="14"/>
      <c r="C156" s="5">
        <v>128</v>
      </c>
      <c r="D156" s="52">
        <v>43127</v>
      </c>
      <c r="E156" s="12"/>
      <c r="F156" s="12"/>
      <c r="G156" s="14"/>
      <c r="H156" s="14"/>
      <c r="I156" s="33">
        <v>37.299999999999997</v>
      </c>
      <c r="J156" s="14"/>
      <c r="K156" s="33">
        <v>42</v>
      </c>
      <c r="L156" s="14"/>
      <c r="M156" s="14"/>
      <c r="N156" s="14"/>
      <c r="O156" s="14"/>
      <c r="P156" s="14"/>
      <c r="Q156" s="14"/>
      <c r="R156" s="14"/>
      <c r="S156" s="14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3.2">
      <c r="A157" s="14"/>
      <c r="B157" s="14"/>
      <c r="C157" s="5">
        <v>129</v>
      </c>
      <c r="D157" s="52">
        <v>43128</v>
      </c>
      <c r="E157" s="12"/>
      <c r="F157" s="12"/>
      <c r="G157" s="14"/>
      <c r="H157" s="14"/>
      <c r="I157" s="33">
        <v>34.5</v>
      </c>
      <c r="J157" s="14"/>
      <c r="K157" s="33">
        <v>42.3</v>
      </c>
      <c r="L157" s="14"/>
      <c r="M157" s="14"/>
      <c r="N157" s="14"/>
      <c r="O157" s="14"/>
      <c r="P157" s="14"/>
      <c r="Q157" s="14"/>
      <c r="R157" s="14"/>
      <c r="S157" s="14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3.2">
      <c r="A158" s="14"/>
      <c r="B158" s="14"/>
      <c r="C158" s="5">
        <v>130</v>
      </c>
      <c r="D158" s="52">
        <v>43129</v>
      </c>
      <c r="E158" s="12"/>
      <c r="F158" s="12"/>
      <c r="G158" s="14"/>
      <c r="H158" s="14"/>
      <c r="I158" s="33">
        <v>71.7</v>
      </c>
      <c r="J158" s="14"/>
      <c r="K158" s="33">
        <v>42.6</v>
      </c>
      <c r="L158" s="14"/>
      <c r="M158" s="14"/>
      <c r="N158" s="14"/>
      <c r="O158" s="14"/>
      <c r="P158" s="14"/>
      <c r="Q158" s="14"/>
      <c r="R158" s="14"/>
      <c r="S158" s="14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3.2">
      <c r="A159" s="14"/>
      <c r="B159" s="14"/>
      <c r="C159" s="5">
        <v>131</v>
      </c>
      <c r="D159" s="52">
        <v>43130</v>
      </c>
      <c r="E159" s="12"/>
      <c r="F159" s="12"/>
      <c r="G159" s="14"/>
      <c r="H159" s="14"/>
      <c r="I159" s="33">
        <v>69.400000000000006</v>
      </c>
      <c r="J159" s="14"/>
      <c r="K159" s="33">
        <v>42.4</v>
      </c>
      <c r="L159" s="14"/>
      <c r="M159" s="14"/>
      <c r="N159" s="14"/>
      <c r="O159" s="14"/>
      <c r="P159" s="14"/>
      <c r="Q159" s="14"/>
      <c r="R159" s="14"/>
      <c r="S159" s="14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3.2">
      <c r="A160" s="14"/>
      <c r="B160" s="14"/>
      <c r="C160" s="5">
        <v>132</v>
      </c>
      <c r="D160" s="53">
        <v>43131</v>
      </c>
      <c r="E160" s="12"/>
      <c r="F160" s="12"/>
      <c r="G160" s="14"/>
      <c r="H160" s="14"/>
      <c r="I160" s="33">
        <v>65.900000000000006</v>
      </c>
      <c r="J160" s="14"/>
      <c r="K160" s="33">
        <v>43.1</v>
      </c>
      <c r="L160" s="14"/>
      <c r="M160" s="14"/>
      <c r="N160" s="14"/>
      <c r="O160" s="14"/>
      <c r="P160" s="14"/>
      <c r="Q160" s="14"/>
      <c r="R160" s="14"/>
      <c r="S160" s="14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3.2">
      <c r="A161" s="14"/>
      <c r="B161" s="14"/>
      <c r="C161" s="5">
        <v>133</v>
      </c>
      <c r="D161" s="32">
        <v>43132</v>
      </c>
      <c r="E161" s="12"/>
      <c r="F161" s="12"/>
      <c r="G161" s="14"/>
      <c r="H161" s="14"/>
      <c r="I161" s="33">
        <v>62.9</v>
      </c>
      <c r="J161" s="37"/>
      <c r="K161" s="33">
        <v>43.5</v>
      </c>
      <c r="L161" s="14"/>
      <c r="M161" s="14"/>
      <c r="N161" s="14"/>
      <c r="O161" s="14"/>
      <c r="P161" s="14"/>
      <c r="Q161" s="14"/>
      <c r="R161" s="14"/>
      <c r="S161" s="14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3.2">
      <c r="A162" s="14"/>
      <c r="B162" s="14"/>
      <c r="C162" s="5">
        <v>134</v>
      </c>
      <c r="D162" s="32">
        <v>43133</v>
      </c>
      <c r="E162" s="12"/>
      <c r="F162" s="12"/>
      <c r="G162" s="14"/>
      <c r="H162" s="14"/>
      <c r="I162" s="33">
        <v>59.8</v>
      </c>
      <c r="J162" s="37"/>
      <c r="K162" s="33">
        <v>43.9</v>
      </c>
      <c r="L162" s="14"/>
      <c r="M162" s="14"/>
      <c r="N162" s="14"/>
      <c r="O162" s="14"/>
      <c r="P162" s="14"/>
      <c r="Q162" s="14"/>
      <c r="R162" s="14"/>
      <c r="S162" s="14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3.2">
      <c r="A163" s="14"/>
      <c r="B163" s="14"/>
      <c r="C163" s="5">
        <v>135</v>
      </c>
      <c r="D163" s="32">
        <v>43134</v>
      </c>
      <c r="E163" s="12"/>
      <c r="F163" s="12"/>
      <c r="G163" s="14"/>
      <c r="H163" s="14"/>
      <c r="I163" s="33">
        <v>57.1</v>
      </c>
      <c r="J163" s="37"/>
      <c r="K163" s="33">
        <v>43.7</v>
      </c>
      <c r="L163" s="14"/>
      <c r="M163" s="14"/>
      <c r="N163" s="14"/>
      <c r="O163" s="14"/>
      <c r="P163" s="14"/>
      <c r="Q163" s="14"/>
      <c r="R163" s="14"/>
      <c r="S163" s="14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3.2">
      <c r="A164" s="14"/>
      <c r="B164" s="14"/>
      <c r="C164" s="5">
        <v>136</v>
      </c>
      <c r="D164" s="32">
        <v>43135</v>
      </c>
      <c r="E164" s="12"/>
      <c r="F164" s="12"/>
      <c r="G164" s="14"/>
      <c r="H164" s="14"/>
      <c r="I164" s="33">
        <v>54.5</v>
      </c>
      <c r="J164" s="37"/>
      <c r="K164" s="33">
        <v>44</v>
      </c>
      <c r="L164" s="14"/>
      <c r="M164" s="14"/>
      <c r="N164" s="14"/>
      <c r="O164" s="14"/>
      <c r="P164" s="14"/>
      <c r="Q164" s="14"/>
      <c r="R164" s="14"/>
      <c r="S164" s="14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3.2">
      <c r="A165" s="14"/>
      <c r="B165" s="14"/>
      <c r="C165" s="5">
        <v>137</v>
      </c>
      <c r="D165" s="32">
        <v>43136</v>
      </c>
      <c r="E165" s="12"/>
      <c r="F165" s="12"/>
      <c r="G165" s="14"/>
      <c r="H165" s="14"/>
      <c r="I165" s="33">
        <v>51.9</v>
      </c>
      <c r="J165" s="37"/>
      <c r="K165" s="33">
        <v>43.8</v>
      </c>
      <c r="L165" s="14"/>
      <c r="M165" s="14"/>
      <c r="N165" s="14"/>
      <c r="O165" s="14"/>
      <c r="P165" s="14"/>
      <c r="Q165" s="14"/>
      <c r="R165" s="14"/>
      <c r="S165" s="14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3.2">
      <c r="A166" s="14"/>
      <c r="B166" s="14"/>
      <c r="C166" s="5">
        <v>138</v>
      </c>
      <c r="D166" s="32">
        <v>43137</v>
      </c>
      <c r="E166" s="12"/>
      <c r="F166" s="12"/>
      <c r="G166" s="14"/>
      <c r="H166" s="14"/>
      <c r="I166" s="33">
        <v>49</v>
      </c>
      <c r="J166" s="37"/>
      <c r="K166" s="54">
        <v>44.2</v>
      </c>
      <c r="L166" s="14"/>
      <c r="M166" s="14"/>
      <c r="N166" s="14"/>
      <c r="O166" s="14"/>
      <c r="P166" s="14"/>
      <c r="Q166" s="14"/>
      <c r="R166" s="14"/>
      <c r="S166" s="14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3.2">
      <c r="A167" s="14"/>
      <c r="B167" s="14"/>
      <c r="C167" s="5">
        <v>139</v>
      </c>
      <c r="D167" s="20">
        <v>43138</v>
      </c>
      <c r="E167" s="12"/>
      <c r="F167" s="12"/>
      <c r="G167" s="14"/>
      <c r="H167" s="14"/>
      <c r="I167" s="13">
        <v>45.4</v>
      </c>
      <c r="J167" s="14"/>
      <c r="K167" s="13">
        <v>45.4</v>
      </c>
      <c r="L167" s="14"/>
      <c r="M167" s="14"/>
      <c r="N167" s="14"/>
      <c r="O167" s="14"/>
      <c r="P167" s="14"/>
      <c r="Q167" s="14"/>
      <c r="R167" s="14"/>
      <c r="S167" s="14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3.2">
      <c r="A168" s="14"/>
      <c r="B168" s="14"/>
      <c r="C168" s="5">
        <v>140</v>
      </c>
      <c r="D168" s="20">
        <v>43139</v>
      </c>
      <c r="E168" s="12"/>
      <c r="F168" s="12"/>
      <c r="G168" s="14"/>
      <c r="H168" s="14"/>
      <c r="I168" s="13">
        <v>42.5</v>
      </c>
      <c r="J168" s="14"/>
      <c r="K168" s="13">
        <v>45.5</v>
      </c>
      <c r="L168" s="14"/>
      <c r="M168" s="14"/>
      <c r="N168" s="14"/>
      <c r="O168" s="14"/>
      <c r="P168" s="14"/>
      <c r="Q168" s="14"/>
      <c r="R168" s="14"/>
      <c r="S168" s="14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3.2">
      <c r="A169" s="14"/>
      <c r="B169" s="14"/>
      <c r="C169" s="5">
        <v>141</v>
      </c>
      <c r="D169" s="20">
        <v>43140</v>
      </c>
      <c r="E169" s="12"/>
      <c r="F169" s="12"/>
      <c r="G169" s="14"/>
      <c r="H169" s="14"/>
      <c r="I169" s="13">
        <v>39.6</v>
      </c>
      <c r="J169" s="14"/>
      <c r="K169" s="13">
        <v>45.6</v>
      </c>
      <c r="L169" s="14"/>
      <c r="M169" s="14"/>
      <c r="N169" s="14"/>
      <c r="O169" s="14"/>
      <c r="P169" s="14"/>
      <c r="Q169" s="14"/>
      <c r="R169" s="14"/>
      <c r="S169" s="14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3.2">
      <c r="A170" s="14"/>
      <c r="B170" s="14"/>
      <c r="C170" s="5">
        <v>142</v>
      </c>
      <c r="D170" s="20">
        <v>43141</v>
      </c>
      <c r="E170" s="12"/>
      <c r="F170" s="12"/>
      <c r="G170" s="14"/>
      <c r="H170" s="14"/>
      <c r="I170" s="13">
        <v>37.1</v>
      </c>
      <c r="J170" s="14"/>
      <c r="K170" s="13">
        <v>45.7</v>
      </c>
      <c r="L170" s="14"/>
      <c r="M170" s="14"/>
      <c r="N170" s="14"/>
      <c r="O170" s="14"/>
      <c r="P170" s="14"/>
      <c r="Q170" s="14"/>
      <c r="R170" s="14"/>
      <c r="S170" s="14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3.2">
      <c r="A171" s="14"/>
      <c r="B171" s="14"/>
      <c r="C171" s="5">
        <v>143</v>
      </c>
      <c r="D171" s="20">
        <v>43142</v>
      </c>
      <c r="E171" s="12"/>
      <c r="F171" s="12"/>
      <c r="G171" s="14"/>
      <c r="H171" s="14"/>
      <c r="I171" s="13">
        <v>92.8</v>
      </c>
      <c r="J171" s="14"/>
      <c r="K171" s="13">
        <v>46.2</v>
      </c>
      <c r="L171" s="14"/>
      <c r="M171" s="14"/>
      <c r="N171" s="14"/>
      <c r="O171" s="14"/>
      <c r="P171" s="14"/>
      <c r="Q171" s="14"/>
      <c r="R171" s="14"/>
      <c r="S171" s="14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3.2">
      <c r="A172" s="14"/>
      <c r="B172" s="14"/>
      <c r="C172" s="5">
        <v>144</v>
      </c>
      <c r="D172" s="20">
        <v>43143</v>
      </c>
      <c r="E172" s="12"/>
      <c r="F172" s="12"/>
      <c r="G172" s="14"/>
      <c r="H172" s="14"/>
      <c r="I172" s="13">
        <v>90.3</v>
      </c>
      <c r="J172" s="14"/>
      <c r="K172" s="13">
        <v>46</v>
      </c>
      <c r="L172" s="14"/>
      <c r="M172" s="14"/>
      <c r="N172" s="14"/>
      <c r="O172" s="14"/>
      <c r="P172" s="14"/>
      <c r="Q172" s="14"/>
      <c r="R172" s="14"/>
      <c r="S172" s="14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3.2">
      <c r="A173" s="14"/>
      <c r="B173" s="5"/>
      <c r="C173" s="5">
        <v>145</v>
      </c>
      <c r="D173" s="20">
        <v>43144</v>
      </c>
      <c r="E173" s="12"/>
      <c r="F173" s="12"/>
      <c r="G173" s="14"/>
      <c r="H173" s="14"/>
      <c r="I173" s="13">
        <v>88</v>
      </c>
      <c r="J173" s="14"/>
      <c r="K173" s="13">
        <v>45.9</v>
      </c>
      <c r="L173" s="14"/>
      <c r="M173" s="14"/>
      <c r="N173" s="14"/>
      <c r="O173" s="14"/>
      <c r="P173" s="14"/>
      <c r="Q173" s="14"/>
      <c r="R173" s="14"/>
      <c r="S173" s="14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3.2">
      <c r="A174" s="14"/>
      <c r="B174" s="5"/>
      <c r="C174" s="5">
        <v>146</v>
      </c>
      <c r="D174" s="20">
        <v>43145</v>
      </c>
      <c r="E174" s="12"/>
      <c r="F174" s="12"/>
      <c r="G174" s="14"/>
      <c r="H174" s="14"/>
      <c r="I174" s="13">
        <v>85.2</v>
      </c>
      <c r="J174" s="14"/>
      <c r="K174" s="13">
        <v>46.1</v>
      </c>
      <c r="L174" s="14"/>
      <c r="M174" s="14"/>
      <c r="N174" s="14"/>
      <c r="O174" s="14"/>
      <c r="P174" s="14"/>
      <c r="Q174" s="14"/>
      <c r="R174" s="14"/>
      <c r="S174" s="14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3.2">
      <c r="A175" s="14"/>
      <c r="B175" s="5"/>
      <c r="C175" s="5">
        <v>147</v>
      </c>
      <c r="D175" s="20">
        <v>43146</v>
      </c>
      <c r="E175" s="12"/>
      <c r="F175" s="12"/>
      <c r="G175" s="14"/>
      <c r="H175" s="14"/>
      <c r="I175" s="13">
        <v>82.9</v>
      </c>
      <c r="J175" s="14"/>
      <c r="K175" s="13">
        <v>45.8</v>
      </c>
      <c r="L175" s="14"/>
      <c r="M175" s="14"/>
      <c r="N175" s="14"/>
      <c r="O175" s="14"/>
      <c r="P175" s="14"/>
      <c r="Q175" s="14"/>
      <c r="R175" s="14"/>
      <c r="S175" s="14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3.2">
      <c r="A176" s="14"/>
      <c r="B176" s="5"/>
      <c r="C176" s="5">
        <v>148</v>
      </c>
      <c r="D176" s="20">
        <v>43147</v>
      </c>
      <c r="E176" s="12"/>
      <c r="F176" s="12"/>
      <c r="G176" s="14"/>
      <c r="H176" s="14"/>
      <c r="I176" s="13">
        <v>80.7</v>
      </c>
      <c r="J176" s="14"/>
      <c r="K176" s="13">
        <v>45.7</v>
      </c>
      <c r="L176" s="14"/>
      <c r="M176" s="14"/>
      <c r="N176" s="14"/>
      <c r="O176" s="14"/>
      <c r="P176" s="14"/>
      <c r="Q176" s="14"/>
      <c r="R176" s="14"/>
      <c r="S176" s="14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3.2">
      <c r="A177" s="14"/>
      <c r="B177" s="5"/>
      <c r="C177" s="5">
        <v>149</v>
      </c>
      <c r="D177" s="20">
        <v>43148</v>
      </c>
      <c r="E177" s="12"/>
      <c r="F177" s="12"/>
      <c r="G177" s="14"/>
      <c r="H177" s="14"/>
      <c r="I177" s="13">
        <v>77.900000000000006</v>
      </c>
      <c r="J177" s="14"/>
      <c r="K177" s="13">
        <v>46</v>
      </c>
      <c r="L177" s="14"/>
      <c r="M177" s="14"/>
      <c r="N177" s="14"/>
      <c r="O177" s="14"/>
      <c r="P177" s="14"/>
      <c r="Q177" s="14"/>
      <c r="R177" s="14"/>
      <c r="S177" s="14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3.2">
      <c r="A178" s="14"/>
      <c r="B178" s="5"/>
      <c r="C178" s="14">
        <f t="shared" ref="C178:C182" si="44">C177+1</f>
        <v>150</v>
      </c>
      <c r="D178" s="20">
        <v>43149</v>
      </c>
      <c r="E178" s="12"/>
      <c r="F178" s="12"/>
      <c r="G178" s="14"/>
      <c r="H178" s="14"/>
      <c r="I178" s="13">
        <v>75.099999999999994</v>
      </c>
      <c r="J178" s="14"/>
      <c r="K178" s="13">
        <v>46</v>
      </c>
      <c r="L178" s="14"/>
      <c r="M178" s="14"/>
      <c r="N178" s="14"/>
      <c r="O178" s="14"/>
      <c r="P178" s="14"/>
      <c r="Q178" s="14"/>
      <c r="R178" s="14"/>
      <c r="S178" s="14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3.2">
      <c r="A179" s="14"/>
      <c r="B179" s="5"/>
      <c r="C179" s="14">
        <f t="shared" si="44"/>
        <v>151</v>
      </c>
      <c r="D179" s="20">
        <v>43150</v>
      </c>
      <c r="E179" s="12"/>
      <c r="F179" s="12"/>
      <c r="G179" s="14"/>
      <c r="H179" s="14"/>
      <c r="I179" s="13">
        <v>72</v>
      </c>
      <c r="J179" s="14"/>
      <c r="K179" s="13">
        <v>46.7</v>
      </c>
      <c r="L179" s="14"/>
      <c r="M179" s="14"/>
      <c r="N179" s="14"/>
      <c r="O179" s="14"/>
      <c r="P179" s="14"/>
      <c r="Q179" s="14"/>
      <c r="R179" s="14"/>
      <c r="S179" s="14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3.2">
      <c r="A180" s="14"/>
      <c r="B180" s="5"/>
      <c r="C180" s="14">
        <f t="shared" si="44"/>
        <v>152</v>
      </c>
      <c r="D180" s="20">
        <v>43151</v>
      </c>
      <c r="E180" s="12"/>
      <c r="F180" s="12"/>
      <c r="G180" s="14"/>
      <c r="H180" s="14"/>
      <c r="I180" s="13">
        <v>68.900000000000006</v>
      </c>
      <c r="J180" s="14"/>
      <c r="K180" s="13">
        <v>47.2</v>
      </c>
      <c r="L180" s="14"/>
      <c r="M180" s="14"/>
      <c r="N180" s="14"/>
      <c r="O180" s="14"/>
      <c r="P180" s="14"/>
      <c r="Q180" s="14"/>
      <c r="R180" s="14"/>
      <c r="S180" s="14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3.2">
      <c r="A181" s="14"/>
      <c r="B181" s="5"/>
      <c r="C181" s="14">
        <f t="shared" si="44"/>
        <v>153</v>
      </c>
      <c r="D181" s="20">
        <v>43152</v>
      </c>
      <c r="E181" s="12"/>
      <c r="F181" s="12"/>
      <c r="G181" s="14"/>
      <c r="H181" s="14"/>
      <c r="I181" s="13">
        <v>65.3</v>
      </c>
      <c r="J181" s="14"/>
      <c r="K181" s="13">
        <v>48.3</v>
      </c>
      <c r="L181" s="14"/>
      <c r="M181" s="14"/>
      <c r="N181" s="14"/>
      <c r="O181" s="14"/>
      <c r="P181" s="14"/>
      <c r="Q181" s="14"/>
      <c r="R181" s="14"/>
      <c r="S181" s="14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3.2">
      <c r="A182" s="14"/>
      <c r="B182" s="5"/>
      <c r="C182" s="14">
        <f t="shared" si="44"/>
        <v>154</v>
      </c>
      <c r="D182" s="20">
        <v>43153</v>
      </c>
      <c r="E182" s="12"/>
      <c r="F182" s="12"/>
      <c r="G182" s="14"/>
      <c r="H182" s="14"/>
      <c r="I182" s="13">
        <v>62.7</v>
      </c>
      <c r="J182" s="14"/>
      <c r="K182" s="13">
        <v>48</v>
      </c>
      <c r="L182" s="14"/>
      <c r="M182" s="14"/>
      <c r="N182" s="14"/>
      <c r="O182" s="14"/>
      <c r="P182" s="14"/>
      <c r="Q182" s="14"/>
      <c r="R182" s="14"/>
      <c r="S182" s="14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3.2">
      <c r="A183" s="14"/>
      <c r="B183" s="5"/>
      <c r="C183" s="5">
        <v>155</v>
      </c>
      <c r="D183" s="56">
        <v>43154</v>
      </c>
      <c r="E183" s="12"/>
      <c r="F183" s="12"/>
      <c r="G183" s="14"/>
      <c r="H183" s="14"/>
      <c r="I183" s="13">
        <v>59.8</v>
      </c>
      <c r="J183" s="14"/>
      <c r="K183" s="13">
        <v>48.2</v>
      </c>
      <c r="L183" s="14"/>
      <c r="M183" s="14"/>
      <c r="N183" s="14"/>
      <c r="O183" s="14"/>
      <c r="P183" s="14"/>
      <c r="Q183" s="14"/>
      <c r="R183" s="14"/>
      <c r="S183" s="14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3.2">
      <c r="A184" s="14"/>
      <c r="B184" s="5"/>
      <c r="C184" s="5">
        <v>156</v>
      </c>
      <c r="D184" s="20">
        <v>43155</v>
      </c>
      <c r="E184" s="12"/>
      <c r="F184" s="12"/>
      <c r="G184" s="14"/>
      <c r="H184" s="14"/>
      <c r="I184" s="13">
        <v>57.2</v>
      </c>
      <c r="J184" s="14"/>
      <c r="K184" s="13">
        <v>48.3</v>
      </c>
      <c r="L184" s="14"/>
      <c r="M184" s="14"/>
      <c r="N184" s="14"/>
      <c r="O184" s="14"/>
      <c r="P184" s="14"/>
      <c r="Q184" s="14"/>
      <c r="R184" s="14"/>
      <c r="S184" s="14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3.2">
      <c r="A185" s="14"/>
      <c r="B185" s="5"/>
      <c r="C185" s="5">
        <v>157</v>
      </c>
      <c r="D185" s="20">
        <v>43156</v>
      </c>
      <c r="E185" s="12"/>
      <c r="F185" s="12"/>
      <c r="G185" s="14"/>
      <c r="H185" s="14"/>
      <c r="I185" s="13">
        <v>54.3</v>
      </c>
      <c r="J185" s="14"/>
      <c r="K185" s="13">
        <v>48.5</v>
      </c>
      <c r="L185" s="14"/>
      <c r="M185" s="14"/>
      <c r="N185" s="14"/>
      <c r="O185" s="14"/>
      <c r="P185" s="14"/>
      <c r="Q185" s="14"/>
      <c r="R185" s="14"/>
      <c r="S185" s="14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3.2">
      <c r="A186" s="14"/>
      <c r="B186" s="5"/>
      <c r="C186" s="5">
        <v>158</v>
      </c>
      <c r="D186" s="20">
        <v>43157</v>
      </c>
      <c r="E186" s="12"/>
      <c r="F186" s="12"/>
      <c r="G186" s="14"/>
      <c r="H186" s="14"/>
      <c r="I186" s="13">
        <v>51.1</v>
      </c>
      <c r="J186" s="14"/>
      <c r="K186" s="13">
        <v>49.4</v>
      </c>
      <c r="L186" s="14"/>
      <c r="M186" s="14"/>
      <c r="N186" s="14"/>
      <c r="O186" s="14"/>
      <c r="P186" s="14"/>
      <c r="Q186" s="14"/>
      <c r="R186" s="14"/>
      <c r="S186" s="14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3.2">
      <c r="A187" s="14"/>
      <c r="B187" s="5"/>
      <c r="C187" s="5">
        <v>159</v>
      </c>
      <c r="D187" s="20">
        <v>43158</v>
      </c>
      <c r="E187" s="12"/>
      <c r="F187" s="12"/>
      <c r="G187" s="14"/>
      <c r="H187" s="14"/>
      <c r="I187" s="13">
        <v>48.5</v>
      </c>
      <c r="J187" s="14"/>
      <c r="K187" s="13">
        <v>49.3</v>
      </c>
      <c r="L187" s="14"/>
      <c r="M187" s="14"/>
      <c r="N187" s="14"/>
      <c r="O187" s="14"/>
      <c r="P187" s="14"/>
      <c r="Q187" s="14"/>
      <c r="R187" s="14"/>
      <c r="S187" s="14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3.2">
      <c r="A188" s="14"/>
      <c r="B188" s="5"/>
      <c r="C188" s="5">
        <v>166</v>
      </c>
      <c r="D188" s="20">
        <v>43165</v>
      </c>
      <c r="E188" s="12"/>
      <c r="F188" s="12"/>
      <c r="G188" s="14"/>
      <c r="H188" s="14"/>
      <c r="I188" s="13">
        <v>74.5</v>
      </c>
      <c r="J188" s="14"/>
      <c r="K188" s="13">
        <v>37.1</v>
      </c>
      <c r="L188" s="14"/>
      <c r="M188" s="14"/>
      <c r="N188" s="14"/>
      <c r="O188" s="14"/>
      <c r="P188" s="14"/>
      <c r="Q188" s="14"/>
      <c r="R188" s="14"/>
      <c r="S188" s="14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3.2">
      <c r="A189" s="14"/>
      <c r="B189" s="5"/>
      <c r="C189" s="5">
        <v>173</v>
      </c>
      <c r="D189" s="20">
        <v>43172</v>
      </c>
      <c r="E189" s="12"/>
      <c r="F189" s="12"/>
      <c r="G189" s="14"/>
      <c r="H189" s="14"/>
      <c r="I189" s="13">
        <v>74.400000000000006</v>
      </c>
      <c r="J189" s="14"/>
      <c r="K189" s="13">
        <v>27.7</v>
      </c>
      <c r="L189" s="14"/>
      <c r="M189" s="14"/>
      <c r="N189" s="14"/>
      <c r="O189" s="14"/>
      <c r="P189" s="14"/>
      <c r="Q189" s="14"/>
      <c r="R189" s="14"/>
      <c r="S189" s="14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3.2">
      <c r="A190" s="14"/>
      <c r="B190" s="5"/>
      <c r="C190" s="5"/>
      <c r="D190" s="14"/>
      <c r="E190" s="12"/>
      <c r="F190" s="12"/>
      <c r="G190" s="14"/>
      <c r="H190" s="14"/>
      <c r="I190" s="15"/>
      <c r="J190" s="14"/>
      <c r="K190" s="15"/>
      <c r="L190" s="14"/>
      <c r="M190" s="14"/>
      <c r="N190" s="14"/>
      <c r="O190" s="14"/>
      <c r="P190" s="14"/>
      <c r="Q190" s="14"/>
      <c r="R190" s="14"/>
      <c r="S190" s="14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3.2">
      <c r="A191" s="14"/>
      <c r="B191" s="5"/>
      <c r="C191" s="5"/>
      <c r="D191" s="14"/>
      <c r="E191" s="12"/>
      <c r="F191" s="12"/>
      <c r="G191" s="14"/>
      <c r="H191" s="14"/>
      <c r="I191" s="15"/>
      <c r="J191" s="14"/>
      <c r="K191" s="15"/>
      <c r="L191" s="14"/>
      <c r="M191" s="14"/>
      <c r="N191" s="14"/>
      <c r="O191" s="14"/>
      <c r="P191" s="14"/>
      <c r="Q191" s="14"/>
      <c r="R191" s="14"/>
      <c r="S191" s="14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3.2">
      <c r="A192" s="14"/>
      <c r="B192" s="5"/>
      <c r="C192" s="5"/>
      <c r="D192" s="14"/>
      <c r="E192" s="12"/>
      <c r="F192" s="12"/>
      <c r="G192" s="14"/>
      <c r="H192" s="14"/>
      <c r="I192" s="15"/>
      <c r="J192" s="14"/>
      <c r="K192" s="15"/>
      <c r="L192" s="14"/>
      <c r="M192" s="14"/>
      <c r="N192" s="14"/>
      <c r="O192" s="14"/>
      <c r="P192" s="14"/>
      <c r="Q192" s="14"/>
      <c r="R192" s="14"/>
      <c r="S192" s="14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26.4">
      <c r="A193" s="8" t="s">
        <v>47</v>
      </c>
      <c r="B193" s="5">
        <v>0</v>
      </c>
      <c r="C193" s="5">
        <v>0</v>
      </c>
      <c r="D193" s="9">
        <v>42992</v>
      </c>
      <c r="E193" s="10">
        <v>397.3</v>
      </c>
      <c r="F193" s="11" t="s">
        <v>21</v>
      </c>
      <c r="G193" s="12">
        <f>AVERAGE(F194:F210)</f>
        <v>5.3666666666666627</v>
      </c>
      <c r="H193" s="14"/>
      <c r="J193" s="13">
        <v>3.4</v>
      </c>
      <c r="K193" s="13">
        <v>23.2</v>
      </c>
      <c r="L193" s="14"/>
      <c r="M193" s="14"/>
      <c r="N193" s="14"/>
      <c r="O193" s="12">
        <f>E198-E205</f>
        <v>72.699999999999989</v>
      </c>
      <c r="P193" s="12">
        <f>SUM(O193:O200)-104.4</f>
        <v>179.39999999999995</v>
      </c>
      <c r="R193" s="14"/>
      <c r="S193" s="15">
        <f>I198-I204</f>
        <v>35.6</v>
      </c>
      <c r="T193" s="7">
        <f>SUM(S193:S198)*5.24</f>
        <v>1255.5039999999999</v>
      </c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3.2">
      <c r="A194" s="5" t="s">
        <v>23</v>
      </c>
      <c r="B194" s="5">
        <v>0</v>
      </c>
      <c r="C194" s="5">
        <v>0</v>
      </c>
      <c r="D194" s="9">
        <v>42993</v>
      </c>
      <c r="E194" s="10">
        <v>390.9</v>
      </c>
      <c r="F194" s="12">
        <f>E193-E194</f>
        <v>6.4000000000000341</v>
      </c>
      <c r="G194" s="14"/>
      <c r="H194" s="14"/>
      <c r="I194" s="13">
        <v>59.5</v>
      </c>
      <c r="J194" s="15">
        <f t="shared" ref="J194:J196" si="45">(I194-I195)/(D195-D194)</f>
        <v>4.166666666666667</v>
      </c>
      <c r="K194" s="13">
        <v>22.5</v>
      </c>
      <c r="L194" s="14"/>
      <c r="M194" s="14"/>
      <c r="N194" s="14"/>
      <c r="O194" s="12">
        <f>E206-E208</f>
        <v>24.199999999999989</v>
      </c>
      <c r="P194" s="14"/>
      <c r="R194" s="14"/>
      <c r="S194" s="15">
        <f>I206-I208</f>
        <v>14.7</v>
      </c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3.2">
      <c r="A195" s="14"/>
      <c r="B195" s="5">
        <v>0</v>
      </c>
      <c r="C195" s="5">
        <v>0</v>
      </c>
      <c r="D195" s="9">
        <v>42996</v>
      </c>
      <c r="E195" s="10">
        <v>376.5</v>
      </c>
      <c r="F195" s="12">
        <f t="shared" ref="F195:F197" si="46">(E194-E195)/(D195-D194)</f>
        <v>4.7999999999999927</v>
      </c>
      <c r="G195" s="14"/>
      <c r="H195" s="14"/>
      <c r="I195" s="13">
        <v>47</v>
      </c>
      <c r="J195" s="15">
        <f t="shared" si="45"/>
        <v>3.8999999999999986</v>
      </c>
      <c r="K195" s="13">
        <v>23.1</v>
      </c>
      <c r="L195" s="14"/>
      <c r="M195" s="14"/>
      <c r="N195" s="14"/>
      <c r="O195" s="12">
        <f>E209-E212</f>
        <v>35.199999999999989</v>
      </c>
      <c r="P195" s="14"/>
      <c r="R195" s="14"/>
      <c r="S195" s="15">
        <f>55.8-I211</f>
        <v>15.799999999999997</v>
      </c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3.2">
      <c r="A196" s="14"/>
      <c r="B196" s="5">
        <v>0</v>
      </c>
      <c r="C196" s="5">
        <v>0</v>
      </c>
      <c r="D196" s="9">
        <v>42998</v>
      </c>
      <c r="E196" s="10">
        <v>367.2</v>
      </c>
      <c r="F196" s="12">
        <f t="shared" si="46"/>
        <v>4.6500000000000057</v>
      </c>
      <c r="G196" s="14"/>
      <c r="H196" s="14"/>
      <c r="I196" s="13">
        <v>39.200000000000003</v>
      </c>
      <c r="J196" s="14">
        <f t="shared" si="45"/>
        <v>4.1000000000000014</v>
      </c>
      <c r="K196" s="13">
        <v>23.4</v>
      </c>
      <c r="L196" s="14"/>
      <c r="M196" s="14"/>
      <c r="N196" s="14"/>
      <c r="O196" s="12">
        <f>E213-E216</f>
        <v>38.199999999999989</v>
      </c>
      <c r="P196" s="14"/>
      <c r="R196" s="14"/>
      <c r="S196" s="15">
        <f>88.5-I219</f>
        <v>40.799999999999997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3.2">
      <c r="A197" s="14"/>
      <c r="B197" s="5">
        <v>0</v>
      </c>
      <c r="C197" s="5">
        <v>0</v>
      </c>
      <c r="D197" s="17">
        <v>42999</v>
      </c>
      <c r="E197" s="10">
        <v>360.3</v>
      </c>
      <c r="F197" s="12">
        <f t="shared" si="46"/>
        <v>6.8999999999999773</v>
      </c>
      <c r="G197" s="14"/>
      <c r="H197" s="14"/>
      <c r="I197" s="13">
        <v>35.1</v>
      </c>
      <c r="J197" s="14">
        <f>(I196-I197)/(D197-D196)</f>
        <v>4.1000000000000014</v>
      </c>
      <c r="K197" s="13">
        <v>23.9</v>
      </c>
      <c r="L197" s="14"/>
      <c r="M197" s="14"/>
      <c r="N197" s="14"/>
      <c r="O197" s="12">
        <f>E217-E220</f>
        <v>30</v>
      </c>
      <c r="P197" s="14"/>
      <c r="R197" s="14"/>
      <c r="S197" s="15">
        <f>99.6-I231</f>
        <v>65.699999999999989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3.2">
      <c r="A198" s="14"/>
      <c r="B198" s="5">
        <v>0.5</v>
      </c>
      <c r="C198" s="5">
        <v>0</v>
      </c>
      <c r="D198" s="17">
        <v>42999</v>
      </c>
      <c r="E198" s="10">
        <v>347.2</v>
      </c>
      <c r="F198" s="12"/>
      <c r="G198" s="14"/>
      <c r="H198" s="14"/>
      <c r="I198" s="13">
        <v>49</v>
      </c>
      <c r="J198" s="14"/>
      <c r="K198" s="13"/>
      <c r="L198" s="14"/>
      <c r="M198" s="14"/>
      <c r="N198" s="14"/>
      <c r="O198" s="12">
        <f>E221-E224</f>
        <v>28.599999999999966</v>
      </c>
      <c r="P198" s="14"/>
      <c r="R198" s="14"/>
      <c r="S198" s="15">
        <f>96.6-I245</f>
        <v>67</v>
      </c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3.2">
      <c r="A199" s="14"/>
      <c r="B199" s="5">
        <v>0.5</v>
      </c>
      <c r="C199" s="5">
        <f t="shared" ref="C199:C252" si="47">D199-$D$7</f>
        <v>1</v>
      </c>
      <c r="D199" s="17">
        <v>43000</v>
      </c>
      <c r="E199" s="10">
        <v>343.3</v>
      </c>
      <c r="F199" s="12">
        <f t="shared" ref="F199:F202" si="48">(E198-E199)/(D199-D198)</f>
        <v>3.8999999999999773</v>
      </c>
      <c r="G199" s="14"/>
      <c r="H199" s="14"/>
      <c r="I199" s="13">
        <v>44.7</v>
      </c>
      <c r="J199" s="14">
        <f t="shared" ref="J199:J201" si="49">(I198-I199)/(D199-D198)</f>
        <v>4.2999999999999972</v>
      </c>
      <c r="K199" s="13">
        <v>24.9</v>
      </c>
      <c r="L199" s="14"/>
      <c r="M199" s="14"/>
      <c r="N199" s="14"/>
      <c r="O199" s="12">
        <f>E225-E228</f>
        <v>28.100000000000023</v>
      </c>
      <c r="P199" s="14"/>
      <c r="Q199" s="14"/>
      <c r="R199" s="14"/>
      <c r="S199" s="14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3.2">
      <c r="A200" s="14"/>
      <c r="B200" s="5">
        <v>0.5</v>
      </c>
      <c r="C200" s="5">
        <f t="shared" si="47"/>
        <v>4</v>
      </c>
      <c r="D200" s="9">
        <v>43003</v>
      </c>
      <c r="E200" s="10">
        <v>328.9</v>
      </c>
      <c r="F200" s="12">
        <f t="shared" si="48"/>
        <v>4.8000000000000114</v>
      </c>
      <c r="G200" s="14"/>
      <c r="H200" s="14"/>
      <c r="I200" s="13">
        <v>35.299999999999997</v>
      </c>
      <c r="J200" s="15">
        <f t="shared" si="49"/>
        <v>3.1333333333333351</v>
      </c>
      <c r="K200" s="13">
        <v>26.5</v>
      </c>
      <c r="L200" s="14"/>
      <c r="M200" s="14"/>
      <c r="N200" s="14"/>
      <c r="O200" s="12">
        <f>E229-E233</f>
        <v>26.800000000000011</v>
      </c>
      <c r="P200" s="14"/>
      <c r="Q200" s="14"/>
      <c r="R200" s="14"/>
      <c r="S200" s="14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3.2">
      <c r="A201" s="14"/>
      <c r="B201" s="5">
        <v>1</v>
      </c>
      <c r="C201" s="5">
        <f t="shared" si="47"/>
        <v>6</v>
      </c>
      <c r="D201" s="9">
        <v>43005</v>
      </c>
      <c r="E201" s="10">
        <v>322.3</v>
      </c>
      <c r="F201" s="12">
        <f t="shared" si="48"/>
        <v>3.2999999999999829</v>
      </c>
      <c r="G201" s="14"/>
      <c r="H201" s="14"/>
      <c r="I201" s="13">
        <v>30.3</v>
      </c>
      <c r="J201" s="14">
        <f t="shared" si="49"/>
        <v>2.4999999999999982</v>
      </c>
      <c r="K201" s="18">
        <v>26</v>
      </c>
      <c r="L201" s="14"/>
      <c r="M201" s="14"/>
      <c r="N201" s="14"/>
      <c r="O201" s="14"/>
      <c r="P201" s="14"/>
      <c r="Q201" s="14"/>
      <c r="R201" s="14"/>
      <c r="S201" s="14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3.2">
      <c r="A202" s="14"/>
      <c r="B202" s="5">
        <v>1</v>
      </c>
      <c r="C202" s="5">
        <f t="shared" si="47"/>
        <v>8</v>
      </c>
      <c r="D202" s="9">
        <v>43007</v>
      </c>
      <c r="E202" s="10">
        <v>313.2</v>
      </c>
      <c r="F202" s="12">
        <f t="shared" si="48"/>
        <v>4.5500000000000114</v>
      </c>
      <c r="G202" s="14"/>
      <c r="H202" s="14"/>
      <c r="I202" s="13">
        <v>25.3</v>
      </c>
      <c r="J202" s="14">
        <f>(I201-I203)/(D202-D201)</f>
        <v>6.15</v>
      </c>
      <c r="K202" s="13">
        <v>26.3</v>
      </c>
      <c r="L202" s="14"/>
      <c r="M202" s="14"/>
      <c r="N202" s="14"/>
      <c r="O202" s="14"/>
      <c r="P202" s="14"/>
      <c r="Q202" s="14"/>
      <c r="R202" s="14"/>
      <c r="S202" s="14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3.2">
      <c r="A203" s="14"/>
      <c r="B203" s="5">
        <v>1</v>
      </c>
      <c r="C203" s="5">
        <f t="shared" si="47"/>
        <v>11</v>
      </c>
      <c r="D203" s="19">
        <v>43010</v>
      </c>
      <c r="E203" s="10">
        <v>297.7</v>
      </c>
      <c r="F203" s="12">
        <f t="shared" ref="F203:F204" si="50">(E203-E204)/(D203-D202)</f>
        <v>5.166666666666667</v>
      </c>
      <c r="G203" s="14"/>
      <c r="H203" s="14"/>
      <c r="I203" s="13">
        <v>18</v>
      </c>
      <c r="J203" s="16">
        <f>(I203-I204)/(D203-D202)</f>
        <v>1.5333333333333332</v>
      </c>
      <c r="K203" s="13">
        <v>26.5</v>
      </c>
      <c r="L203" s="14"/>
      <c r="M203" s="14"/>
      <c r="N203" s="14"/>
      <c r="O203" s="14"/>
      <c r="P203" s="14"/>
      <c r="Q203" s="14"/>
      <c r="R203" s="14"/>
      <c r="S203" s="14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3.2">
      <c r="A204" s="14"/>
      <c r="B204" s="5">
        <v>1</v>
      </c>
      <c r="C204" s="5">
        <f t="shared" si="47"/>
        <v>13</v>
      </c>
      <c r="D204" s="19">
        <v>43012</v>
      </c>
      <c r="E204" s="11">
        <v>282.2</v>
      </c>
      <c r="F204" s="12">
        <f t="shared" si="50"/>
        <v>3.8499999999999943</v>
      </c>
      <c r="G204" s="14"/>
      <c r="H204" s="14"/>
      <c r="I204" s="13">
        <v>13.4</v>
      </c>
      <c r="J204" s="14">
        <f>(I203-I204)/(D204-D203)</f>
        <v>2.2999999999999998</v>
      </c>
      <c r="K204" s="13">
        <v>26.6</v>
      </c>
      <c r="L204" s="14"/>
      <c r="M204" s="14"/>
      <c r="N204" s="14"/>
      <c r="O204" s="14"/>
      <c r="P204" s="14"/>
      <c r="Q204" s="14"/>
      <c r="R204" s="14"/>
      <c r="S204" s="14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3.2">
      <c r="A205" s="14"/>
      <c r="B205" s="5">
        <v>2</v>
      </c>
      <c r="C205" s="5">
        <f t="shared" si="47"/>
        <v>14</v>
      </c>
      <c r="D205" s="20">
        <v>43013</v>
      </c>
      <c r="E205" s="11">
        <v>274.5</v>
      </c>
      <c r="F205" s="11"/>
      <c r="G205" s="14"/>
      <c r="H205" s="14"/>
      <c r="I205" s="13"/>
      <c r="J205" s="14"/>
      <c r="K205" s="13"/>
      <c r="L205" s="14"/>
      <c r="M205" s="14"/>
      <c r="N205" s="14"/>
      <c r="O205" s="14"/>
      <c r="P205" s="14"/>
      <c r="Q205" s="14"/>
      <c r="R205" s="14"/>
      <c r="S205" s="14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3.2">
      <c r="A206" s="14"/>
      <c r="B206" s="5">
        <v>2</v>
      </c>
      <c r="C206" s="5">
        <f t="shared" si="47"/>
        <v>15</v>
      </c>
      <c r="D206" s="20">
        <v>43014</v>
      </c>
      <c r="E206" s="11">
        <v>385.5</v>
      </c>
      <c r="F206" s="12">
        <f>(393.7-E206)/(D206-D205)</f>
        <v>8.1999999999999886</v>
      </c>
      <c r="G206" s="14"/>
      <c r="H206" s="14"/>
      <c r="I206" s="13">
        <v>41.5</v>
      </c>
      <c r="J206" s="14">
        <f>(47.9-I206)/(D206-D204)</f>
        <v>3.1999999999999993</v>
      </c>
      <c r="K206" s="13">
        <v>28</v>
      </c>
      <c r="L206" s="14"/>
      <c r="M206" s="14"/>
      <c r="N206" s="14"/>
      <c r="O206" s="14"/>
      <c r="P206" s="14"/>
      <c r="Q206" s="14"/>
      <c r="R206" s="14"/>
      <c r="S206" s="14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3.2">
      <c r="A207" s="14"/>
      <c r="B207" s="5">
        <v>2</v>
      </c>
      <c r="C207" s="5">
        <f t="shared" si="47"/>
        <v>18</v>
      </c>
      <c r="D207" s="20">
        <v>43017</v>
      </c>
      <c r="E207" s="11">
        <v>373.2</v>
      </c>
      <c r="F207" s="12">
        <f>(E207-E208)/(D207-D206)</f>
        <v>3.9666666666666592</v>
      </c>
      <c r="G207" s="14"/>
      <c r="H207" s="14"/>
      <c r="I207" s="13">
        <v>32.5</v>
      </c>
      <c r="J207" s="15">
        <f t="shared" ref="J207:J208" si="51">(I206-I207)/(D207-D206)</f>
        <v>3</v>
      </c>
      <c r="K207" s="13">
        <v>29.4</v>
      </c>
      <c r="L207" s="14"/>
      <c r="M207" s="14"/>
      <c r="N207" s="14"/>
      <c r="O207" s="14"/>
      <c r="P207" s="14"/>
      <c r="Q207" s="14"/>
      <c r="R207" s="14"/>
      <c r="S207" s="14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3.2">
      <c r="A208" s="14"/>
      <c r="B208" s="5">
        <v>2</v>
      </c>
      <c r="C208" s="5">
        <f t="shared" si="47"/>
        <v>20</v>
      </c>
      <c r="D208" s="20">
        <v>43019</v>
      </c>
      <c r="E208" s="11">
        <v>361.3</v>
      </c>
      <c r="F208" s="12">
        <f>(E207-E208)/(D208-D207)</f>
        <v>5.9499999999999886</v>
      </c>
      <c r="G208" s="14"/>
      <c r="H208" s="14"/>
      <c r="I208" s="13">
        <v>26.8</v>
      </c>
      <c r="J208" s="14">
        <f t="shared" si="51"/>
        <v>2.8499999999999996</v>
      </c>
      <c r="K208" s="13">
        <v>30</v>
      </c>
      <c r="L208" s="14"/>
      <c r="M208" s="14"/>
      <c r="N208" s="14"/>
      <c r="O208" s="14"/>
      <c r="P208" s="14"/>
      <c r="Q208" s="14"/>
      <c r="R208" s="14"/>
      <c r="S208" s="14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3.2">
      <c r="A209" s="14"/>
      <c r="B209" s="5">
        <v>3</v>
      </c>
      <c r="C209" s="5">
        <f t="shared" si="47"/>
        <v>21</v>
      </c>
      <c r="D209" s="20">
        <v>43020</v>
      </c>
      <c r="E209" s="11">
        <v>378.2</v>
      </c>
      <c r="F209" s="12"/>
      <c r="G209" s="14"/>
      <c r="H209" s="14"/>
      <c r="I209" s="13"/>
      <c r="J209" s="14"/>
      <c r="K209" s="13"/>
      <c r="L209" s="14"/>
      <c r="M209" s="14"/>
      <c r="N209" s="14"/>
      <c r="O209" s="14"/>
      <c r="P209" s="14"/>
      <c r="Q209" s="14"/>
      <c r="R209" s="14"/>
      <c r="S209" s="14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3.2">
      <c r="A210" s="14"/>
      <c r="B210" s="5">
        <v>3</v>
      </c>
      <c r="C210" s="5">
        <f t="shared" si="47"/>
        <v>22</v>
      </c>
      <c r="D210" s="20">
        <f>D208+2</f>
        <v>43021</v>
      </c>
      <c r="E210" s="11">
        <v>369.5</v>
      </c>
      <c r="F210" s="12">
        <f t="shared" ref="F210:F212" si="52">(E209-E210)/(D210-D209)</f>
        <v>8.6999999999999886</v>
      </c>
      <c r="G210" s="14"/>
      <c r="H210" s="14"/>
      <c r="I210" s="13">
        <v>48.6</v>
      </c>
      <c r="J210" s="14">
        <f t="shared" ref="J210:J211" si="53">(55.8-I210)/(D210-D208)</f>
        <v>3.5999999999999979</v>
      </c>
      <c r="K210" s="13">
        <v>30.7</v>
      </c>
      <c r="L210" s="14"/>
      <c r="M210" s="14"/>
      <c r="N210" s="14"/>
      <c r="O210" s="14"/>
      <c r="P210" s="14"/>
      <c r="Q210" s="14"/>
      <c r="R210" s="14"/>
      <c r="S210" s="14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3.2">
      <c r="A211" s="14"/>
      <c r="B211" s="5">
        <v>3</v>
      </c>
      <c r="C211" s="5">
        <f t="shared" si="47"/>
        <v>25</v>
      </c>
      <c r="D211" s="20">
        <f>D210+3</f>
        <v>43024</v>
      </c>
      <c r="E211" s="11">
        <v>355.4</v>
      </c>
      <c r="F211" s="12">
        <f t="shared" si="52"/>
        <v>4.7000000000000073</v>
      </c>
      <c r="G211" s="14"/>
      <c r="H211" s="14"/>
      <c r="I211" s="13">
        <v>40</v>
      </c>
      <c r="J211" s="14">
        <f t="shared" si="53"/>
        <v>3.9499999999999993</v>
      </c>
      <c r="K211" s="13">
        <v>31.5</v>
      </c>
      <c r="L211" s="14"/>
      <c r="M211" s="14"/>
      <c r="N211" s="14"/>
      <c r="O211" s="14"/>
      <c r="P211" s="14"/>
      <c r="Q211" s="14"/>
      <c r="R211" s="14"/>
      <c r="S211" s="14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3.2">
      <c r="A212" s="14"/>
      <c r="B212" s="5">
        <v>3</v>
      </c>
      <c r="C212" s="5">
        <f t="shared" si="47"/>
        <v>27</v>
      </c>
      <c r="D212" s="20">
        <f>D211+2</f>
        <v>43026</v>
      </c>
      <c r="E212" s="11">
        <v>343</v>
      </c>
      <c r="F212" s="12">
        <f t="shared" si="52"/>
        <v>6.1999999999999886</v>
      </c>
      <c r="G212" s="14"/>
      <c r="H212" s="14"/>
      <c r="I212" s="13">
        <v>81.3</v>
      </c>
      <c r="J212" s="14">
        <f>(88.5-I212)/(D212-D211)</f>
        <v>3.6000000000000014</v>
      </c>
      <c r="K212" s="13">
        <v>32.1</v>
      </c>
      <c r="L212" s="14"/>
      <c r="M212" s="14"/>
      <c r="N212" s="14"/>
      <c r="O212" s="14"/>
      <c r="P212" s="14"/>
      <c r="Q212" s="14"/>
      <c r="R212" s="14"/>
      <c r="S212" s="14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3.2">
      <c r="A213" s="14"/>
      <c r="B213" s="5">
        <v>4</v>
      </c>
      <c r="C213" s="5">
        <f t="shared" si="47"/>
        <v>28</v>
      </c>
      <c r="D213" s="20">
        <v>43027</v>
      </c>
      <c r="E213" s="11">
        <v>391.3</v>
      </c>
      <c r="F213" s="12"/>
      <c r="G213" s="14"/>
      <c r="H213" s="14"/>
      <c r="I213" s="15"/>
      <c r="J213" s="14"/>
      <c r="K213" s="15"/>
      <c r="L213" s="14"/>
      <c r="M213" s="14"/>
      <c r="N213" s="14"/>
      <c r="O213" s="14"/>
      <c r="P213" s="14"/>
      <c r="Q213" s="14"/>
      <c r="R213" s="14"/>
      <c r="S213" s="14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3.2">
      <c r="A214" s="14"/>
      <c r="B214" s="5">
        <v>4</v>
      </c>
      <c r="C214" s="5">
        <f t="shared" si="47"/>
        <v>29</v>
      </c>
      <c r="D214" s="20">
        <f>D212+2</f>
        <v>43028</v>
      </c>
      <c r="E214" s="11">
        <v>384.7</v>
      </c>
      <c r="F214" s="12">
        <f t="shared" ref="F214:F216" si="54">(E213-E214)/(D214-D213)</f>
        <v>6.6000000000000227</v>
      </c>
      <c r="G214" s="14"/>
      <c r="H214" s="14"/>
      <c r="I214" s="13">
        <v>74.7</v>
      </c>
      <c r="J214" s="14">
        <f>(I212-I214)/(D214-D212)</f>
        <v>3.2999999999999972</v>
      </c>
      <c r="K214" s="13">
        <v>32.9</v>
      </c>
      <c r="L214" s="14"/>
      <c r="M214" s="14"/>
      <c r="N214" s="14"/>
      <c r="O214" s="14"/>
      <c r="P214" s="14"/>
      <c r="Q214" s="14"/>
      <c r="R214" s="14"/>
      <c r="S214" s="14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3.2">
      <c r="A215" s="14"/>
      <c r="B215" s="5">
        <v>4</v>
      </c>
      <c r="C215" s="5">
        <f t="shared" si="47"/>
        <v>32</v>
      </c>
      <c r="D215" s="20">
        <v>43031</v>
      </c>
      <c r="E215" s="11">
        <v>369.5</v>
      </c>
      <c r="F215" s="12">
        <f t="shared" si="54"/>
        <v>5.0666666666666629</v>
      </c>
      <c r="G215" s="14"/>
      <c r="H215" s="14"/>
      <c r="I215" s="13">
        <v>65.7</v>
      </c>
      <c r="J215" s="15">
        <f t="shared" ref="J215:J216" si="55">(I214-I215)/(D215-D214)</f>
        <v>3</v>
      </c>
      <c r="K215" s="13">
        <v>34</v>
      </c>
      <c r="L215" s="14"/>
      <c r="M215" s="14"/>
      <c r="N215" s="14"/>
      <c r="O215" s="14"/>
      <c r="P215" s="14"/>
      <c r="Q215" s="14"/>
      <c r="R215" s="14"/>
      <c r="S215" s="14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3.2">
      <c r="A216" s="14"/>
      <c r="B216" s="5">
        <v>4</v>
      </c>
      <c r="C216" s="5">
        <f t="shared" si="47"/>
        <v>34</v>
      </c>
      <c r="D216" s="20">
        <v>43033</v>
      </c>
      <c r="E216" s="11">
        <v>353.1</v>
      </c>
      <c r="F216" s="12">
        <f t="shared" si="54"/>
        <v>8.1999999999999886</v>
      </c>
      <c r="G216" s="14"/>
      <c r="H216" s="14"/>
      <c r="I216" s="13">
        <v>60.7</v>
      </c>
      <c r="J216" s="14">
        <f t="shared" si="55"/>
        <v>2.5</v>
      </c>
      <c r="K216" s="13">
        <v>34</v>
      </c>
      <c r="L216" s="14"/>
      <c r="M216" s="14"/>
      <c r="N216" s="14"/>
      <c r="O216" s="14"/>
      <c r="P216" s="14"/>
      <c r="Q216" s="14"/>
      <c r="R216" s="14"/>
      <c r="S216" s="14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3.2">
      <c r="A217" s="14"/>
      <c r="B217" s="5">
        <v>5</v>
      </c>
      <c r="C217" s="5">
        <f t="shared" si="47"/>
        <v>35</v>
      </c>
      <c r="D217" s="20">
        <v>43034</v>
      </c>
      <c r="E217" s="11">
        <v>374.3</v>
      </c>
      <c r="F217" s="12"/>
      <c r="G217" s="14"/>
      <c r="H217" s="14"/>
      <c r="I217" s="15"/>
      <c r="J217" s="14"/>
      <c r="K217" s="15"/>
      <c r="L217" s="14"/>
      <c r="M217" s="14"/>
      <c r="N217" s="14"/>
      <c r="O217" s="14"/>
      <c r="P217" s="14"/>
      <c r="Q217" s="14"/>
      <c r="R217" s="14"/>
      <c r="S217" s="14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3.2">
      <c r="A218" s="14"/>
      <c r="B218" s="5">
        <v>5</v>
      </c>
      <c r="C218" s="5">
        <f t="shared" si="47"/>
        <v>36</v>
      </c>
      <c r="D218" s="20">
        <v>43035</v>
      </c>
      <c r="E218" s="11">
        <v>369.5</v>
      </c>
      <c r="F218" s="12">
        <f t="shared" ref="F218:F220" si="56">(E217-E218)/(D218-D217)</f>
        <v>4.8000000000000114</v>
      </c>
      <c r="G218" s="14"/>
      <c r="H218" s="14"/>
      <c r="I218" s="13">
        <v>55.7</v>
      </c>
      <c r="J218" s="14">
        <f>(I216-I218)/(D218-D216)</f>
        <v>2.5</v>
      </c>
      <c r="K218" s="13">
        <v>34.200000000000003</v>
      </c>
      <c r="L218" s="14"/>
      <c r="M218" s="14"/>
      <c r="N218" s="14"/>
      <c r="O218" s="14"/>
      <c r="P218" s="14"/>
      <c r="Q218" s="14"/>
      <c r="R218" s="14"/>
      <c r="S218" s="14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3.2">
      <c r="A219" s="14"/>
      <c r="B219" s="5">
        <v>5</v>
      </c>
      <c r="C219" s="5">
        <f t="shared" si="47"/>
        <v>39</v>
      </c>
      <c r="D219" s="20">
        <v>43038</v>
      </c>
      <c r="E219" s="11">
        <v>353.4</v>
      </c>
      <c r="F219" s="12">
        <f t="shared" si="56"/>
        <v>5.3666666666666742</v>
      </c>
      <c r="G219" s="14"/>
      <c r="H219" s="14"/>
      <c r="I219" s="13">
        <v>47.7</v>
      </c>
      <c r="J219" s="16">
        <f>(I218-I219)/(D219-D218)</f>
        <v>2.6666666666666665</v>
      </c>
      <c r="K219" s="13">
        <v>34.799999999999997</v>
      </c>
      <c r="L219" s="14"/>
      <c r="M219" s="14"/>
      <c r="N219" s="14"/>
      <c r="O219" s="14"/>
      <c r="P219" s="14"/>
      <c r="Q219" s="14"/>
      <c r="R219" s="14"/>
      <c r="S219" s="14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3.2">
      <c r="A220" s="14"/>
      <c r="B220" s="5">
        <v>5</v>
      </c>
      <c r="C220" s="5">
        <f t="shared" si="47"/>
        <v>41</v>
      </c>
      <c r="D220" s="20">
        <v>43040</v>
      </c>
      <c r="E220" s="11">
        <v>344.3</v>
      </c>
      <c r="F220" s="12">
        <f t="shared" si="56"/>
        <v>4.5499999999999829</v>
      </c>
      <c r="G220" s="14"/>
      <c r="H220" s="14"/>
      <c r="I220" s="13">
        <v>92.7</v>
      </c>
      <c r="J220" s="16">
        <f>(99.6-I220)/(D220-D219)</f>
        <v>3.4499999999999957</v>
      </c>
      <c r="K220" s="13">
        <v>35.799999999999997</v>
      </c>
      <c r="L220" s="14"/>
      <c r="M220" s="14"/>
      <c r="N220" s="14"/>
      <c r="O220" s="14"/>
      <c r="P220" s="14"/>
      <c r="Q220" s="14"/>
      <c r="R220" s="14"/>
      <c r="S220" s="14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3.2">
      <c r="A221" s="14"/>
      <c r="B221" s="5">
        <v>6</v>
      </c>
      <c r="C221" s="5">
        <f t="shared" si="47"/>
        <v>42</v>
      </c>
      <c r="D221" s="20">
        <v>43041</v>
      </c>
      <c r="E221" s="11">
        <v>392.4</v>
      </c>
      <c r="F221" s="12"/>
      <c r="G221" s="14"/>
      <c r="H221" s="14"/>
      <c r="I221" s="15"/>
      <c r="J221" s="16"/>
      <c r="K221" s="15"/>
      <c r="L221" s="14"/>
      <c r="M221" s="14"/>
      <c r="N221" s="14"/>
      <c r="O221" s="14"/>
      <c r="P221" s="14"/>
      <c r="Q221" s="14"/>
      <c r="R221" s="14"/>
      <c r="S221" s="14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3.2">
      <c r="A222" s="14"/>
      <c r="B222" s="5">
        <v>6</v>
      </c>
      <c r="C222" s="5">
        <f t="shared" si="47"/>
        <v>43</v>
      </c>
      <c r="D222" s="20">
        <v>43042</v>
      </c>
      <c r="E222" s="11">
        <v>386.4</v>
      </c>
      <c r="F222" s="12">
        <f t="shared" ref="F222:F224" si="57">(E221-E222)/(D222-D221)</f>
        <v>6</v>
      </c>
      <c r="G222" s="14"/>
      <c r="H222" s="14"/>
      <c r="I222" s="13">
        <v>86.9</v>
      </c>
      <c r="J222" s="16">
        <f>(I220-I222)/(D222-D220)</f>
        <v>2.8999999999999986</v>
      </c>
      <c r="K222" s="13">
        <v>36.5</v>
      </c>
      <c r="L222" s="14"/>
      <c r="M222" s="14"/>
      <c r="N222" s="14"/>
      <c r="O222" s="14"/>
      <c r="P222" s="14"/>
      <c r="Q222" s="14"/>
      <c r="R222" s="14"/>
      <c r="S222" s="14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3.2">
      <c r="A223" s="14"/>
      <c r="B223" s="5">
        <v>6</v>
      </c>
      <c r="C223" s="5">
        <f t="shared" si="47"/>
        <v>46</v>
      </c>
      <c r="D223" s="20">
        <v>43045</v>
      </c>
      <c r="E223" s="11">
        <v>372.4</v>
      </c>
      <c r="F223" s="12">
        <f t="shared" si="57"/>
        <v>4.666666666666667</v>
      </c>
      <c r="G223" s="14"/>
      <c r="H223" s="14"/>
      <c r="I223" s="13">
        <v>77.5</v>
      </c>
      <c r="J223" s="16">
        <f t="shared" ref="J223:J224" si="58">(I222-I223)/(D223-D222)</f>
        <v>3.1333333333333351</v>
      </c>
      <c r="K223" s="13">
        <v>38.1</v>
      </c>
      <c r="L223" s="14"/>
      <c r="M223" s="14"/>
      <c r="N223" s="14"/>
      <c r="O223" s="14"/>
      <c r="P223" s="14"/>
      <c r="Q223" s="14"/>
      <c r="R223" s="14"/>
      <c r="S223" s="14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3.2">
      <c r="A224" s="14"/>
      <c r="B224" s="5">
        <v>6</v>
      </c>
      <c r="C224" s="5">
        <f t="shared" si="47"/>
        <v>48</v>
      </c>
      <c r="D224" s="20">
        <v>43047</v>
      </c>
      <c r="E224" s="11">
        <v>363.8</v>
      </c>
      <c r="F224" s="12">
        <f t="shared" si="57"/>
        <v>4.2999999999999829</v>
      </c>
      <c r="G224" s="14"/>
      <c r="H224" s="14"/>
      <c r="I224" s="13">
        <v>69.599999999999994</v>
      </c>
      <c r="J224" s="16">
        <f t="shared" si="58"/>
        <v>3.9500000000000028</v>
      </c>
      <c r="K224" s="13">
        <v>38.200000000000003</v>
      </c>
      <c r="L224" s="14"/>
      <c r="M224" s="14"/>
      <c r="N224" s="14"/>
      <c r="O224" s="14"/>
      <c r="P224" s="14"/>
      <c r="Q224" s="14"/>
      <c r="R224" s="14"/>
      <c r="S224" s="14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3.2">
      <c r="A225" s="14"/>
      <c r="B225" s="5">
        <v>7</v>
      </c>
      <c r="C225" s="5">
        <f t="shared" si="47"/>
        <v>49</v>
      </c>
      <c r="D225" s="20">
        <v>43048</v>
      </c>
      <c r="E225" s="11">
        <v>403.5</v>
      </c>
      <c r="F225" s="12"/>
      <c r="G225" s="14"/>
      <c r="H225" s="14"/>
      <c r="I225" s="15"/>
      <c r="J225" s="16"/>
      <c r="K225" s="15"/>
      <c r="L225" s="14"/>
      <c r="M225" s="14"/>
      <c r="N225" s="14"/>
      <c r="O225" s="14"/>
      <c r="P225" s="14"/>
      <c r="Q225" s="14"/>
      <c r="R225" s="14"/>
      <c r="S225" s="14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3.2">
      <c r="A226" s="14"/>
      <c r="B226" s="5">
        <v>7</v>
      </c>
      <c r="C226" s="5">
        <f t="shared" si="47"/>
        <v>50</v>
      </c>
      <c r="D226" s="20">
        <v>43049</v>
      </c>
      <c r="E226" s="11">
        <v>397</v>
      </c>
      <c r="F226" s="12">
        <f t="shared" ref="F226:F228" si="59">(E225-E226)/(D226-D225)</f>
        <v>6.5</v>
      </c>
      <c r="G226" s="14"/>
      <c r="H226" s="14"/>
      <c r="I226" s="13">
        <v>62.9</v>
      </c>
      <c r="J226" s="16">
        <f>(I224-I226)/(D226-D224)</f>
        <v>3.3499999999999979</v>
      </c>
      <c r="K226" s="13">
        <v>39.1</v>
      </c>
      <c r="L226" s="14"/>
      <c r="M226" s="14"/>
      <c r="N226" s="14"/>
      <c r="O226" s="14"/>
      <c r="P226" s="14"/>
      <c r="Q226" s="14"/>
      <c r="R226" s="14"/>
      <c r="S226" s="14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3.2">
      <c r="A227" s="14"/>
      <c r="B227" s="5">
        <v>7</v>
      </c>
      <c r="C227" s="5">
        <f t="shared" si="47"/>
        <v>53</v>
      </c>
      <c r="D227" s="20">
        <v>43052</v>
      </c>
      <c r="E227" s="11">
        <v>384.2</v>
      </c>
      <c r="F227" s="12">
        <f t="shared" si="59"/>
        <v>4.2666666666666702</v>
      </c>
      <c r="G227" s="14"/>
      <c r="H227" s="14"/>
      <c r="I227" s="13">
        <v>54.4</v>
      </c>
      <c r="J227" s="16">
        <f t="shared" ref="J227:J228" si="60">(I226-I227)/(D227-D226)</f>
        <v>2.8333333333333335</v>
      </c>
      <c r="K227" s="13">
        <v>40</v>
      </c>
      <c r="L227" s="14"/>
      <c r="M227" s="14"/>
      <c r="N227" s="14"/>
      <c r="O227" s="14"/>
      <c r="P227" s="14"/>
      <c r="Q227" s="14"/>
      <c r="R227" s="14"/>
      <c r="S227" s="14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3.2">
      <c r="A228" s="14"/>
      <c r="B228" s="5">
        <v>7</v>
      </c>
      <c r="C228" s="5">
        <f t="shared" si="47"/>
        <v>55</v>
      </c>
      <c r="D228" s="20">
        <v>43054</v>
      </c>
      <c r="E228" s="11">
        <v>375.4</v>
      </c>
      <c r="F228" s="12">
        <f t="shared" si="59"/>
        <v>4.4000000000000057</v>
      </c>
      <c r="G228" s="14"/>
      <c r="H228" s="14"/>
      <c r="I228" s="13">
        <v>48.5</v>
      </c>
      <c r="J228" s="15">
        <f t="shared" si="60"/>
        <v>2.9499999999999993</v>
      </c>
      <c r="K228" s="13">
        <v>40.4</v>
      </c>
      <c r="L228" s="14"/>
      <c r="M228" s="14"/>
      <c r="N228" s="14"/>
      <c r="O228" s="14"/>
      <c r="P228" s="14"/>
      <c r="Q228" s="14"/>
      <c r="R228" s="14"/>
      <c r="S228" s="14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3.2">
      <c r="A229" s="14"/>
      <c r="B229" s="5">
        <v>8</v>
      </c>
      <c r="C229" s="5">
        <f t="shared" si="47"/>
        <v>56</v>
      </c>
      <c r="D229" s="20">
        <v>43055</v>
      </c>
      <c r="E229" s="11">
        <v>385.1</v>
      </c>
      <c r="F229" s="12"/>
      <c r="G229" s="14"/>
      <c r="H229" s="14"/>
      <c r="I229" s="15"/>
      <c r="J229" s="14"/>
      <c r="K229" s="15"/>
      <c r="L229" s="14"/>
      <c r="M229" s="14"/>
      <c r="N229" s="14"/>
      <c r="O229" s="14"/>
      <c r="P229" s="14"/>
      <c r="Q229" s="14"/>
      <c r="R229" s="14"/>
      <c r="S229" s="14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3.2">
      <c r="A230" s="14"/>
      <c r="B230" s="5">
        <v>8</v>
      </c>
      <c r="C230" s="5">
        <f t="shared" si="47"/>
        <v>57</v>
      </c>
      <c r="D230" s="20">
        <v>43056</v>
      </c>
      <c r="E230" s="11">
        <v>372.5</v>
      </c>
      <c r="F230" s="12">
        <f t="shared" ref="F230:F231" si="61">(E229-E230)/(D230-D229)</f>
        <v>12.600000000000023</v>
      </c>
      <c r="G230" s="14"/>
      <c r="H230" s="14"/>
      <c r="I230" s="13">
        <v>42.7</v>
      </c>
      <c r="J230" s="16">
        <f>(I228-I230)/(D230-D228)</f>
        <v>2.8999999999999986</v>
      </c>
      <c r="K230" s="13">
        <v>41.2</v>
      </c>
      <c r="L230" s="14"/>
      <c r="M230" s="14"/>
      <c r="N230" s="14"/>
      <c r="O230" s="14"/>
      <c r="P230" s="14"/>
      <c r="Q230" s="14"/>
      <c r="R230" s="14"/>
      <c r="S230" s="14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3.2">
      <c r="A231" s="14"/>
      <c r="B231" s="5">
        <v>8</v>
      </c>
      <c r="C231" s="5">
        <f t="shared" si="47"/>
        <v>60</v>
      </c>
      <c r="D231" s="20">
        <v>43059</v>
      </c>
      <c r="E231" s="11">
        <v>359.2</v>
      </c>
      <c r="F231" s="12">
        <f t="shared" si="61"/>
        <v>4.4333333333333371</v>
      </c>
      <c r="G231" s="14"/>
      <c r="H231" s="14"/>
      <c r="I231" s="13">
        <v>33.9</v>
      </c>
      <c r="J231" s="15">
        <f>(I230-I231)/(D231-D230)</f>
        <v>2.9333333333333349</v>
      </c>
      <c r="K231" s="13">
        <v>42.2</v>
      </c>
      <c r="L231" s="14"/>
      <c r="M231" s="14"/>
      <c r="N231" s="14"/>
      <c r="O231" s="14"/>
      <c r="P231" s="14"/>
      <c r="Q231" s="14"/>
      <c r="R231" s="14"/>
      <c r="S231" s="14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3.2">
      <c r="A232" s="14"/>
      <c r="B232" s="5">
        <v>8</v>
      </c>
      <c r="C232" s="5">
        <f t="shared" si="47"/>
        <v>61</v>
      </c>
      <c r="D232" s="20">
        <v>43060</v>
      </c>
      <c r="E232" s="11">
        <v>364.3</v>
      </c>
      <c r="F232" s="12"/>
      <c r="G232" s="14"/>
      <c r="H232" s="14"/>
      <c r="I232" s="15"/>
      <c r="J232" s="14"/>
      <c r="K232" s="15"/>
      <c r="L232" s="14"/>
      <c r="M232" s="14"/>
      <c r="N232" s="14"/>
      <c r="O232" s="14"/>
      <c r="P232" s="14"/>
      <c r="Q232" s="14"/>
      <c r="R232" s="14"/>
      <c r="S232" s="14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3.2">
      <c r="A233" s="14"/>
      <c r="B233" s="5">
        <v>8</v>
      </c>
      <c r="C233" s="5">
        <f t="shared" si="47"/>
        <v>62</v>
      </c>
      <c r="D233" s="20">
        <v>43061</v>
      </c>
      <c r="E233" s="11">
        <v>358.3</v>
      </c>
      <c r="F233" s="12">
        <f>(E232-E233)/(D233-D232)</f>
        <v>6</v>
      </c>
      <c r="G233" s="14"/>
      <c r="H233" s="14"/>
      <c r="I233" s="13">
        <v>88.8</v>
      </c>
      <c r="J233" s="14">
        <f>(96.6-I233)/(D233-D232)</f>
        <v>7.7999999999999972</v>
      </c>
      <c r="K233" s="13">
        <v>43.6</v>
      </c>
      <c r="L233" s="14"/>
      <c r="M233" s="14"/>
      <c r="N233" s="14"/>
      <c r="O233" s="14"/>
      <c r="P233" s="14"/>
      <c r="Q233" s="14"/>
      <c r="R233" s="14"/>
      <c r="S233" s="14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3.2">
      <c r="A234" s="14"/>
      <c r="B234" s="5">
        <v>9</v>
      </c>
      <c r="C234" s="5">
        <f t="shared" si="47"/>
        <v>63</v>
      </c>
      <c r="D234" s="20">
        <v>43062</v>
      </c>
      <c r="E234" s="11"/>
      <c r="F234" s="12"/>
      <c r="G234" s="14"/>
      <c r="H234" s="14"/>
      <c r="I234" s="13"/>
      <c r="J234" s="15"/>
      <c r="K234" s="13"/>
      <c r="L234" s="14"/>
      <c r="M234" s="14"/>
      <c r="N234" s="14"/>
      <c r="O234" s="14"/>
      <c r="P234" s="14"/>
      <c r="Q234" s="14"/>
      <c r="R234" s="14"/>
      <c r="S234" s="14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3.2">
      <c r="A235" s="14"/>
      <c r="B235" s="5">
        <v>9</v>
      </c>
      <c r="C235" s="5">
        <f t="shared" si="47"/>
        <v>64</v>
      </c>
      <c r="D235" s="20">
        <v>43063</v>
      </c>
      <c r="E235" s="11">
        <v>348.2</v>
      </c>
      <c r="F235" s="12">
        <f>(E233-E235)/(D235-D233)</f>
        <v>5.0500000000000114</v>
      </c>
      <c r="G235" s="14"/>
      <c r="H235" s="14"/>
      <c r="I235" s="13">
        <v>82.5</v>
      </c>
      <c r="J235" s="15">
        <f>(I233-I235)/(D235-D233)</f>
        <v>3.1499999999999986</v>
      </c>
      <c r="K235" s="13">
        <v>44.3</v>
      </c>
      <c r="L235" s="14"/>
      <c r="M235" s="14"/>
      <c r="N235" s="14"/>
      <c r="O235" s="14"/>
      <c r="P235" s="14"/>
      <c r="Q235" s="14"/>
      <c r="R235" s="14"/>
      <c r="S235" s="14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3.2">
      <c r="A236" s="14"/>
      <c r="B236" s="5">
        <v>9</v>
      </c>
      <c r="C236" s="5">
        <f t="shared" si="47"/>
        <v>67</v>
      </c>
      <c r="D236" s="23">
        <v>43066</v>
      </c>
      <c r="E236" s="11">
        <v>335.8</v>
      </c>
      <c r="F236" s="12">
        <f t="shared" ref="F236:F237" si="62">(E235-E236)/(D236-D235)</f>
        <v>4.1333333333333258</v>
      </c>
      <c r="G236" s="14"/>
      <c r="H236" s="14"/>
      <c r="I236" s="13">
        <v>74.2</v>
      </c>
      <c r="J236" s="15">
        <f t="shared" ref="J236:J237" si="63">(I235-I236)/(D236-D235)</f>
        <v>2.7666666666666657</v>
      </c>
      <c r="K236" s="13">
        <v>44.8</v>
      </c>
      <c r="L236" s="14"/>
      <c r="M236" s="14"/>
      <c r="N236" s="14"/>
      <c r="O236" s="14"/>
      <c r="P236" s="14"/>
      <c r="Q236" s="14"/>
      <c r="R236" s="14"/>
      <c r="S236" s="14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3.2">
      <c r="A237" s="14"/>
      <c r="B237" s="5">
        <v>9</v>
      </c>
      <c r="C237" s="5">
        <f t="shared" si="47"/>
        <v>69</v>
      </c>
      <c r="D237" s="23">
        <v>43068</v>
      </c>
      <c r="E237" s="11">
        <v>326.10000000000002</v>
      </c>
      <c r="F237" s="12">
        <f t="shared" si="62"/>
        <v>4.8499999999999943</v>
      </c>
      <c r="G237" s="14"/>
      <c r="H237" s="14"/>
      <c r="I237" s="13">
        <v>67.900000000000006</v>
      </c>
      <c r="J237" s="15">
        <f t="shared" si="63"/>
        <v>3.1499999999999986</v>
      </c>
      <c r="K237" s="13">
        <v>46</v>
      </c>
      <c r="L237" s="14"/>
      <c r="M237" s="14"/>
      <c r="N237" s="14"/>
      <c r="O237" s="14"/>
      <c r="P237" s="14"/>
      <c r="Q237" s="14"/>
      <c r="R237" s="14"/>
      <c r="S237" s="14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3.2">
      <c r="A238" s="14"/>
      <c r="B238" s="5">
        <v>10</v>
      </c>
      <c r="C238" s="5">
        <f t="shared" si="47"/>
        <v>70</v>
      </c>
      <c r="D238" s="23">
        <v>43069</v>
      </c>
      <c r="E238" s="11">
        <v>382.7</v>
      </c>
      <c r="F238" s="12"/>
      <c r="G238" s="14"/>
      <c r="H238" s="14"/>
      <c r="I238" s="15"/>
      <c r="J238" s="14"/>
      <c r="K238" s="15"/>
      <c r="L238" s="14"/>
      <c r="M238" s="14"/>
      <c r="N238" s="14"/>
      <c r="O238" s="14"/>
      <c r="P238" s="14"/>
      <c r="Q238" s="14"/>
      <c r="R238" s="14"/>
      <c r="S238" s="14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3.2">
      <c r="A239" s="14"/>
      <c r="B239" s="5">
        <v>10</v>
      </c>
      <c r="C239" s="5">
        <f t="shared" si="47"/>
        <v>71</v>
      </c>
      <c r="D239" s="23">
        <v>43070</v>
      </c>
      <c r="E239" s="11">
        <v>376.3</v>
      </c>
      <c r="F239" s="12">
        <f t="shared" ref="F239:F241" si="64">(E238-E239)/(D239-D238)</f>
        <v>6.3999999999999773</v>
      </c>
      <c r="G239" s="14"/>
      <c r="H239" s="14"/>
      <c r="I239" s="13">
        <v>61.4</v>
      </c>
      <c r="J239" s="16">
        <f>(I237-I239)/(D239-D237)</f>
        <v>3.2500000000000036</v>
      </c>
      <c r="K239" s="13">
        <v>46.3</v>
      </c>
      <c r="L239" s="14"/>
      <c r="M239" s="14"/>
      <c r="N239" s="14"/>
      <c r="O239" s="14"/>
      <c r="P239" s="14"/>
      <c r="Q239" s="14"/>
      <c r="R239" s="14"/>
      <c r="S239" s="14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3.2">
      <c r="A240" s="14"/>
      <c r="B240" s="5">
        <v>10</v>
      </c>
      <c r="C240" s="5">
        <f t="shared" si="47"/>
        <v>74</v>
      </c>
      <c r="D240" s="23">
        <v>43073</v>
      </c>
      <c r="E240" s="11">
        <v>368.6</v>
      </c>
      <c r="F240" s="12">
        <f t="shared" si="64"/>
        <v>2.5666666666666629</v>
      </c>
      <c r="G240" s="14"/>
      <c r="H240" s="14"/>
      <c r="I240" s="13">
        <v>52.8</v>
      </c>
      <c r="J240" s="15">
        <f t="shared" ref="J240:J241" si="65">(I239-I240)/(D240-D239)</f>
        <v>2.8666666666666671</v>
      </c>
      <c r="K240" s="13">
        <v>47.5</v>
      </c>
      <c r="L240" s="14"/>
      <c r="M240" s="14"/>
      <c r="N240" s="14"/>
      <c r="O240" s="14"/>
      <c r="P240" s="14"/>
      <c r="Q240" s="14"/>
      <c r="R240" s="14"/>
      <c r="S240" s="14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3.2">
      <c r="A241" s="14"/>
      <c r="B241" s="5">
        <v>10</v>
      </c>
      <c r="C241" s="5">
        <f t="shared" si="47"/>
        <v>76</v>
      </c>
      <c r="D241" s="23">
        <v>43075</v>
      </c>
      <c r="E241" s="11">
        <v>359.4</v>
      </c>
      <c r="F241" s="12">
        <f t="shared" si="64"/>
        <v>4.6000000000000227</v>
      </c>
      <c r="G241" s="14"/>
      <c r="H241" s="14"/>
      <c r="I241" s="13">
        <v>47.6</v>
      </c>
      <c r="J241" s="15">
        <f t="shared" si="65"/>
        <v>2.5999999999999979</v>
      </c>
      <c r="K241" s="13">
        <v>47.5</v>
      </c>
      <c r="L241" s="14"/>
      <c r="M241" s="14"/>
      <c r="N241" s="14"/>
      <c r="O241" s="14"/>
      <c r="P241" s="14"/>
      <c r="Q241" s="14"/>
      <c r="R241" s="14"/>
      <c r="S241" s="14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3.2">
      <c r="A242" s="14"/>
      <c r="B242" s="5">
        <v>11</v>
      </c>
      <c r="C242" s="5">
        <f t="shared" si="47"/>
        <v>77</v>
      </c>
      <c r="D242" s="24">
        <v>43076</v>
      </c>
      <c r="E242" s="11">
        <v>400.9</v>
      </c>
      <c r="F242" s="12"/>
      <c r="G242" s="14"/>
      <c r="H242" s="14"/>
      <c r="I242" s="15"/>
      <c r="J242" s="14"/>
      <c r="K242" s="15"/>
      <c r="L242" s="14"/>
      <c r="M242" s="14"/>
      <c r="N242" s="14"/>
      <c r="O242" s="14"/>
      <c r="P242" s="14"/>
      <c r="Q242" s="14"/>
      <c r="R242" s="14"/>
      <c r="S242" s="14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3.2">
      <c r="A243" s="14"/>
      <c r="B243" s="5">
        <v>11</v>
      </c>
      <c r="C243" s="5">
        <f t="shared" si="47"/>
        <v>78</v>
      </c>
      <c r="D243" s="24">
        <v>43077</v>
      </c>
      <c r="E243" s="11">
        <v>395.8</v>
      </c>
      <c r="F243" s="12">
        <f t="shared" ref="F243:F245" si="66">(E242-E243)/(D243-D242)</f>
        <v>5.0999999999999659</v>
      </c>
      <c r="G243" s="14"/>
      <c r="H243" s="14"/>
      <c r="I243" s="13">
        <v>42.3</v>
      </c>
      <c r="J243" s="16">
        <f>(I241-I243)/(D243-D241)</f>
        <v>2.6500000000000021</v>
      </c>
      <c r="K243" s="13">
        <v>47.7</v>
      </c>
      <c r="L243" s="14"/>
      <c r="M243" s="14"/>
      <c r="N243" s="14"/>
      <c r="O243" s="14"/>
      <c r="P243" s="14"/>
      <c r="Q243" s="14"/>
      <c r="R243" s="14"/>
      <c r="S243" s="14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3.2">
      <c r="A244" s="14"/>
      <c r="B244" s="5">
        <v>11</v>
      </c>
      <c r="C244" s="5">
        <f t="shared" si="47"/>
        <v>81</v>
      </c>
      <c r="D244" s="24">
        <v>43080</v>
      </c>
      <c r="E244" s="11">
        <v>386.6</v>
      </c>
      <c r="F244" s="12">
        <f t="shared" si="66"/>
        <v>3.0666666666666629</v>
      </c>
      <c r="G244" s="14"/>
      <c r="H244" s="14"/>
      <c r="I244" s="13">
        <v>34.9</v>
      </c>
      <c r="J244" s="15">
        <f t="shared" ref="J244:J245" si="67">(I243-I244)/(D244-D243)</f>
        <v>2.4666666666666663</v>
      </c>
      <c r="K244" s="13">
        <v>47.2</v>
      </c>
      <c r="L244" s="14"/>
      <c r="M244" s="14"/>
      <c r="N244" s="14"/>
      <c r="O244" s="14"/>
      <c r="P244" s="14"/>
      <c r="Q244" s="14"/>
      <c r="R244" s="14"/>
      <c r="S244" s="14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26.4">
      <c r="A245" s="5" t="s">
        <v>27</v>
      </c>
      <c r="B245" s="5">
        <v>11</v>
      </c>
      <c r="C245" s="5">
        <f t="shared" si="47"/>
        <v>83</v>
      </c>
      <c r="D245" s="25">
        <v>43082</v>
      </c>
      <c r="E245" s="11">
        <v>375.6</v>
      </c>
      <c r="F245" s="12">
        <f t="shared" si="66"/>
        <v>5.5</v>
      </c>
      <c r="G245" s="14"/>
      <c r="H245" s="14"/>
      <c r="I245" s="13">
        <v>29.6</v>
      </c>
      <c r="J245" s="15">
        <f t="shared" si="67"/>
        <v>2.6499999999999986</v>
      </c>
      <c r="K245" s="13">
        <v>47.5</v>
      </c>
      <c r="L245" s="14"/>
      <c r="M245" s="14"/>
      <c r="N245" s="14"/>
      <c r="O245" s="14"/>
      <c r="P245" s="14"/>
      <c r="Q245" s="14"/>
      <c r="R245" s="14"/>
      <c r="S245" s="14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3.2">
      <c r="A246" s="14"/>
      <c r="B246" s="5">
        <v>12</v>
      </c>
      <c r="C246" s="5">
        <f t="shared" si="47"/>
        <v>84</v>
      </c>
      <c r="D246" s="24">
        <v>43083</v>
      </c>
      <c r="E246" s="12"/>
      <c r="F246" s="12"/>
      <c r="G246" s="14"/>
      <c r="H246" s="14"/>
      <c r="I246" s="15"/>
      <c r="J246" s="14"/>
      <c r="K246" s="13"/>
      <c r="L246" s="14"/>
      <c r="M246" s="14"/>
      <c r="N246" s="14"/>
      <c r="O246" s="14"/>
      <c r="P246" s="14"/>
      <c r="Q246" s="14"/>
      <c r="R246" s="14"/>
      <c r="S246" s="14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3.2">
      <c r="A247" s="26" t="s">
        <v>28</v>
      </c>
      <c r="B247" s="26">
        <v>12</v>
      </c>
      <c r="C247" s="26">
        <f t="shared" si="47"/>
        <v>85</v>
      </c>
      <c r="D247" s="27">
        <v>43084</v>
      </c>
      <c r="E247" s="28"/>
      <c r="F247" s="28"/>
      <c r="G247" s="29"/>
      <c r="H247" s="29"/>
      <c r="I247" s="30"/>
      <c r="J247" s="29"/>
      <c r="K247" s="31">
        <v>46.6</v>
      </c>
      <c r="L247" s="29"/>
      <c r="M247" s="29"/>
      <c r="N247" s="29"/>
      <c r="O247" s="29"/>
      <c r="P247" s="29"/>
      <c r="Q247" s="29"/>
      <c r="R247" s="29"/>
      <c r="S247" s="14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3.2">
      <c r="A248" s="14"/>
      <c r="B248" s="5">
        <v>12</v>
      </c>
      <c r="C248" s="5">
        <f t="shared" si="47"/>
        <v>98</v>
      </c>
      <c r="D248" s="32">
        <v>43097</v>
      </c>
      <c r="E248" s="12"/>
      <c r="F248" s="12"/>
      <c r="G248" s="14"/>
      <c r="H248" s="14"/>
      <c r="I248" s="33">
        <v>58.9</v>
      </c>
      <c r="J248" s="14"/>
      <c r="K248" s="33">
        <v>49.3</v>
      </c>
      <c r="L248" s="14"/>
      <c r="M248" s="14"/>
      <c r="N248" s="14"/>
      <c r="O248" s="14"/>
      <c r="P248" s="14"/>
      <c r="Q248" s="14"/>
      <c r="R248" s="14"/>
      <c r="S248" s="14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3.2">
      <c r="A249" s="14"/>
      <c r="B249" s="5">
        <v>12</v>
      </c>
      <c r="C249" s="5">
        <f t="shared" si="47"/>
        <v>105</v>
      </c>
      <c r="D249" s="32">
        <v>43104</v>
      </c>
      <c r="E249" s="12"/>
      <c r="F249" s="12"/>
      <c r="G249" s="14"/>
      <c r="H249" s="14"/>
      <c r="I249" s="33">
        <v>38.5</v>
      </c>
      <c r="J249" s="14"/>
      <c r="K249" s="33">
        <v>49.5</v>
      </c>
      <c r="L249" s="14"/>
      <c r="M249" s="14"/>
      <c r="N249" s="14"/>
      <c r="O249" s="14"/>
      <c r="P249" s="14"/>
      <c r="Q249" s="14"/>
      <c r="R249" s="14"/>
      <c r="S249" s="14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3.2">
      <c r="A250" s="14"/>
      <c r="B250" s="14"/>
      <c r="C250" s="5">
        <f t="shared" si="47"/>
        <v>112</v>
      </c>
      <c r="D250" s="32">
        <v>43111</v>
      </c>
      <c r="E250" s="12"/>
      <c r="F250" s="12"/>
      <c r="G250" s="14"/>
      <c r="H250" s="14"/>
      <c r="I250" s="33">
        <v>21</v>
      </c>
      <c r="J250" s="14"/>
      <c r="K250" s="33">
        <v>48.2</v>
      </c>
      <c r="L250" s="14"/>
      <c r="M250" s="14"/>
      <c r="N250" s="14"/>
      <c r="O250" s="14"/>
      <c r="P250" s="14"/>
      <c r="Q250" s="14"/>
      <c r="R250" s="14"/>
      <c r="S250" s="14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3.2">
      <c r="A251" s="14"/>
      <c r="B251" s="14"/>
      <c r="C251" s="5">
        <f t="shared" si="47"/>
        <v>116</v>
      </c>
      <c r="D251" s="34">
        <v>43115</v>
      </c>
      <c r="E251" s="12"/>
      <c r="F251" s="12"/>
      <c r="G251" s="14"/>
      <c r="H251" s="14"/>
      <c r="I251" s="33"/>
      <c r="J251" s="14"/>
      <c r="K251" s="33"/>
      <c r="L251" s="14"/>
      <c r="M251" s="14"/>
      <c r="N251" s="14"/>
      <c r="O251" s="14"/>
      <c r="P251" s="14"/>
      <c r="Q251" s="14"/>
      <c r="R251" s="14"/>
      <c r="S251" s="14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3.2">
      <c r="A252" s="14"/>
      <c r="B252" s="14"/>
      <c r="C252" s="5">
        <f t="shared" si="47"/>
        <v>117</v>
      </c>
      <c r="D252" s="20">
        <v>43116</v>
      </c>
      <c r="E252" s="12"/>
      <c r="F252" s="12"/>
      <c r="G252" s="14"/>
      <c r="H252" s="14"/>
      <c r="I252" s="33">
        <v>20.6</v>
      </c>
      <c r="J252" s="14"/>
      <c r="K252" s="33">
        <v>50</v>
      </c>
      <c r="L252" s="14"/>
      <c r="M252" s="14"/>
      <c r="N252" s="14"/>
      <c r="O252" s="14"/>
      <c r="P252" s="14"/>
      <c r="Q252" s="14"/>
      <c r="R252" s="14"/>
      <c r="S252" s="14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3.2">
      <c r="A253" s="14"/>
      <c r="B253" s="14"/>
      <c r="C253" s="5">
        <v>124</v>
      </c>
      <c r="D253" s="35">
        <v>43123</v>
      </c>
      <c r="E253" s="12"/>
      <c r="F253" s="12"/>
      <c r="G253" s="14"/>
      <c r="H253" s="14"/>
      <c r="I253" s="33">
        <v>43.7</v>
      </c>
      <c r="J253" s="14"/>
      <c r="K253" s="33">
        <v>51.5</v>
      </c>
      <c r="L253" s="14"/>
      <c r="M253" s="14"/>
      <c r="N253" s="14"/>
      <c r="O253" s="14"/>
      <c r="P253" s="14"/>
      <c r="Q253" s="14"/>
      <c r="R253" s="14"/>
      <c r="S253" s="14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3.2">
      <c r="A254" s="14"/>
      <c r="B254" s="14"/>
      <c r="C254" s="5">
        <v>131</v>
      </c>
      <c r="D254" s="20">
        <v>43130</v>
      </c>
      <c r="E254" s="12"/>
      <c r="F254" s="12"/>
      <c r="G254" s="14"/>
      <c r="H254" s="14"/>
      <c r="I254" s="13">
        <v>23.2</v>
      </c>
      <c r="J254" s="14"/>
      <c r="K254" s="13">
        <v>53</v>
      </c>
      <c r="L254" s="14"/>
      <c r="M254" s="14"/>
      <c r="N254" s="14"/>
      <c r="O254" s="14"/>
      <c r="P254" s="14"/>
      <c r="Q254" s="14"/>
      <c r="R254" s="14"/>
      <c r="S254" s="14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3.2">
      <c r="A255" s="14"/>
      <c r="B255" s="14"/>
      <c r="C255" s="5">
        <v>138</v>
      </c>
      <c r="D255" s="20">
        <v>43137</v>
      </c>
      <c r="E255" s="12"/>
      <c r="F255" s="12"/>
      <c r="G255" s="14"/>
      <c r="H255" s="14"/>
      <c r="I255" s="33">
        <v>85.4</v>
      </c>
      <c r="J255" s="37"/>
      <c r="K255" s="33">
        <v>53.9</v>
      </c>
      <c r="L255" s="14"/>
      <c r="M255" s="14"/>
      <c r="N255" s="14"/>
      <c r="O255" s="14"/>
      <c r="P255" s="14"/>
      <c r="Q255" s="14"/>
      <c r="R255" s="14"/>
      <c r="S255" s="14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3.2">
      <c r="A256" s="14"/>
      <c r="B256" s="14"/>
      <c r="C256" s="5">
        <v>145</v>
      </c>
      <c r="D256" s="20">
        <v>43144</v>
      </c>
      <c r="E256" s="12"/>
      <c r="F256" s="12"/>
      <c r="G256" s="14"/>
      <c r="H256" s="14"/>
      <c r="I256" s="13">
        <v>64.400000000000006</v>
      </c>
      <c r="J256" s="14"/>
      <c r="K256" s="13">
        <v>54.8</v>
      </c>
      <c r="L256" s="14"/>
      <c r="M256" s="14"/>
      <c r="N256" s="14"/>
      <c r="O256" s="14"/>
      <c r="P256" s="14"/>
      <c r="Q256" s="14"/>
      <c r="R256" s="14"/>
      <c r="S256" s="14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3.2">
      <c r="A257" s="14"/>
      <c r="B257" s="14"/>
      <c r="C257" s="5">
        <v>152</v>
      </c>
      <c r="D257" s="20">
        <v>43151</v>
      </c>
      <c r="E257" s="12"/>
      <c r="F257" s="12"/>
      <c r="G257" s="14"/>
      <c r="H257" s="14"/>
      <c r="I257" s="13">
        <v>43.5</v>
      </c>
      <c r="J257" s="14"/>
      <c r="K257" s="13">
        <v>56.2</v>
      </c>
      <c r="L257" s="14"/>
      <c r="M257" s="14"/>
      <c r="N257" s="14"/>
      <c r="O257" s="14"/>
      <c r="P257" s="14"/>
      <c r="Q257" s="14"/>
      <c r="R257" s="14"/>
      <c r="S257" s="14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3.2">
      <c r="A258" s="14"/>
      <c r="B258" s="14"/>
      <c r="C258" s="5">
        <v>159</v>
      </c>
      <c r="D258" s="20">
        <v>43158</v>
      </c>
      <c r="E258" s="12"/>
      <c r="F258" s="12"/>
      <c r="G258" s="14"/>
      <c r="H258" s="14"/>
      <c r="I258" s="13">
        <v>23.1</v>
      </c>
      <c r="J258" s="14"/>
      <c r="K258" s="13">
        <v>56.8</v>
      </c>
      <c r="L258" s="14"/>
      <c r="M258" s="14"/>
      <c r="N258" s="14"/>
      <c r="O258" s="14"/>
      <c r="P258" s="14"/>
      <c r="Q258" s="14"/>
      <c r="R258" s="14"/>
      <c r="S258" s="14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3.2">
      <c r="A259" s="14"/>
      <c r="B259" s="14"/>
      <c r="C259" s="5">
        <v>166</v>
      </c>
      <c r="D259" s="20">
        <v>43165</v>
      </c>
      <c r="E259" s="12"/>
      <c r="F259" s="12"/>
      <c r="G259" s="14"/>
      <c r="H259" s="14"/>
      <c r="I259" s="13">
        <v>48.9</v>
      </c>
      <c r="J259" s="14"/>
      <c r="K259" s="13">
        <v>57.6</v>
      </c>
      <c r="L259" s="14"/>
      <c r="M259" s="14"/>
      <c r="N259" s="14"/>
      <c r="O259" s="14"/>
      <c r="P259" s="14"/>
      <c r="Q259" s="14"/>
      <c r="R259" s="14"/>
      <c r="S259" s="14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3.2">
      <c r="A260" s="14"/>
      <c r="B260" s="14"/>
      <c r="C260" s="5">
        <v>173</v>
      </c>
      <c r="D260" s="20">
        <v>43172</v>
      </c>
      <c r="E260" s="12"/>
      <c r="F260" s="12"/>
      <c r="G260" s="14"/>
      <c r="H260" s="14"/>
      <c r="I260" s="13">
        <v>28.4</v>
      </c>
      <c r="J260" s="14"/>
      <c r="K260" s="13">
        <v>58.2</v>
      </c>
      <c r="L260" s="14"/>
      <c r="M260" s="14"/>
      <c r="N260" s="14"/>
      <c r="O260" s="14"/>
      <c r="P260" s="14"/>
      <c r="Q260" s="14"/>
      <c r="R260" s="14"/>
      <c r="S260" s="14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3.2">
      <c r="A261" s="14"/>
      <c r="B261" s="14"/>
      <c r="C261" s="14"/>
      <c r="D261" s="20"/>
      <c r="E261" s="12"/>
      <c r="F261" s="12"/>
      <c r="G261" s="14"/>
      <c r="H261" s="14"/>
      <c r="I261" s="15"/>
      <c r="J261" s="14"/>
      <c r="K261" s="15"/>
      <c r="L261" s="14"/>
      <c r="M261" s="14"/>
      <c r="N261" s="14"/>
      <c r="O261" s="14"/>
      <c r="P261" s="14"/>
      <c r="Q261" s="14"/>
      <c r="R261" s="14"/>
      <c r="S261" s="14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3.2">
      <c r="A262" s="14"/>
      <c r="B262" s="14"/>
      <c r="C262" s="14"/>
      <c r="D262" s="20"/>
      <c r="E262" s="12"/>
      <c r="F262" s="12"/>
      <c r="G262" s="14"/>
      <c r="H262" s="14"/>
      <c r="I262" s="15"/>
      <c r="J262" s="14"/>
      <c r="K262" s="15"/>
      <c r="L262" s="14"/>
      <c r="M262" s="14"/>
      <c r="N262" s="14"/>
      <c r="O262" s="14"/>
      <c r="P262" s="14"/>
      <c r="Q262" s="14"/>
      <c r="R262" s="14"/>
      <c r="S262" s="14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3.2">
      <c r="A263" s="14"/>
      <c r="B263" s="14"/>
      <c r="C263" s="14"/>
      <c r="D263" s="20"/>
      <c r="E263" s="12"/>
      <c r="F263" s="12"/>
      <c r="G263" s="14"/>
      <c r="H263" s="14"/>
      <c r="I263" s="15"/>
      <c r="J263" s="14"/>
      <c r="K263" s="15"/>
      <c r="L263" s="14"/>
      <c r="M263" s="14"/>
      <c r="N263" s="14"/>
      <c r="O263" s="14"/>
      <c r="P263" s="14"/>
      <c r="Q263" s="14"/>
      <c r="R263" s="14"/>
      <c r="S263" s="14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3.2">
      <c r="A264" s="14"/>
      <c r="B264" s="14"/>
      <c r="C264" s="14"/>
      <c r="D264" s="20"/>
      <c r="E264" s="12"/>
      <c r="F264" s="12"/>
      <c r="G264" s="14"/>
      <c r="H264" s="14"/>
      <c r="I264" s="15"/>
      <c r="J264" s="14"/>
      <c r="K264" s="15"/>
      <c r="L264" s="14"/>
      <c r="M264" s="14"/>
      <c r="N264" s="14"/>
      <c r="O264" s="14"/>
      <c r="P264" s="14"/>
      <c r="Q264" s="14"/>
      <c r="R264" s="14"/>
      <c r="S264" s="14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3.2">
      <c r="A265" s="14"/>
      <c r="B265" s="14"/>
      <c r="C265" s="14"/>
      <c r="D265" s="20"/>
      <c r="E265" s="12"/>
      <c r="F265" s="12"/>
      <c r="G265" s="14"/>
      <c r="H265" s="14"/>
      <c r="I265" s="15"/>
      <c r="J265" s="14"/>
      <c r="K265" s="15"/>
      <c r="L265" s="14"/>
      <c r="M265" s="14"/>
      <c r="N265" s="14"/>
      <c r="O265" s="14"/>
      <c r="P265" s="14"/>
      <c r="Q265" s="14"/>
      <c r="R265" s="14"/>
      <c r="S265" s="14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3.2">
      <c r="A266" s="14"/>
      <c r="B266" s="14"/>
      <c r="C266" s="14"/>
      <c r="D266" s="20"/>
      <c r="E266" s="12"/>
      <c r="F266" s="12"/>
      <c r="G266" s="14"/>
      <c r="H266" s="14"/>
      <c r="I266" s="15"/>
      <c r="J266" s="14"/>
      <c r="K266" s="15"/>
      <c r="L266" s="14"/>
      <c r="M266" s="14"/>
      <c r="N266" s="14"/>
      <c r="O266" s="14"/>
      <c r="P266" s="14"/>
      <c r="Q266" s="14"/>
      <c r="R266" s="14"/>
      <c r="S266" s="14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3.2">
      <c r="A267" s="14"/>
      <c r="B267" s="14"/>
      <c r="C267" s="14"/>
      <c r="D267" s="20"/>
      <c r="E267" s="12"/>
      <c r="F267" s="12"/>
      <c r="G267" s="14"/>
      <c r="H267" s="14"/>
      <c r="I267" s="15"/>
      <c r="J267" s="14"/>
      <c r="K267" s="15"/>
      <c r="L267" s="14"/>
      <c r="M267" s="14"/>
      <c r="N267" s="14"/>
      <c r="O267" s="14"/>
      <c r="P267" s="14"/>
      <c r="Q267" s="14"/>
      <c r="R267" s="14"/>
      <c r="S267" s="14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3.2">
      <c r="A268" s="14"/>
      <c r="B268" s="14"/>
      <c r="C268" s="14"/>
      <c r="D268" s="20"/>
      <c r="E268" s="12"/>
      <c r="F268" s="12"/>
      <c r="G268" s="14"/>
      <c r="H268" s="14"/>
      <c r="I268" s="15"/>
      <c r="J268" s="14"/>
      <c r="K268" s="15"/>
      <c r="L268" s="14"/>
      <c r="M268" s="14"/>
      <c r="N268" s="14"/>
      <c r="O268" s="14"/>
      <c r="P268" s="14"/>
      <c r="Q268" s="14"/>
      <c r="R268" s="14"/>
      <c r="S268" s="14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3.2">
      <c r="A269" s="14"/>
      <c r="B269" s="14"/>
      <c r="C269" s="14"/>
      <c r="D269" s="20"/>
      <c r="E269" s="12"/>
      <c r="F269" s="12"/>
      <c r="G269" s="14"/>
      <c r="H269" s="14"/>
      <c r="I269" s="15"/>
      <c r="J269" s="14"/>
      <c r="K269" s="15"/>
      <c r="L269" s="14"/>
      <c r="M269" s="14"/>
      <c r="N269" s="14"/>
      <c r="O269" s="14"/>
      <c r="P269" s="14"/>
      <c r="Q269" s="14"/>
      <c r="R269" s="14"/>
      <c r="S269" s="14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3.2">
      <c r="A270" s="14"/>
      <c r="B270" s="14"/>
      <c r="C270" s="14"/>
      <c r="D270" s="20"/>
      <c r="E270" s="12"/>
      <c r="F270" s="12"/>
      <c r="G270" s="14"/>
      <c r="H270" s="14"/>
      <c r="I270" s="15"/>
      <c r="J270" s="14"/>
      <c r="K270" s="15"/>
      <c r="L270" s="14"/>
      <c r="M270" s="14"/>
      <c r="N270" s="14"/>
      <c r="O270" s="14"/>
      <c r="P270" s="14"/>
      <c r="Q270" s="14"/>
      <c r="R270" s="14"/>
      <c r="S270" s="14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3.2">
      <c r="A271" s="14"/>
      <c r="B271" s="14"/>
      <c r="C271" s="14"/>
      <c r="D271" s="20"/>
      <c r="E271" s="12"/>
      <c r="F271" s="12"/>
      <c r="G271" s="14"/>
      <c r="H271" s="14"/>
      <c r="I271" s="15"/>
      <c r="J271" s="14"/>
      <c r="K271" s="15"/>
      <c r="L271" s="14"/>
      <c r="M271" s="14"/>
      <c r="N271" s="14"/>
      <c r="O271" s="14"/>
      <c r="P271" s="14"/>
      <c r="Q271" s="14"/>
      <c r="R271" s="14"/>
      <c r="S271" s="14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3.2">
      <c r="A272" s="14"/>
      <c r="B272" s="14"/>
      <c r="C272" s="14"/>
      <c r="D272" s="20"/>
      <c r="E272" s="12"/>
      <c r="F272" s="12"/>
      <c r="G272" s="14"/>
      <c r="H272" s="14"/>
      <c r="I272" s="15"/>
      <c r="J272" s="14"/>
      <c r="K272" s="15"/>
      <c r="L272" s="14"/>
      <c r="M272" s="14"/>
      <c r="N272" s="14"/>
      <c r="O272" s="14"/>
      <c r="P272" s="14"/>
      <c r="Q272" s="14"/>
      <c r="R272" s="14"/>
      <c r="S272" s="14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3.2">
      <c r="A273" s="14"/>
      <c r="B273" s="14"/>
      <c r="C273" s="14"/>
      <c r="D273" s="20"/>
      <c r="E273" s="12"/>
      <c r="F273" s="12"/>
      <c r="G273" s="14"/>
      <c r="H273" s="14"/>
      <c r="I273" s="15"/>
      <c r="J273" s="14"/>
      <c r="K273" s="15"/>
      <c r="L273" s="14"/>
      <c r="M273" s="14"/>
      <c r="N273" s="14"/>
      <c r="O273" s="14"/>
      <c r="P273" s="14"/>
      <c r="Q273" s="14"/>
      <c r="R273" s="14"/>
      <c r="S273" s="14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3.2">
      <c r="A274" s="14"/>
      <c r="B274" s="14"/>
      <c r="C274" s="14"/>
      <c r="D274" s="20"/>
      <c r="E274" s="12"/>
      <c r="F274" s="12"/>
      <c r="G274" s="14"/>
      <c r="H274" s="14"/>
      <c r="I274" s="15"/>
      <c r="J274" s="14"/>
      <c r="K274" s="15"/>
      <c r="L274" s="14"/>
      <c r="M274" s="14"/>
      <c r="N274" s="14"/>
      <c r="O274" s="14"/>
      <c r="P274" s="14"/>
      <c r="Q274" s="14"/>
      <c r="R274" s="14"/>
      <c r="S274" s="14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3.2">
      <c r="A275" s="14"/>
      <c r="B275" s="14"/>
      <c r="C275" s="14"/>
      <c r="D275" s="20"/>
      <c r="E275" s="12"/>
      <c r="F275" s="12"/>
      <c r="G275" s="14"/>
      <c r="H275" s="14"/>
      <c r="I275" s="15"/>
      <c r="J275" s="14"/>
      <c r="K275" s="15"/>
      <c r="L275" s="14"/>
      <c r="M275" s="14"/>
      <c r="N275" s="14"/>
      <c r="O275" s="14"/>
      <c r="P275" s="14"/>
      <c r="Q275" s="14"/>
      <c r="R275" s="14"/>
      <c r="S275" s="14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3.2">
      <c r="A276" s="14"/>
      <c r="B276" s="14"/>
      <c r="C276" s="14"/>
      <c r="D276" s="20"/>
      <c r="E276" s="12"/>
      <c r="F276" s="12"/>
      <c r="G276" s="14"/>
      <c r="H276" s="14"/>
      <c r="I276" s="15"/>
      <c r="J276" s="14"/>
      <c r="K276" s="15"/>
      <c r="L276" s="14"/>
      <c r="M276" s="14"/>
      <c r="N276" s="14"/>
      <c r="O276" s="14"/>
      <c r="P276" s="14"/>
      <c r="Q276" s="14"/>
      <c r="R276" s="14"/>
      <c r="S276" s="14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3.2">
      <c r="A277" s="14"/>
      <c r="B277" s="14"/>
      <c r="C277" s="14"/>
      <c r="D277" s="20"/>
      <c r="E277" s="12"/>
      <c r="F277" s="12"/>
      <c r="G277" s="14"/>
      <c r="H277" s="14"/>
      <c r="I277" s="15"/>
      <c r="J277" s="14"/>
      <c r="K277" s="15"/>
      <c r="L277" s="14"/>
      <c r="M277" s="14"/>
      <c r="N277" s="14"/>
      <c r="O277" s="14"/>
      <c r="P277" s="14"/>
      <c r="Q277" s="14"/>
      <c r="R277" s="14"/>
      <c r="S277" s="14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3.2">
      <c r="A278" s="14"/>
      <c r="B278" s="14"/>
      <c r="C278" s="14"/>
      <c r="D278" s="20"/>
      <c r="E278" s="12"/>
      <c r="F278" s="12"/>
      <c r="G278" s="14"/>
      <c r="H278" s="14"/>
      <c r="I278" s="15"/>
      <c r="J278" s="14"/>
      <c r="K278" s="15"/>
      <c r="L278" s="14"/>
      <c r="M278" s="14"/>
      <c r="N278" s="14"/>
      <c r="O278" s="14"/>
      <c r="P278" s="14"/>
      <c r="Q278" s="14"/>
      <c r="R278" s="14"/>
      <c r="S278" s="14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3.2">
      <c r="A279" s="14"/>
      <c r="B279" s="14"/>
      <c r="C279" s="14"/>
      <c r="D279" s="20"/>
      <c r="E279" s="12"/>
      <c r="F279" s="12"/>
      <c r="G279" s="14"/>
      <c r="H279" s="14"/>
      <c r="I279" s="15"/>
      <c r="J279" s="14"/>
      <c r="K279" s="15"/>
      <c r="L279" s="14"/>
      <c r="M279" s="14"/>
      <c r="N279" s="14"/>
      <c r="O279" s="14"/>
      <c r="P279" s="14"/>
      <c r="Q279" s="14"/>
      <c r="R279" s="14"/>
      <c r="S279" s="14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26.4">
      <c r="A280" s="8" t="s">
        <v>58</v>
      </c>
      <c r="B280" s="5">
        <v>0</v>
      </c>
      <c r="C280" s="5">
        <v>0</v>
      </c>
      <c r="D280" s="9">
        <v>42992</v>
      </c>
      <c r="E280" s="10">
        <v>382.7</v>
      </c>
      <c r="F280" s="11" t="s">
        <v>21</v>
      </c>
      <c r="G280" s="12">
        <f>AVERAGE(F281:F297)</f>
        <v>6.8044444444444458</v>
      </c>
      <c r="H280" s="14"/>
      <c r="I280" s="13">
        <v>114.1</v>
      </c>
      <c r="J280" s="15">
        <f t="shared" ref="J280:J283" si="68">(I280-I281)/(D281-D280)</f>
        <v>3.6999999999999886</v>
      </c>
      <c r="K280" s="13">
        <v>24.8</v>
      </c>
      <c r="L280" s="14"/>
      <c r="M280" s="14"/>
      <c r="N280" s="14"/>
      <c r="O280" s="14"/>
      <c r="P280" s="14">
        <f>SUM(O280:O291)-104.4</f>
        <v>288.9000000000002</v>
      </c>
      <c r="R280" s="14"/>
      <c r="S280" s="15">
        <f>I285-I291</f>
        <v>42.2</v>
      </c>
      <c r="T280" s="7">
        <f>SUM(S280:S285)*5.24</f>
        <v>1323.624</v>
      </c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3.2">
      <c r="A281" s="5" t="s">
        <v>23</v>
      </c>
      <c r="B281" s="5">
        <v>0</v>
      </c>
      <c r="C281" s="5">
        <v>0</v>
      </c>
      <c r="D281" s="9">
        <v>42993</v>
      </c>
      <c r="E281" s="10">
        <v>373.6</v>
      </c>
      <c r="F281" s="12">
        <f>E280-E281</f>
        <v>9.0999999999999659</v>
      </c>
      <c r="G281" s="14"/>
      <c r="H281" s="14"/>
      <c r="I281" s="13">
        <v>110.4</v>
      </c>
      <c r="J281" s="15">
        <f t="shared" si="68"/>
        <v>3.8666666666666694</v>
      </c>
      <c r="K281" s="13">
        <v>24.7</v>
      </c>
      <c r="L281" s="14"/>
      <c r="M281" s="14"/>
      <c r="N281" s="14"/>
      <c r="O281" s="12">
        <f>E285-E292</f>
        <v>81.600000000000023</v>
      </c>
      <c r="P281" s="14"/>
      <c r="R281" s="14"/>
      <c r="S281" s="15">
        <f>56.5-I295</f>
        <v>21.1</v>
      </c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3.2">
      <c r="A282" s="14"/>
      <c r="B282" s="5">
        <v>0</v>
      </c>
      <c r="C282" s="5">
        <v>0</v>
      </c>
      <c r="D282" s="9">
        <v>42996</v>
      </c>
      <c r="E282" s="10">
        <v>356.1</v>
      </c>
      <c r="F282" s="12">
        <f t="shared" ref="F282:F284" si="69">(E281-E282)/(D282-D281)</f>
        <v>5.833333333333333</v>
      </c>
      <c r="G282" s="14"/>
      <c r="H282" s="14"/>
      <c r="I282" s="13">
        <v>98.8</v>
      </c>
      <c r="J282" s="15">
        <f t="shared" si="68"/>
        <v>4.1000000000000014</v>
      </c>
      <c r="K282" s="13">
        <v>25.5</v>
      </c>
      <c r="L282" s="14"/>
      <c r="M282" s="14"/>
      <c r="N282" s="14"/>
      <c r="O282" s="12">
        <f>E293-E295</f>
        <v>25.200000000000045</v>
      </c>
      <c r="P282" s="14"/>
      <c r="R282" s="14"/>
      <c r="S282" s="15">
        <f>52.4-I298</f>
        <v>15.699999999999996</v>
      </c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3.2">
      <c r="A283" s="14"/>
      <c r="B283" s="5">
        <v>0</v>
      </c>
      <c r="C283" s="5">
        <v>0</v>
      </c>
      <c r="D283" s="9">
        <v>42998</v>
      </c>
      <c r="E283" s="10">
        <v>343.8</v>
      </c>
      <c r="F283" s="12">
        <f t="shared" si="69"/>
        <v>6.1500000000000057</v>
      </c>
      <c r="G283" s="14"/>
      <c r="H283" s="14"/>
      <c r="I283" s="13">
        <v>90.6</v>
      </c>
      <c r="J283" s="15">
        <f t="shared" si="68"/>
        <v>4.3999999999999915</v>
      </c>
      <c r="K283" s="13">
        <v>26</v>
      </c>
      <c r="L283" s="14"/>
      <c r="M283" s="14"/>
      <c r="N283" s="14"/>
      <c r="O283" s="12">
        <f>E296-E299</f>
        <v>36.100000000000023</v>
      </c>
      <c r="P283" s="14"/>
      <c r="R283" s="14"/>
      <c r="S283" s="15">
        <f>92.2-I306</f>
        <v>43.6</v>
      </c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3.2">
      <c r="A284" s="14"/>
      <c r="B284" s="5">
        <v>0</v>
      </c>
      <c r="C284" s="5">
        <v>0</v>
      </c>
      <c r="D284" s="17">
        <v>42999</v>
      </c>
      <c r="E284" s="10">
        <v>334.3</v>
      </c>
      <c r="F284" s="12">
        <f t="shared" si="69"/>
        <v>9.5</v>
      </c>
      <c r="G284" s="14"/>
      <c r="H284" s="14"/>
      <c r="I284" s="13">
        <v>86.2</v>
      </c>
      <c r="J284" s="15">
        <f>(I283-I284)/(D284-D283)</f>
        <v>4.3999999999999915</v>
      </c>
      <c r="K284" s="13">
        <v>26.9</v>
      </c>
      <c r="L284" s="14"/>
      <c r="M284" s="14"/>
      <c r="N284" s="14"/>
      <c r="O284" s="12">
        <f>E300-E303</f>
        <v>38.400000000000034</v>
      </c>
      <c r="P284" s="14"/>
      <c r="Q284" s="14"/>
      <c r="R284" s="14"/>
      <c r="S284" s="15">
        <f>98.1-I318</f>
        <v>61.399999999999991</v>
      </c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3.2">
      <c r="A285" s="14"/>
      <c r="B285" s="5">
        <v>0.5</v>
      </c>
      <c r="C285" s="5">
        <v>0</v>
      </c>
      <c r="D285" s="17">
        <v>42999</v>
      </c>
      <c r="E285" s="10">
        <v>359.6</v>
      </c>
      <c r="F285" s="12"/>
      <c r="G285" s="14"/>
      <c r="H285" s="14"/>
      <c r="I285" s="13">
        <v>59.6</v>
      </c>
      <c r="J285" s="15"/>
      <c r="K285" s="13"/>
      <c r="L285" s="14"/>
      <c r="M285" s="14"/>
      <c r="N285" s="14"/>
      <c r="O285" s="12">
        <f>E304-E307</f>
        <v>29.400000000000034</v>
      </c>
      <c r="P285" s="14"/>
      <c r="Q285" s="14"/>
      <c r="R285" s="14"/>
      <c r="S285" s="15">
        <f>122.1-I332</f>
        <v>68.599999999999994</v>
      </c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3.2">
      <c r="A286" s="14"/>
      <c r="B286" s="5">
        <v>0.5</v>
      </c>
      <c r="C286" s="5">
        <f t="shared" ref="C286:C339" si="70">D286-$D$7</f>
        <v>1</v>
      </c>
      <c r="D286" s="17">
        <v>43000</v>
      </c>
      <c r="E286" s="10">
        <v>354.2</v>
      </c>
      <c r="F286" s="12">
        <f t="shared" ref="F286:F292" si="71">(E285-E286)/(D286-D285)</f>
        <v>5.4000000000000341</v>
      </c>
      <c r="G286" s="14"/>
      <c r="H286" s="14"/>
      <c r="I286" s="13">
        <v>52</v>
      </c>
      <c r="J286" s="15">
        <f t="shared" ref="J286:J291" si="72">(I285-I286)/(D286-D285)</f>
        <v>7.6000000000000014</v>
      </c>
      <c r="K286" s="13">
        <v>28.1</v>
      </c>
      <c r="L286" s="14"/>
      <c r="M286" s="14"/>
      <c r="N286" s="14"/>
      <c r="O286" s="12">
        <f>E308-E311</f>
        <v>26.600000000000023</v>
      </c>
      <c r="P286" s="14"/>
      <c r="Q286" s="14"/>
      <c r="R286" s="14"/>
      <c r="S286" s="14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3.2">
      <c r="A287" s="14"/>
      <c r="B287" s="5">
        <v>0.5</v>
      </c>
      <c r="C287" s="5">
        <f t="shared" si="70"/>
        <v>4</v>
      </c>
      <c r="D287" s="9">
        <v>43003</v>
      </c>
      <c r="E287" s="10">
        <v>338.6</v>
      </c>
      <c r="F287" s="12">
        <f t="shared" si="71"/>
        <v>5.1999999999999886</v>
      </c>
      <c r="G287" s="14"/>
      <c r="H287" s="14"/>
      <c r="I287" s="13">
        <v>42.1</v>
      </c>
      <c r="J287" s="15">
        <f t="shared" si="72"/>
        <v>3.2999999999999994</v>
      </c>
      <c r="K287" s="13">
        <v>28.7</v>
      </c>
      <c r="L287" s="14"/>
      <c r="M287" s="14"/>
      <c r="N287" s="14"/>
      <c r="O287" s="12">
        <f>E312-E315</f>
        <v>28.900000000000034</v>
      </c>
      <c r="P287" s="14"/>
      <c r="Q287" s="14"/>
      <c r="R287" s="14"/>
      <c r="S287" s="14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3.2">
      <c r="A288" s="14"/>
      <c r="B288" s="5">
        <v>1</v>
      </c>
      <c r="C288" s="5">
        <f t="shared" si="70"/>
        <v>6</v>
      </c>
      <c r="D288" s="9">
        <v>43005</v>
      </c>
      <c r="E288" s="10">
        <v>330</v>
      </c>
      <c r="F288" s="12">
        <f t="shared" si="71"/>
        <v>4.3000000000000114</v>
      </c>
      <c r="G288" s="14"/>
      <c r="H288" s="14"/>
      <c r="I288" s="13">
        <v>36.1</v>
      </c>
      <c r="J288" s="15">
        <f t="shared" si="72"/>
        <v>3</v>
      </c>
      <c r="K288" s="18">
        <v>29.2</v>
      </c>
      <c r="L288" s="14"/>
      <c r="M288" s="14"/>
      <c r="N288" s="14"/>
      <c r="O288" s="12">
        <f>E316-E318</f>
        <v>24.399999999999977</v>
      </c>
      <c r="P288" s="14"/>
      <c r="Q288" s="14"/>
      <c r="R288" s="14"/>
      <c r="S288" s="14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3.2">
      <c r="A289" s="14"/>
      <c r="B289" s="5">
        <v>1</v>
      </c>
      <c r="C289" s="5">
        <f t="shared" si="70"/>
        <v>8</v>
      </c>
      <c r="D289" s="9">
        <v>43007</v>
      </c>
      <c r="E289" s="10">
        <v>320.3</v>
      </c>
      <c r="F289" s="12">
        <f t="shared" si="71"/>
        <v>4.8499999999999943</v>
      </c>
      <c r="G289" s="14"/>
      <c r="H289" s="14"/>
      <c r="I289" s="13">
        <v>30.5</v>
      </c>
      <c r="J289" s="15">
        <f t="shared" si="72"/>
        <v>2.8000000000000007</v>
      </c>
      <c r="K289" s="13">
        <v>29.4</v>
      </c>
      <c r="L289" s="14"/>
      <c r="M289" s="14"/>
      <c r="N289" s="14"/>
      <c r="O289" s="12">
        <f>E319-E324</f>
        <v>33.5</v>
      </c>
      <c r="P289" s="14"/>
      <c r="Q289" s="14"/>
      <c r="R289" s="14"/>
      <c r="S289" s="14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3.2">
      <c r="A290" s="14"/>
      <c r="B290" s="5">
        <v>1</v>
      </c>
      <c r="C290" s="5">
        <f t="shared" si="70"/>
        <v>11</v>
      </c>
      <c r="D290" s="19">
        <v>43010</v>
      </c>
      <c r="E290" s="11">
        <v>304.60000000000002</v>
      </c>
      <c r="F290" s="12">
        <f t="shared" si="71"/>
        <v>5.2333333333333298</v>
      </c>
      <c r="G290" s="14"/>
      <c r="H290" s="14"/>
      <c r="I290" s="13">
        <v>22.4</v>
      </c>
      <c r="J290" s="15">
        <f t="shared" si="72"/>
        <v>2.7000000000000006</v>
      </c>
      <c r="K290" s="13">
        <v>29.7</v>
      </c>
      <c r="L290" s="14"/>
      <c r="M290" s="14"/>
      <c r="N290" s="14"/>
      <c r="O290" s="12">
        <f>E325-E328</f>
        <v>35.800000000000011</v>
      </c>
      <c r="P290" s="14"/>
      <c r="Q290" s="14"/>
      <c r="R290" s="14"/>
      <c r="S290" s="14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3.2">
      <c r="A291" s="14"/>
      <c r="B291" s="5">
        <v>1</v>
      </c>
      <c r="C291" s="5">
        <f t="shared" si="70"/>
        <v>13</v>
      </c>
      <c r="D291" s="19">
        <v>43012</v>
      </c>
      <c r="E291" s="11">
        <v>288.89999999999998</v>
      </c>
      <c r="F291" s="12">
        <f t="shared" si="71"/>
        <v>7.8500000000000227</v>
      </c>
      <c r="G291" s="14"/>
      <c r="H291" s="14"/>
      <c r="I291" s="13">
        <v>17.399999999999999</v>
      </c>
      <c r="J291" s="15">
        <f t="shared" si="72"/>
        <v>2.5</v>
      </c>
      <c r="K291" s="13">
        <v>29.8</v>
      </c>
      <c r="L291" s="14"/>
      <c r="M291" s="14"/>
      <c r="N291" s="14"/>
      <c r="O291" s="12">
        <f>E329-E332</f>
        <v>33.400000000000034</v>
      </c>
      <c r="P291" s="14"/>
      <c r="Q291" s="14"/>
      <c r="R291" s="14"/>
      <c r="S291" s="14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26.4">
      <c r="A292" s="14"/>
      <c r="B292" s="5">
        <v>2</v>
      </c>
      <c r="C292" s="5">
        <f t="shared" si="70"/>
        <v>14</v>
      </c>
      <c r="D292" s="20">
        <v>43013</v>
      </c>
      <c r="E292" s="11">
        <v>278</v>
      </c>
      <c r="F292" s="12">
        <f t="shared" si="71"/>
        <v>10.899999999999977</v>
      </c>
      <c r="G292" s="14"/>
      <c r="H292" s="14"/>
      <c r="I292" s="13" t="s">
        <v>62</v>
      </c>
      <c r="J292" s="15"/>
      <c r="K292" s="13"/>
      <c r="L292" s="14"/>
      <c r="M292" s="14"/>
      <c r="N292" s="14"/>
      <c r="O292" s="14"/>
      <c r="P292" s="14"/>
      <c r="Q292" s="14"/>
      <c r="R292" s="14"/>
      <c r="S292" s="14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3.2">
      <c r="A293" s="14"/>
      <c r="B293" s="5">
        <v>2</v>
      </c>
      <c r="C293" s="5">
        <f t="shared" si="70"/>
        <v>15</v>
      </c>
      <c r="D293" s="20">
        <v>43014</v>
      </c>
      <c r="E293" s="11">
        <v>379.1</v>
      </c>
      <c r="F293" s="12">
        <f>(387.1-E293)/(D293-D292)</f>
        <v>8</v>
      </c>
      <c r="G293" s="14"/>
      <c r="H293" s="14"/>
      <c r="I293" s="13">
        <v>50.4</v>
      </c>
      <c r="J293" s="15">
        <f>(56.5-I293)/(D293-D291)</f>
        <v>3.0500000000000007</v>
      </c>
      <c r="K293" s="13">
        <v>31</v>
      </c>
      <c r="L293" s="14"/>
      <c r="M293" s="14"/>
      <c r="N293" s="14"/>
      <c r="O293" s="14"/>
      <c r="P293" s="14"/>
      <c r="Q293" s="14"/>
      <c r="R293" s="14"/>
      <c r="S293" s="14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3.2">
      <c r="A294" s="14"/>
      <c r="B294" s="5">
        <v>2</v>
      </c>
      <c r="C294" s="5">
        <f t="shared" si="70"/>
        <v>18</v>
      </c>
      <c r="D294" s="20">
        <v>43017</v>
      </c>
      <c r="E294" s="11">
        <v>366.2</v>
      </c>
      <c r="F294" s="12">
        <f t="shared" ref="F294:F295" si="73">(E293-E294)/(D294-D293)</f>
        <v>4.3000000000000114</v>
      </c>
      <c r="G294" s="14"/>
      <c r="H294" s="14"/>
      <c r="I294" s="13">
        <v>41.3</v>
      </c>
      <c r="J294" s="15">
        <f t="shared" ref="J294:J295" si="74">(I293-I294)/(D294-D293)</f>
        <v>3.0333333333333337</v>
      </c>
      <c r="K294" s="13">
        <v>32.299999999999997</v>
      </c>
      <c r="L294" s="14"/>
      <c r="M294" s="14"/>
      <c r="N294" s="14"/>
      <c r="O294" s="14"/>
      <c r="P294" s="14"/>
      <c r="Q294" s="14"/>
      <c r="R294" s="14"/>
      <c r="S294" s="14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3.2">
      <c r="A295" s="14"/>
      <c r="B295" s="5">
        <v>2</v>
      </c>
      <c r="C295" s="5">
        <f t="shared" si="70"/>
        <v>20</v>
      </c>
      <c r="D295" s="20">
        <v>43019</v>
      </c>
      <c r="E295" s="11">
        <v>353.9</v>
      </c>
      <c r="F295" s="12">
        <f t="shared" si="73"/>
        <v>6.1500000000000057</v>
      </c>
      <c r="G295" s="14"/>
      <c r="H295" s="14"/>
      <c r="I295" s="13">
        <v>35.4</v>
      </c>
      <c r="J295" s="15">
        <f t="shared" si="74"/>
        <v>2.9499999999999993</v>
      </c>
      <c r="K295" s="13">
        <v>33.1</v>
      </c>
      <c r="L295" s="14"/>
      <c r="M295" s="14"/>
      <c r="N295" s="14"/>
      <c r="O295" s="14"/>
      <c r="P295" s="14"/>
      <c r="Q295" s="14"/>
      <c r="R295" s="14"/>
      <c r="S295" s="14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3.2">
      <c r="A296" s="14"/>
      <c r="B296" s="5">
        <v>3</v>
      </c>
      <c r="C296" s="5">
        <f t="shared" si="70"/>
        <v>21</v>
      </c>
      <c r="D296" s="20">
        <v>43020</v>
      </c>
      <c r="E296" s="11">
        <v>386.3</v>
      </c>
      <c r="F296" s="12"/>
      <c r="G296" s="14"/>
      <c r="H296" s="14"/>
      <c r="I296" s="15"/>
      <c r="J296" s="15"/>
      <c r="K296" s="15"/>
      <c r="L296" s="14"/>
      <c r="M296" s="14"/>
      <c r="N296" s="14"/>
      <c r="O296" s="14"/>
      <c r="P296" s="14"/>
      <c r="Q296" s="14"/>
      <c r="R296" s="14"/>
      <c r="S296" s="14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3.2">
      <c r="A297" s="14"/>
      <c r="B297" s="5">
        <v>3</v>
      </c>
      <c r="C297" s="5">
        <f t="shared" si="70"/>
        <v>22</v>
      </c>
      <c r="D297" s="20">
        <f>D295+2</f>
        <v>43021</v>
      </c>
      <c r="E297" s="11">
        <v>377</v>
      </c>
      <c r="F297" s="12">
        <f t="shared" ref="F297:F299" si="75">(E296-E297)/(D297-D296)</f>
        <v>9.3000000000000114</v>
      </c>
      <c r="G297" s="14"/>
      <c r="H297" s="14"/>
      <c r="I297" s="13">
        <v>45.8</v>
      </c>
      <c r="J297" s="14">
        <f t="shared" ref="J297:J298" si="76">(52.6-I297)/(D297-D295)</f>
        <v>3.4000000000000021</v>
      </c>
      <c r="K297" s="13">
        <v>34.1</v>
      </c>
      <c r="L297" s="14"/>
      <c r="M297" s="14"/>
      <c r="N297" s="14"/>
      <c r="O297" s="14"/>
      <c r="P297" s="14"/>
      <c r="Q297" s="14"/>
      <c r="R297" s="14"/>
      <c r="S297" s="14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3.2">
      <c r="A298" s="14"/>
      <c r="B298" s="5">
        <v>3</v>
      </c>
      <c r="C298" s="5">
        <f t="shared" si="70"/>
        <v>25</v>
      </c>
      <c r="D298" s="20">
        <f>D297+3</f>
        <v>43024</v>
      </c>
      <c r="E298" s="11">
        <v>361.4</v>
      </c>
      <c r="F298" s="12">
        <f t="shared" si="75"/>
        <v>5.2000000000000073</v>
      </c>
      <c r="G298" s="14"/>
      <c r="H298" s="14"/>
      <c r="I298" s="13">
        <v>36.700000000000003</v>
      </c>
      <c r="J298" s="16">
        <f t="shared" si="76"/>
        <v>3.9749999999999996</v>
      </c>
      <c r="K298" s="13">
        <v>35.5</v>
      </c>
      <c r="L298" s="14"/>
      <c r="M298" s="14"/>
      <c r="N298" s="14"/>
      <c r="O298" s="14"/>
      <c r="P298" s="14"/>
      <c r="Q298" s="14"/>
      <c r="R298" s="14"/>
      <c r="S298" s="14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3.2">
      <c r="A299" s="14"/>
      <c r="B299" s="5">
        <v>3</v>
      </c>
      <c r="C299" s="5">
        <f t="shared" si="70"/>
        <v>27</v>
      </c>
      <c r="D299" s="20">
        <f>D298+2</f>
        <v>43026</v>
      </c>
      <c r="E299" s="11">
        <v>350.2</v>
      </c>
      <c r="F299" s="12">
        <f t="shared" si="75"/>
        <v>5.5999999999999943</v>
      </c>
      <c r="G299" s="14"/>
      <c r="H299" s="14"/>
      <c r="I299" s="13">
        <v>84.9</v>
      </c>
      <c r="J299" s="16">
        <f>(92.2-I299)/(D299-D298)</f>
        <v>3.6499999999999986</v>
      </c>
      <c r="K299" s="13">
        <v>37.1</v>
      </c>
      <c r="L299" s="14"/>
      <c r="M299" s="14"/>
      <c r="N299" s="14"/>
      <c r="O299" s="14"/>
      <c r="P299" s="14"/>
      <c r="Q299" s="14"/>
      <c r="R299" s="14"/>
      <c r="S299" s="14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3.2">
      <c r="A300" s="14"/>
      <c r="B300" s="5">
        <v>4</v>
      </c>
      <c r="C300" s="5">
        <f t="shared" si="70"/>
        <v>28</v>
      </c>
      <c r="D300" s="20">
        <v>43027</v>
      </c>
      <c r="E300" s="11">
        <v>403.1</v>
      </c>
      <c r="F300" s="12"/>
      <c r="G300" s="14"/>
      <c r="H300" s="14"/>
      <c r="I300" s="15"/>
      <c r="J300" s="14"/>
      <c r="K300" s="15"/>
      <c r="L300" s="14"/>
      <c r="M300" s="14"/>
      <c r="N300" s="14"/>
      <c r="O300" s="14"/>
      <c r="P300" s="14"/>
      <c r="Q300" s="14"/>
      <c r="R300" s="14"/>
      <c r="S300" s="14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3.2">
      <c r="A301" s="14"/>
      <c r="B301" s="5">
        <v>4</v>
      </c>
      <c r="C301" s="5">
        <f t="shared" si="70"/>
        <v>29</v>
      </c>
      <c r="D301" s="20">
        <f>D299+2</f>
        <v>43028</v>
      </c>
      <c r="E301" s="11">
        <v>396.1</v>
      </c>
      <c r="F301" s="12">
        <f t="shared" ref="F301:F303" si="77">(E300-E301)/(D301-D300)</f>
        <v>7</v>
      </c>
      <c r="G301" s="14"/>
      <c r="H301" s="14"/>
      <c r="I301" s="13">
        <v>78.2</v>
      </c>
      <c r="J301" s="15">
        <f>(I299-I301)/(D301-D299)</f>
        <v>3.3500000000000014</v>
      </c>
      <c r="K301" s="13">
        <v>37.9</v>
      </c>
      <c r="L301" s="14"/>
      <c r="M301" s="14"/>
      <c r="N301" s="14"/>
      <c r="O301" s="14"/>
      <c r="P301" s="14"/>
      <c r="Q301" s="14"/>
      <c r="R301" s="14"/>
      <c r="S301" s="14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3.2">
      <c r="A302" s="14"/>
      <c r="B302" s="5">
        <v>4</v>
      </c>
      <c r="C302" s="5">
        <f t="shared" si="70"/>
        <v>32</v>
      </c>
      <c r="D302" s="20">
        <v>43031</v>
      </c>
      <c r="E302" s="11">
        <v>382.1</v>
      </c>
      <c r="F302" s="12">
        <f t="shared" si="77"/>
        <v>4.666666666666667</v>
      </c>
      <c r="G302" s="14"/>
      <c r="H302" s="14"/>
      <c r="I302" s="13">
        <v>68.400000000000006</v>
      </c>
      <c r="J302" s="15">
        <f t="shared" ref="J302:J303" si="78">(I301-I302)/(D302-D301)</f>
        <v>3.2666666666666657</v>
      </c>
      <c r="K302" s="13">
        <v>39.799999999999997</v>
      </c>
      <c r="L302" s="14"/>
      <c r="M302" s="14"/>
      <c r="N302" s="14"/>
      <c r="O302" s="14"/>
      <c r="P302" s="14"/>
      <c r="Q302" s="14"/>
      <c r="R302" s="14"/>
      <c r="S302" s="14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3.2">
      <c r="A303" s="14"/>
      <c r="B303" s="5">
        <v>4</v>
      </c>
      <c r="C303" s="5">
        <f t="shared" si="70"/>
        <v>34</v>
      </c>
      <c r="D303" s="20">
        <v>43033</v>
      </c>
      <c r="E303" s="11">
        <v>364.7</v>
      </c>
      <c r="F303" s="12">
        <f t="shared" si="77"/>
        <v>8.7000000000000171</v>
      </c>
      <c r="G303" s="14"/>
      <c r="H303" s="14"/>
      <c r="I303" s="13">
        <v>63.4</v>
      </c>
      <c r="J303" s="15">
        <f t="shared" si="78"/>
        <v>2.5000000000000036</v>
      </c>
      <c r="K303" s="13">
        <v>39.6</v>
      </c>
      <c r="L303" s="14"/>
      <c r="M303" s="14"/>
      <c r="N303" s="14"/>
      <c r="O303" s="14"/>
      <c r="P303" s="14"/>
      <c r="Q303" s="14"/>
      <c r="R303" s="14"/>
      <c r="S303" s="14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3.2">
      <c r="A304" s="14"/>
      <c r="B304" s="5">
        <v>5</v>
      </c>
      <c r="C304" s="5">
        <f t="shared" si="70"/>
        <v>35</v>
      </c>
      <c r="D304" s="20">
        <v>43034</v>
      </c>
      <c r="E304" s="11">
        <v>405.1</v>
      </c>
      <c r="F304" s="12"/>
      <c r="G304" s="14"/>
      <c r="H304" s="14"/>
      <c r="I304" s="15"/>
      <c r="J304" s="15"/>
      <c r="K304" s="15"/>
      <c r="L304" s="14"/>
      <c r="M304" s="14"/>
      <c r="N304" s="14"/>
      <c r="O304" s="14"/>
      <c r="P304" s="14"/>
      <c r="Q304" s="14"/>
      <c r="R304" s="14"/>
      <c r="S304" s="14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3.2">
      <c r="A305" s="14"/>
      <c r="B305" s="5">
        <v>5</v>
      </c>
      <c r="C305" s="5">
        <f t="shared" si="70"/>
        <v>36</v>
      </c>
      <c r="D305" s="20">
        <v>43035</v>
      </c>
      <c r="E305" s="11">
        <v>400.8</v>
      </c>
      <c r="F305" s="12">
        <f t="shared" ref="F305:F307" si="79">(E304-E305)/(D305-D304)</f>
        <v>4.3000000000000114</v>
      </c>
      <c r="G305" s="14"/>
      <c r="H305" s="14"/>
      <c r="I305" s="13">
        <v>57.8</v>
      </c>
      <c r="J305" s="15">
        <f>(I303-I305)/(D305-D303)</f>
        <v>2.8000000000000007</v>
      </c>
      <c r="K305" s="13">
        <v>40.200000000000003</v>
      </c>
      <c r="L305" s="14"/>
      <c r="M305" s="14"/>
      <c r="N305" s="14"/>
      <c r="O305" s="14"/>
      <c r="P305" s="14"/>
      <c r="Q305" s="14"/>
      <c r="R305" s="14"/>
      <c r="S305" s="14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3.2">
      <c r="A306" s="14"/>
      <c r="B306" s="5">
        <v>5</v>
      </c>
      <c r="C306" s="5">
        <f t="shared" si="70"/>
        <v>39</v>
      </c>
      <c r="D306" s="20">
        <v>43038</v>
      </c>
      <c r="E306" s="11">
        <v>384.4</v>
      </c>
      <c r="F306" s="12">
        <f t="shared" si="79"/>
        <v>5.4666666666666783</v>
      </c>
      <c r="G306" s="14"/>
      <c r="H306" s="14"/>
      <c r="I306" s="13">
        <v>48.6</v>
      </c>
      <c r="J306" s="15">
        <f>(I305-I306)/(D306-D305)</f>
        <v>3.0666666666666651</v>
      </c>
      <c r="K306" s="13">
        <v>42</v>
      </c>
      <c r="L306" s="14"/>
      <c r="M306" s="14"/>
      <c r="N306" s="14"/>
      <c r="O306" s="14"/>
      <c r="P306" s="14"/>
      <c r="Q306" s="14"/>
      <c r="R306" s="14"/>
      <c r="S306" s="14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3.2">
      <c r="A307" s="14"/>
      <c r="B307" s="5">
        <v>5</v>
      </c>
      <c r="C307" s="5">
        <f t="shared" si="70"/>
        <v>41</v>
      </c>
      <c r="D307" s="20">
        <v>43040</v>
      </c>
      <c r="E307" s="11">
        <v>375.7</v>
      </c>
      <c r="F307" s="12">
        <f t="shared" si="79"/>
        <v>4.3499999999999943</v>
      </c>
      <c r="G307" s="14"/>
      <c r="H307" s="14"/>
      <c r="I307" s="13">
        <v>91.1</v>
      </c>
      <c r="J307" s="14">
        <f>(98.1-I307)/(D307-D306)</f>
        <v>3.5</v>
      </c>
      <c r="K307" s="13">
        <v>43</v>
      </c>
      <c r="L307" s="14"/>
      <c r="M307" s="14"/>
      <c r="N307" s="14"/>
      <c r="O307" s="14"/>
      <c r="P307" s="14"/>
      <c r="Q307" s="14"/>
      <c r="R307" s="14"/>
      <c r="S307" s="14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3.2">
      <c r="A308" s="14"/>
      <c r="B308" s="5">
        <v>6</v>
      </c>
      <c r="C308" s="5">
        <f t="shared" si="70"/>
        <v>42</v>
      </c>
      <c r="D308" s="20">
        <v>43041</v>
      </c>
      <c r="E308" s="11">
        <v>392.6</v>
      </c>
      <c r="F308" s="12"/>
      <c r="G308" s="14"/>
      <c r="H308" s="14"/>
      <c r="I308" s="15"/>
      <c r="J308" s="14"/>
      <c r="K308" s="15"/>
      <c r="L308" s="14"/>
      <c r="M308" s="14"/>
      <c r="N308" s="14"/>
      <c r="O308" s="14"/>
      <c r="P308" s="14"/>
      <c r="Q308" s="14"/>
      <c r="R308" s="14"/>
      <c r="S308" s="14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3.2">
      <c r="A309" s="14"/>
      <c r="B309" s="5">
        <v>6</v>
      </c>
      <c r="C309" s="5">
        <f t="shared" si="70"/>
        <v>43</v>
      </c>
      <c r="D309" s="20">
        <v>43042</v>
      </c>
      <c r="E309" s="11">
        <v>387.4</v>
      </c>
      <c r="F309" s="12">
        <f t="shared" ref="F309:F311" si="80">(E308-E309)/(D309-D308)</f>
        <v>5.2000000000000455</v>
      </c>
      <c r="G309" s="14"/>
      <c r="H309" s="14"/>
      <c r="I309" s="13">
        <v>84.9</v>
      </c>
      <c r="J309" s="15">
        <f>(I307-I309)/(D309-D307)</f>
        <v>3.0999999999999943</v>
      </c>
      <c r="K309" s="13">
        <v>44.5</v>
      </c>
      <c r="L309" s="14"/>
      <c r="M309" s="14"/>
      <c r="N309" s="14"/>
      <c r="O309" s="14"/>
      <c r="P309" s="14"/>
      <c r="Q309" s="14"/>
      <c r="R309" s="14"/>
      <c r="S309" s="14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3.2">
      <c r="A310" s="14"/>
      <c r="B310" s="5">
        <v>6</v>
      </c>
      <c r="C310" s="5">
        <f t="shared" si="70"/>
        <v>46</v>
      </c>
      <c r="D310" s="20">
        <v>43045</v>
      </c>
      <c r="E310" s="11">
        <v>374.6</v>
      </c>
      <c r="F310" s="12">
        <f t="shared" si="80"/>
        <v>4.2666666666666515</v>
      </c>
      <c r="G310" s="14"/>
      <c r="H310" s="14"/>
      <c r="I310" s="13">
        <v>76.599999999999994</v>
      </c>
      <c r="J310" s="15">
        <f t="shared" ref="J310:J311" si="81">(I309-I310)/(D310-D309)</f>
        <v>2.7666666666666706</v>
      </c>
      <c r="K310" s="13">
        <v>45</v>
      </c>
      <c r="L310" s="14"/>
      <c r="M310" s="14"/>
      <c r="N310" s="14"/>
      <c r="O310" s="14"/>
      <c r="P310" s="14"/>
      <c r="Q310" s="14"/>
      <c r="R310" s="14"/>
      <c r="S310" s="14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3.2">
      <c r="A311" s="14"/>
      <c r="B311" s="5">
        <v>6</v>
      </c>
      <c r="C311" s="5">
        <f t="shared" si="70"/>
        <v>48</v>
      </c>
      <c r="D311" s="20">
        <v>43047</v>
      </c>
      <c r="E311" s="11">
        <v>366</v>
      </c>
      <c r="F311" s="12">
        <f t="shared" si="80"/>
        <v>4.3000000000000114</v>
      </c>
      <c r="G311" s="14"/>
      <c r="H311" s="14"/>
      <c r="I311" s="13">
        <v>70.5</v>
      </c>
      <c r="J311" s="15">
        <f t="shared" si="81"/>
        <v>3.0499999999999972</v>
      </c>
      <c r="K311" s="13">
        <v>44.6</v>
      </c>
      <c r="L311" s="14"/>
      <c r="M311" s="14"/>
      <c r="N311" s="14"/>
      <c r="O311" s="14"/>
      <c r="P311" s="14"/>
      <c r="Q311" s="14"/>
      <c r="R311" s="14"/>
      <c r="S311" s="14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3.2">
      <c r="A312" s="14"/>
      <c r="B312" s="5">
        <v>7</v>
      </c>
      <c r="C312" s="5">
        <f t="shared" si="70"/>
        <v>49</v>
      </c>
      <c r="D312" s="20">
        <v>43048</v>
      </c>
      <c r="E312" s="11">
        <v>396.3</v>
      </c>
      <c r="F312" s="12"/>
      <c r="G312" s="14"/>
      <c r="H312" s="14"/>
      <c r="I312" s="15"/>
      <c r="J312" s="14"/>
      <c r="K312" s="15"/>
      <c r="L312" s="14"/>
      <c r="M312" s="14"/>
      <c r="N312" s="14"/>
      <c r="O312" s="14"/>
      <c r="P312" s="14"/>
      <c r="Q312" s="14"/>
      <c r="R312" s="14"/>
      <c r="S312" s="14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3.2">
      <c r="A313" s="14"/>
      <c r="B313" s="5">
        <v>7</v>
      </c>
      <c r="C313" s="5">
        <f t="shared" si="70"/>
        <v>50</v>
      </c>
      <c r="D313" s="20">
        <v>43049</v>
      </c>
      <c r="E313" s="11">
        <v>389.4</v>
      </c>
      <c r="F313" s="12">
        <f t="shared" ref="F313:F315" si="82">(E312-E313)/(D313-D312)</f>
        <v>6.9000000000000341</v>
      </c>
      <c r="G313" s="14"/>
      <c r="H313" s="14"/>
      <c r="I313" s="13">
        <v>64.099999999999994</v>
      </c>
      <c r="J313" s="15">
        <f>(I311-I313)/(D313-D311)</f>
        <v>3.2000000000000028</v>
      </c>
      <c r="K313" s="13">
        <v>46</v>
      </c>
      <c r="L313" s="14"/>
      <c r="M313" s="14"/>
      <c r="N313" s="14"/>
      <c r="O313" s="14"/>
      <c r="P313" s="14"/>
      <c r="Q313" s="14"/>
      <c r="R313" s="14"/>
      <c r="S313" s="14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3.2">
      <c r="A314" s="14"/>
      <c r="B314" s="5">
        <v>7</v>
      </c>
      <c r="C314" s="5">
        <f t="shared" si="70"/>
        <v>53</v>
      </c>
      <c r="D314" s="20">
        <v>43052</v>
      </c>
      <c r="E314" s="11">
        <v>375.9</v>
      </c>
      <c r="F314" s="12">
        <f t="shared" si="82"/>
        <v>4.5</v>
      </c>
      <c r="G314" s="14"/>
      <c r="H314" s="14"/>
      <c r="I314" s="13">
        <v>55.2</v>
      </c>
      <c r="J314" s="15">
        <f t="shared" ref="J314:J315" si="83">(I313-I314)/(D314-D313)</f>
        <v>2.9666666666666637</v>
      </c>
      <c r="K314" s="13">
        <v>46.8</v>
      </c>
      <c r="L314" s="14"/>
      <c r="M314" s="14"/>
      <c r="N314" s="14"/>
      <c r="O314" s="14"/>
      <c r="P314" s="14"/>
      <c r="Q314" s="14"/>
      <c r="R314" s="14"/>
      <c r="S314" s="14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3.2">
      <c r="A315" s="14"/>
      <c r="B315" s="5">
        <v>7</v>
      </c>
      <c r="C315" s="5">
        <f t="shared" si="70"/>
        <v>55</v>
      </c>
      <c r="D315" s="20">
        <v>43054</v>
      </c>
      <c r="E315" s="11">
        <v>367.4</v>
      </c>
      <c r="F315" s="12">
        <f t="shared" si="82"/>
        <v>4.25</v>
      </c>
      <c r="G315" s="14"/>
      <c r="H315" s="14"/>
      <c r="I315" s="13">
        <v>49.6</v>
      </c>
      <c r="J315" s="15">
        <f t="shared" si="83"/>
        <v>2.8000000000000007</v>
      </c>
      <c r="K315" s="13">
        <v>47.2</v>
      </c>
      <c r="L315" s="14"/>
      <c r="M315" s="14"/>
      <c r="N315" s="14"/>
      <c r="O315" s="14"/>
      <c r="P315" s="14"/>
      <c r="Q315" s="14"/>
      <c r="R315" s="14"/>
      <c r="S315" s="14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3.2">
      <c r="A316" s="14"/>
      <c r="B316" s="5">
        <v>8</v>
      </c>
      <c r="C316" s="5">
        <f t="shared" si="70"/>
        <v>56</v>
      </c>
      <c r="D316" s="20">
        <v>43055</v>
      </c>
      <c r="E316" s="11">
        <v>406</v>
      </c>
      <c r="F316" s="12"/>
      <c r="G316" s="14"/>
      <c r="H316" s="14"/>
      <c r="I316" s="15"/>
      <c r="J316" s="14"/>
      <c r="K316" s="15"/>
      <c r="L316" s="14"/>
      <c r="M316" s="14"/>
      <c r="N316" s="14"/>
      <c r="O316" s="14"/>
      <c r="P316" s="14"/>
      <c r="Q316" s="14"/>
      <c r="R316" s="14"/>
      <c r="S316" s="14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3.2">
      <c r="A317" s="14"/>
      <c r="B317" s="5">
        <v>8</v>
      </c>
      <c r="C317" s="5">
        <f t="shared" si="70"/>
        <v>57</v>
      </c>
      <c r="D317" s="20">
        <v>43056</v>
      </c>
      <c r="E317" s="11">
        <v>392.5</v>
      </c>
      <c r="F317" s="12">
        <f t="shared" ref="F317:F318" si="84">(E316-E317)/(D317-D316)</f>
        <v>13.5</v>
      </c>
      <c r="G317" s="14"/>
      <c r="H317" s="14"/>
      <c r="I317" s="13">
        <v>44.2</v>
      </c>
      <c r="J317" s="16">
        <f>(I315-I317)/(D317-D315)</f>
        <v>2.6999999999999993</v>
      </c>
      <c r="K317" s="13">
        <v>47.1</v>
      </c>
      <c r="L317" s="14"/>
      <c r="M317" s="14"/>
      <c r="N317" s="14"/>
      <c r="O317" s="14"/>
      <c r="P317" s="14"/>
      <c r="Q317" s="14"/>
      <c r="R317" s="14"/>
      <c r="S317" s="14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3.2">
      <c r="A318" s="14"/>
      <c r="B318" s="5">
        <v>8</v>
      </c>
      <c r="C318" s="5">
        <f t="shared" si="70"/>
        <v>60</v>
      </c>
      <c r="D318" s="20">
        <v>43059</v>
      </c>
      <c r="E318" s="11">
        <v>381.6</v>
      </c>
      <c r="F318" s="12">
        <f t="shared" si="84"/>
        <v>3.6333333333333258</v>
      </c>
      <c r="G318" s="14"/>
      <c r="H318" s="14"/>
      <c r="I318" s="13">
        <v>36.700000000000003</v>
      </c>
      <c r="J318" s="15">
        <f>(I317-I318)/(D318-D317)</f>
        <v>2.5</v>
      </c>
      <c r="K318" s="13">
        <v>47.2</v>
      </c>
      <c r="L318" s="14"/>
      <c r="M318" s="14"/>
      <c r="N318" s="14"/>
      <c r="O318" s="14"/>
      <c r="P318" s="14"/>
      <c r="Q318" s="14"/>
      <c r="R318" s="14"/>
      <c r="S318" s="14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3.2">
      <c r="A319" s="14"/>
      <c r="B319" s="5">
        <v>8</v>
      </c>
      <c r="C319" s="5">
        <f t="shared" si="70"/>
        <v>61</v>
      </c>
      <c r="D319" s="20">
        <v>43060</v>
      </c>
      <c r="E319" s="11">
        <v>367.6</v>
      </c>
      <c r="F319" s="12"/>
      <c r="G319" s="14"/>
      <c r="H319" s="14"/>
      <c r="I319" s="15"/>
      <c r="J319" s="14"/>
      <c r="K319" s="15"/>
      <c r="L319" s="14"/>
      <c r="M319" s="14"/>
      <c r="N319" s="14"/>
      <c r="O319" s="14"/>
      <c r="P319" s="14"/>
      <c r="Q319" s="14"/>
      <c r="R319" s="14"/>
      <c r="S319" s="14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3.2">
      <c r="A320" s="14"/>
      <c r="B320" s="5">
        <v>8</v>
      </c>
      <c r="C320" s="5">
        <f t="shared" si="70"/>
        <v>62</v>
      </c>
      <c r="D320" s="20">
        <v>43061</v>
      </c>
      <c r="E320" s="11">
        <v>364</v>
      </c>
      <c r="F320" s="12">
        <f>(E319-E320)/(D320-D319)</f>
        <v>3.6000000000000227</v>
      </c>
      <c r="G320" s="14"/>
      <c r="H320" s="14"/>
      <c r="I320" s="13">
        <v>113</v>
      </c>
      <c r="J320" s="14">
        <f>(122.1-I320)/(D320-D319)</f>
        <v>9.0999999999999943</v>
      </c>
      <c r="K320" s="13">
        <v>48.5</v>
      </c>
      <c r="L320" s="14"/>
      <c r="M320" s="14"/>
      <c r="N320" s="14"/>
      <c r="O320" s="14"/>
      <c r="P320" s="14"/>
      <c r="Q320" s="14"/>
      <c r="R320" s="14"/>
      <c r="S320" s="14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3.2">
      <c r="A321" s="14"/>
      <c r="B321" s="5">
        <v>9</v>
      </c>
      <c r="C321" s="5">
        <f t="shared" si="70"/>
        <v>63</v>
      </c>
      <c r="D321" s="20">
        <v>43062</v>
      </c>
      <c r="E321" s="11"/>
      <c r="F321" s="12"/>
      <c r="G321" s="14"/>
      <c r="H321" s="14"/>
      <c r="I321" s="13"/>
      <c r="J321" s="15"/>
      <c r="K321" s="13"/>
      <c r="L321" s="14"/>
      <c r="M321" s="14"/>
      <c r="N321" s="14"/>
      <c r="O321" s="14"/>
      <c r="P321" s="14"/>
      <c r="Q321" s="14"/>
      <c r="R321" s="14"/>
      <c r="S321" s="14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3.2">
      <c r="A322" s="14"/>
      <c r="B322" s="5">
        <v>9</v>
      </c>
      <c r="C322" s="5">
        <f t="shared" si="70"/>
        <v>64</v>
      </c>
      <c r="D322" s="20">
        <v>43063</v>
      </c>
      <c r="E322" s="11">
        <v>356</v>
      </c>
      <c r="F322" s="12">
        <f>(E320-E322)/(D322-D320)</f>
        <v>4</v>
      </c>
      <c r="G322" s="14"/>
      <c r="H322" s="14"/>
      <c r="I322" s="13">
        <v>106</v>
      </c>
      <c r="J322" s="15">
        <f>(I320-I322)/(D322-D320)</f>
        <v>3.5</v>
      </c>
      <c r="K322" s="13">
        <v>49.4</v>
      </c>
      <c r="L322" s="14"/>
      <c r="M322" s="14"/>
      <c r="N322" s="14"/>
      <c r="O322" s="14"/>
      <c r="P322" s="14"/>
      <c r="Q322" s="14"/>
      <c r="R322" s="14"/>
      <c r="S322" s="14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3.2">
      <c r="A323" s="14"/>
      <c r="B323" s="5">
        <v>9</v>
      </c>
      <c r="C323" s="5">
        <f t="shared" si="70"/>
        <v>67</v>
      </c>
      <c r="D323" s="23">
        <v>43066</v>
      </c>
      <c r="E323" s="11">
        <v>343.7</v>
      </c>
      <c r="F323" s="12">
        <f t="shared" ref="F323:F324" si="85">(E322-E323)/(D323-D322)</f>
        <v>4.1000000000000041</v>
      </c>
      <c r="G323" s="14"/>
      <c r="H323" s="14"/>
      <c r="I323" s="13">
        <v>97.8</v>
      </c>
      <c r="J323" s="15">
        <f t="shared" ref="J323:J324" si="86">(I322-I323)/(D323-D322)</f>
        <v>2.7333333333333343</v>
      </c>
      <c r="K323" s="13">
        <v>50</v>
      </c>
      <c r="L323" s="14"/>
      <c r="M323" s="14"/>
      <c r="N323" s="14"/>
      <c r="O323" s="14"/>
      <c r="P323" s="14"/>
      <c r="Q323" s="14"/>
      <c r="R323" s="14"/>
      <c r="S323" s="14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3.2">
      <c r="A324" s="14"/>
      <c r="B324" s="5">
        <v>9</v>
      </c>
      <c r="C324" s="5">
        <f t="shared" si="70"/>
        <v>69</v>
      </c>
      <c r="D324" s="23">
        <v>43068</v>
      </c>
      <c r="E324" s="11">
        <v>334.1</v>
      </c>
      <c r="F324" s="12">
        <f t="shared" si="85"/>
        <v>4.7999999999999829</v>
      </c>
      <c r="G324" s="14"/>
      <c r="H324" s="14"/>
      <c r="I324" s="13">
        <v>92.3</v>
      </c>
      <c r="J324" s="15">
        <f t="shared" si="86"/>
        <v>2.75</v>
      </c>
      <c r="K324" s="13">
        <v>50.7</v>
      </c>
      <c r="L324" s="14"/>
      <c r="M324" s="14"/>
      <c r="N324" s="14"/>
      <c r="O324" s="14"/>
      <c r="P324" s="14"/>
      <c r="Q324" s="14"/>
      <c r="R324" s="14"/>
      <c r="S324" s="14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3.2">
      <c r="A325" s="14"/>
      <c r="B325" s="5">
        <v>10</v>
      </c>
      <c r="C325" s="5">
        <f t="shared" si="70"/>
        <v>70</v>
      </c>
      <c r="D325" s="23">
        <v>43069</v>
      </c>
      <c r="E325" s="11">
        <v>367.3</v>
      </c>
      <c r="F325" s="12"/>
      <c r="G325" s="14"/>
      <c r="H325" s="14"/>
      <c r="I325" s="15"/>
      <c r="J325" s="14"/>
      <c r="K325" s="15"/>
      <c r="L325" s="14"/>
      <c r="M325" s="14"/>
      <c r="N325" s="14"/>
      <c r="O325" s="14"/>
      <c r="P325" s="14"/>
      <c r="Q325" s="14"/>
      <c r="R325" s="14"/>
      <c r="S325" s="14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3.2">
      <c r="A326" s="14"/>
      <c r="B326" s="5">
        <v>10</v>
      </c>
      <c r="C326" s="5">
        <f t="shared" si="70"/>
        <v>71</v>
      </c>
      <c r="D326" s="23">
        <v>43070</v>
      </c>
      <c r="E326" s="11">
        <v>358.1</v>
      </c>
      <c r="F326" s="12">
        <f t="shared" ref="F326:F328" si="87">(E325-E326)/(D326-D325)</f>
        <v>9.1999999999999886</v>
      </c>
      <c r="G326" s="14"/>
      <c r="H326" s="14"/>
      <c r="I326" s="13">
        <v>86.8</v>
      </c>
      <c r="J326" s="16">
        <f>(I324-I326)/(D326-D324)</f>
        <v>2.75</v>
      </c>
      <c r="K326" s="13">
        <v>50.7</v>
      </c>
      <c r="L326" s="14"/>
      <c r="M326" s="14"/>
      <c r="N326" s="14"/>
      <c r="O326" s="14"/>
      <c r="P326" s="14"/>
      <c r="Q326" s="14"/>
      <c r="R326" s="14"/>
      <c r="S326" s="14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3.2">
      <c r="A327" s="14"/>
      <c r="B327" s="5">
        <v>10</v>
      </c>
      <c r="C327" s="5">
        <f t="shared" si="70"/>
        <v>74</v>
      </c>
      <c r="D327" s="23">
        <v>43073</v>
      </c>
      <c r="E327" s="11">
        <v>345.3</v>
      </c>
      <c r="F327" s="12">
        <f t="shared" si="87"/>
        <v>4.2666666666666702</v>
      </c>
      <c r="G327" s="14"/>
      <c r="H327" s="14"/>
      <c r="I327" s="13">
        <v>78.900000000000006</v>
      </c>
      <c r="J327" s="15">
        <f t="shared" ref="J327:J328" si="88">(I326-I327)/(D327-D326)</f>
        <v>2.6333333333333306</v>
      </c>
      <c r="K327" s="13">
        <v>50.7</v>
      </c>
      <c r="L327" s="14"/>
      <c r="M327" s="14"/>
      <c r="N327" s="14"/>
      <c r="O327" s="14"/>
      <c r="P327" s="14"/>
      <c r="Q327" s="14"/>
      <c r="R327" s="14"/>
      <c r="S327" s="14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3.2">
      <c r="A328" s="14"/>
      <c r="B328" s="5">
        <v>10</v>
      </c>
      <c r="C328" s="5">
        <f t="shared" si="70"/>
        <v>76</v>
      </c>
      <c r="D328" s="23">
        <v>43075</v>
      </c>
      <c r="E328" s="11">
        <v>331.5</v>
      </c>
      <c r="F328" s="12">
        <f t="shared" si="87"/>
        <v>6.9000000000000057</v>
      </c>
      <c r="G328" s="14"/>
      <c r="H328" s="14"/>
      <c r="I328" s="13">
        <v>73.5</v>
      </c>
      <c r="J328" s="15">
        <f t="shared" si="88"/>
        <v>2.7000000000000028</v>
      </c>
      <c r="K328" s="13">
        <v>50.5</v>
      </c>
      <c r="L328" s="14"/>
      <c r="M328" s="14"/>
      <c r="N328" s="14"/>
      <c r="O328" s="14"/>
      <c r="P328" s="14"/>
      <c r="Q328" s="14"/>
      <c r="R328" s="14"/>
      <c r="S328" s="14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3.2">
      <c r="A329" s="14"/>
      <c r="B329" s="5">
        <v>11</v>
      </c>
      <c r="C329" s="5">
        <f t="shared" si="70"/>
        <v>77</v>
      </c>
      <c r="D329" s="24">
        <v>43076</v>
      </c>
      <c r="E329" s="11">
        <v>349.6</v>
      </c>
      <c r="F329" s="12"/>
      <c r="G329" s="14"/>
      <c r="H329" s="14"/>
      <c r="I329" s="15"/>
      <c r="J329" s="14"/>
      <c r="K329" s="15"/>
      <c r="L329" s="14"/>
      <c r="M329" s="14"/>
      <c r="N329" s="14"/>
      <c r="O329" s="14"/>
      <c r="P329" s="14"/>
      <c r="Q329" s="14"/>
      <c r="R329" s="14"/>
      <c r="S329" s="14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3.2">
      <c r="A330" s="14"/>
      <c r="B330" s="5">
        <v>11</v>
      </c>
      <c r="C330" s="5">
        <f t="shared" si="70"/>
        <v>78</v>
      </c>
      <c r="D330" s="24">
        <v>43077</v>
      </c>
      <c r="E330" s="11">
        <v>342.4</v>
      </c>
      <c r="F330" s="12">
        <f t="shared" ref="F330:F332" si="89">(E329-E330)/(D330-D329)</f>
        <v>7.2000000000000455</v>
      </c>
      <c r="G330" s="14"/>
      <c r="H330" s="14"/>
      <c r="I330" s="13">
        <v>67.2</v>
      </c>
      <c r="J330" s="16">
        <f>(I328-I330)/(D330-D328)</f>
        <v>3.1499999999999986</v>
      </c>
      <c r="K330" s="13">
        <v>51.3</v>
      </c>
      <c r="L330" s="14"/>
      <c r="M330" s="14"/>
      <c r="N330" s="14"/>
      <c r="O330" s="14"/>
      <c r="P330" s="14"/>
      <c r="Q330" s="14"/>
      <c r="R330" s="14"/>
      <c r="S330" s="14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3.2">
      <c r="A331" s="14"/>
      <c r="B331" s="5">
        <v>11</v>
      </c>
      <c r="C331" s="5">
        <f t="shared" si="70"/>
        <v>81</v>
      </c>
      <c r="D331" s="24">
        <v>43080</v>
      </c>
      <c r="E331" s="11">
        <v>330.2</v>
      </c>
      <c r="F331" s="12">
        <f t="shared" si="89"/>
        <v>4.0666666666666629</v>
      </c>
      <c r="G331" s="14"/>
      <c r="H331" s="14"/>
      <c r="I331" s="13">
        <v>59</v>
      </c>
      <c r="J331" s="15">
        <f t="shared" ref="J331:J332" si="90">(I330-I331)/(D331-D330)</f>
        <v>2.7333333333333343</v>
      </c>
      <c r="K331" s="13">
        <v>51.4</v>
      </c>
      <c r="L331" s="14"/>
      <c r="M331" s="14"/>
      <c r="N331" s="14"/>
      <c r="O331" s="14"/>
      <c r="P331" s="14"/>
      <c r="Q331" s="14"/>
      <c r="R331" s="14"/>
      <c r="S331" s="14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26.4">
      <c r="A332" s="5" t="s">
        <v>45</v>
      </c>
      <c r="B332" s="5">
        <v>11</v>
      </c>
      <c r="C332" s="5">
        <f t="shared" si="70"/>
        <v>83</v>
      </c>
      <c r="D332" s="25">
        <v>43082</v>
      </c>
      <c r="E332" s="11">
        <v>316.2</v>
      </c>
      <c r="F332" s="12">
        <f t="shared" si="89"/>
        <v>7</v>
      </c>
      <c r="G332" s="14"/>
      <c r="H332" s="14"/>
      <c r="I332" s="13">
        <v>53.5</v>
      </c>
      <c r="J332" s="15">
        <f t="shared" si="90"/>
        <v>2.75</v>
      </c>
      <c r="K332" s="13">
        <v>51.8</v>
      </c>
      <c r="L332" s="14"/>
      <c r="M332" s="14"/>
      <c r="N332" s="14"/>
      <c r="O332" s="14"/>
      <c r="P332" s="14"/>
      <c r="Q332" s="14"/>
      <c r="R332" s="14"/>
      <c r="S332" s="14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3.2">
      <c r="A333" s="14"/>
      <c r="B333" s="5">
        <v>12</v>
      </c>
      <c r="C333" s="5">
        <f t="shared" si="70"/>
        <v>84</v>
      </c>
      <c r="D333" s="24">
        <v>43083</v>
      </c>
      <c r="E333" s="12"/>
      <c r="F333" s="12"/>
      <c r="G333" s="14"/>
      <c r="H333" s="14"/>
      <c r="I333" s="15"/>
      <c r="J333" s="14"/>
      <c r="K333" s="13"/>
      <c r="L333" s="14"/>
      <c r="M333" s="14"/>
      <c r="N333" s="14"/>
      <c r="O333" s="14"/>
      <c r="P333" s="14"/>
      <c r="Q333" s="14"/>
      <c r="R333" s="14"/>
      <c r="S333" s="14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3.2">
      <c r="A334" s="26" t="s">
        <v>65</v>
      </c>
      <c r="B334" s="26">
        <v>12</v>
      </c>
      <c r="C334" s="26">
        <f t="shared" si="70"/>
        <v>85</v>
      </c>
      <c r="D334" s="27">
        <v>43084</v>
      </c>
      <c r="E334" s="28"/>
      <c r="F334" s="28"/>
      <c r="G334" s="29"/>
      <c r="H334" s="29"/>
      <c r="I334" s="100"/>
      <c r="J334" s="29"/>
      <c r="K334" s="101">
        <v>49.9</v>
      </c>
      <c r="L334" s="29"/>
      <c r="M334" s="29"/>
      <c r="N334" s="29"/>
      <c r="O334" s="29"/>
      <c r="P334" s="29"/>
      <c r="Q334" s="29"/>
      <c r="R334" s="29"/>
      <c r="S334" s="14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3.2">
      <c r="A335" s="14"/>
      <c r="B335" s="5">
        <v>12</v>
      </c>
      <c r="C335" s="5">
        <f t="shared" si="70"/>
        <v>98</v>
      </c>
      <c r="D335" s="32">
        <v>43097</v>
      </c>
      <c r="E335" s="12"/>
      <c r="F335" s="12"/>
      <c r="G335" s="14"/>
      <c r="H335" s="14"/>
      <c r="I335" s="33">
        <v>72.5</v>
      </c>
      <c r="J335" s="14"/>
      <c r="K335" s="33">
        <v>52.8</v>
      </c>
      <c r="L335" s="14"/>
      <c r="M335" s="14"/>
      <c r="N335" s="14"/>
      <c r="O335" s="14"/>
      <c r="P335" s="14"/>
      <c r="Q335" s="14"/>
      <c r="R335" s="14"/>
      <c r="S335" s="14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3.2">
      <c r="A336" s="14"/>
      <c r="B336" s="5">
        <v>12</v>
      </c>
      <c r="C336" s="5">
        <f t="shared" si="70"/>
        <v>105</v>
      </c>
      <c r="D336" s="32">
        <v>43104</v>
      </c>
      <c r="E336" s="12"/>
      <c r="F336" s="12"/>
      <c r="G336" s="14"/>
      <c r="H336" s="14"/>
      <c r="I336" s="33">
        <v>48.9</v>
      </c>
      <c r="J336" s="14"/>
      <c r="K336" s="33">
        <v>54.4</v>
      </c>
      <c r="L336" s="14"/>
      <c r="M336" s="14"/>
      <c r="N336" s="14"/>
      <c r="O336" s="14"/>
      <c r="P336" s="14"/>
      <c r="Q336" s="14"/>
      <c r="R336" s="14"/>
      <c r="S336" s="14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3.2">
      <c r="A337" s="14"/>
      <c r="B337" s="14"/>
      <c r="C337" s="5">
        <f t="shared" si="70"/>
        <v>112</v>
      </c>
      <c r="D337" s="32">
        <v>43111</v>
      </c>
      <c r="E337" s="12"/>
      <c r="F337" s="12"/>
      <c r="G337" s="14"/>
      <c r="H337" s="14"/>
      <c r="I337" s="33">
        <v>29.4</v>
      </c>
      <c r="J337" s="14"/>
      <c r="K337" s="33">
        <v>54.2</v>
      </c>
      <c r="L337" s="14"/>
      <c r="M337" s="14"/>
      <c r="N337" s="14"/>
      <c r="O337" s="14"/>
      <c r="P337" s="14"/>
      <c r="Q337" s="14"/>
      <c r="R337" s="14"/>
      <c r="S337" s="14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3.2">
      <c r="A338" s="14"/>
      <c r="B338" s="14"/>
      <c r="C338" s="5">
        <f t="shared" si="70"/>
        <v>116</v>
      </c>
      <c r="D338" s="34">
        <v>43115</v>
      </c>
      <c r="E338" s="12"/>
      <c r="F338" s="12"/>
      <c r="G338" s="14"/>
      <c r="H338" s="14"/>
      <c r="I338" s="33"/>
      <c r="J338" s="14"/>
      <c r="K338" s="33"/>
      <c r="L338" s="14"/>
      <c r="M338" s="14"/>
      <c r="N338" s="14"/>
      <c r="O338" s="14"/>
      <c r="P338" s="14"/>
      <c r="Q338" s="14"/>
      <c r="R338" s="14"/>
      <c r="S338" s="14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3.2">
      <c r="A339" s="14"/>
      <c r="B339" s="14"/>
      <c r="C339" s="5">
        <f t="shared" si="70"/>
        <v>117</v>
      </c>
      <c r="D339" s="20">
        <v>43116</v>
      </c>
      <c r="E339" s="12"/>
      <c r="F339" s="12"/>
      <c r="G339" s="14"/>
      <c r="H339" s="14"/>
      <c r="I339" s="33">
        <v>30.2</v>
      </c>
      <c r="J339" s="14"/>
      <c r="K339" s="33">
        <v>54.5</v>
      </c>
      <c r="L339" s="14"/>
      <c r="M339" s="14"/>
      <c r="N339" s="14"/>
      <c r="O339" s="14"/>
      <c r="P339" s="14"/>
      <c r="Q339" s="14"/>
      <c r="R339" s="14"/>
      <c r="S339" s="14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3.2">
      <c r="A340" s="14"/>
      <c r="B340" s="14"/>
      <c r="C340" s="5">
        <v>124</v>
      </c>
      <c r="D340" s="35">
        <v>43123</v>
      </c>
      <c r="E340" s="12"/>
      <c r="F340" s="12"/>
      <c r="G340" s="14"/>
      <c r="H340" s="14"/>
      <c r="I340" s="33">
        <v>40.6</v>
      </c>
      <c r="J340" s="14"/>
      <c r="K340" s="33">
        <v>55.3</v>
      </c>
      <c r="L340" s="14"/>
      <c r="M340" s="14"/>
      <c r="N340" s="14"/>
      <c r="O340" s="14"/>
      <c r="P340" s="14"/>
      <c r="Q340" s="14"/>
      <c r="R340" s="14"/>
      <c r="S340" s="14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3.2">
      <c r="A341" s="14"/>
      <c r="B341" s="14"/>
      <c r="C341" s="5">
        <v>131</v>
      </c>
      <c r="D341" s="20">
        <v>43130</v>
      </c>
      <c r="E341" s="12"/>
      <c r="F341" s="12"/>
      <c r="G341" s="14"/>
      <c r="H341" s="14"/>
      <c r="I341" s="33">
        <v>19.3</v>
      </c>
      <c r="J341" s="14"/>
      <c r="K341" s="33">
        <v>56.4</v>
      </c>
      <c r="L341" s="14"/>
      <c r="M341" s="14"/>
      <c r="N341" s="14"/>
      <c r="O341" s="14"/>
      <c r="P341" s="14"/>
      <c r="Q341" s="14"/>
      <c r="R341" s="14"/>
      <c r="S341" s="14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3.2">
      <c r="A342" s="14"/>
      <c r="B342" s="14"/>
      <c r="C342" s="5">
        <v>138</v>
      </c>
      <c r="D342" s="20">
        <v>43137</v>
      </c>
      <c r="E342" s="12"/>
      <c r="F342" s="12"/>
      <c r="G342" s="14"/>
      <c r="H342" s="14"/>
      <c r="I342" s="33">
        <v>93.7</v>
      </c>
      <c r="J342" s="37"/>
      <c r="K342" s="33">
        <v>56.4</v>
      </c>
      <c r="L342" s="14"/>
      <c r="M342" s="14"/>
      <c r="N342" s="14"/>
      <c r="O342" s="14"/>
      <c r="P342" s="14"/>
      <c r="Q342" s="14"/>
      <c r="R342" s="14"/>
      <c r="S342" s="14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3.2">
      <c r="A343" s="14"/>
      <c r="B343" s="14"/>
      <c r="C343" s="5">
        <v>145</v>
      </c>
      <c r="D343" s="20">
        <v>43144</v>
      </c>
      <c r="E343" s="12"/>
      <c r="F343" s="12"/>
      <c r="G343" s="14"/>
      <c r="H343" s="14"/>
      <c r="I343" s="13">
        <v>72</v>
      </c>
      <c r="J343" s="14"/>
      <c r="K343" s="13">
        <v>56.8</v>
      </c>
      <c r="L343" s="14"/>
      <c r="M343" s="14"/>
      <c r="N343" s="14"/>
      <c r="O343" s="14"/>
      <c r="P343" s="14"/>
      <c r="Q343" s="14"/>
      <c r="R343" s="14"/>
      <c r="S343" s="14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3.2">
      <c r="A344" s="14"/>
      <c r="B344" s="14"/>
      <c r="C344" s="5">
        <v>152</v>
      </c>
      <c r="D344" s="20">
        <v>43151</v>
      </c>
      <c r="E344" s="12"/>
      <c r="F344" s="12"/>
      <c r="G344" s="14"/>
      <c r="H344" s="14"/>
      <c r="I344" s="13">
        <v>50</v>
      </c>
      <c r="J344" s="14"/>
      <c r="K344" s="13">
        <v>58.1</v>
      </c>
      <c r="L344" s="14"/>
      <c r="M344" s="14"/>
      <c r="N344" s="14"/>
      <c r="O344" s="14"/>
      <c r="P344" s="14"/>
      <c r="Q344" s="14"/>
      <c r="R344" s="14"/>
      <c r="S344" s="14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3.2">
      <c r="A345" s="14"/>
      <c r="B345" s="14"/>
      <c r="C345" s="5">
        <v>159</v>
      </c>
      <c r="D345" s="20">
        <v>43158</v>
      </c>
      <c r="E345" s="12"/>
      <c r="F345" s="12"/>
      <c r="G345" s="14"/>
      <c r="H345" s="14"/>
      <c r="I345" s="13">
        <v>28.2</v>
      </c>
      <c r="J345" s="14"/>
      <c r="K345" s="13">
        <v>59.2</v>
      </c>
      <c r="L345" s="14"/>
      <c r="M345" s="14"/>
      <c r="N345" s="14"/>
      <c r="O345" s="14"/>
      <c r="P345" s="14"/>
      <c r="Q345" s="14"/>
      <c r="R345" s="14"/>
      <c r="S345" s="14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3.2">
      <c r="A346" s="14"/>
      <c r="B346" s="14"/>
      <c r="C346" s="5">
        <v>166</v>
      </c>
      <c r="D346" s="20">
        <v>43165</v>
      </c>
      <c r="E346" s="12"/>
      <c r="F346" s="12"/>
      <c r="G346" s="14"/>
      <c r="H346" s="14"/>
      <c r="I346" s="13">
        <v>33.299999999999997</v>
      </c>
      <c r="J346" s="14"/>
      <c r="K346" s="13">
        <v>57.2</v>
      </c>
      <c r="L346" s="14"/>
      <c r="M346" s="14"/>
      <c r="N346" s="14"/>
      <c r="O346" s="14"/>
      <c r="P346" s="14"/>
      <c r="Q346" s="14"/>
      <c r="R346" s="14"/>
      <c r="S346" s="14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3.2">
      <c r="A347" s="14"/>
      <c r="B347" s="14"/>
      <c r="C347" s="5">
        <v>173</v>
      </c>
      <c r="D347" s="20">
        <v>43172</v>
      </c>
      <c r="E347" s="12"/>
      <c r="F347" s="12"/>
      <c r="G347" s="14"/>
      <c r="H347" s="14"/>
      <c r="I347" s="13">
        <v>18.100000000000001</v>
      </c>
      <c r="J347" s="14"/>
      <c r="K347" s="13">
        <v>52.5</v>
      </c>
      <c r="L347" s="14"/>
      <c r="M347" s="14"/>
      <c r="N347" s="14"/>
      <c r="O347" s="14"/>
      <c r="P347" s="14"/>
      <c r="Q347" s="14"/>
      <c r="R347" s="14"/>
      <c r="S347" s="14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3.2">
      <c r="A348" s="14"/>
      <c r="B348" s="14"/>
      <c r="C348" s="14"/>
      <c r="D348" s="14"/>
      <c r="E348" s="12"/>
      <c r="F348" s="12"/>
      <c r="G348" s="14"/>
      <c r="H348" s="14"/>
      <c r="I348" s="15"/>
      <c r="J348" s="14"/>
      <c r="K348" s="15"/>
      <c r="L348" s="14"/>
      <c r="M348" s="14"/>
      <c r="N348" s="14"/>
      <c r="O348" s="14"/>
      <c r="P348" s="14"/>
      <c r="Q348" s="14"/>
      <c r="R348" s="14"/>
      <c r="S348" s="14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3.2">
      <c r="A349" s="14"/>
      <c r="B349" s="14"/>
      <c r="C349" s="14"/>
      <c r="D349" s="14"/>
      <c r="E349" s="12"/>
      <c r="F349" s="12"/>
      <c r="G349" s="14"/>
      <c r="H349" s="14"/>
      <c r="I349" s="15"/>
      <c r="J349" s="14"/>
      <c r="K349" s="15"/>
      <c r="L349" s="14"/>
      <c r="M349" s="14"/>
      <c r="N349" s="14"/>
      <c r="O349" s="14"/>
      <c r="P349" s="14"/>
      <c r="Q349" s="14"/>
      <c r="R349" s="14"/>
      <c r="S349" s="14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3.2">
      <c r="A350" s="14"/>
      <c r="B350" s="14"/>
      <c r="C350" s="14"/>
      <c r="D350" s="14"/>
      <c r="E350" s="12"/>
      <c r="F350" s="12"/>
      <c r="G350" s="14"/>
      <c r="H350" s="14"/>
      <c r="I350" s="15"/>
      <c r="J350" s="14"/>
      <c r="K350" s="15"/>
      <c r="L350" s="14"/>
      <c r="M350" s="14"/>
      <c r="N350" s="14"/>
      <c r="O350" s="14"/>
      <c r="P350" s="14"/>
      <c r="Q350" s="14"/>
      <c r="R350" s="14"/>
      <c r="S350" s="14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3.2">
      <c r="A351" s="14"/>
      <c r="B351" s="14"/>
      <c r="C351" s="14"/>
      <c r="D351" s="14"/>
      <c r="E351" s="12"/>
      <c r="F351" s="12"/>
      <c r="G351" s="14"/>
      <c r="H351" s="14"/>
      <c r="I351" s="15"/>
      <c r="J351" s="14"/>
      <c r="K351" s="15"/>
      <c r="L351" s="14"/>
      <c r="M351" s="14"/>
      <c r="N351" s="14"/>
      <c r="O351" s="14"/>
      <c r="P351" s="14"/>
      <c r="Q351" s="14"/>
      <c r="R351" s="14"/>
      <c r="S351" s="14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3.2">
      <c r="A352" s="14"/>
      <c r="B352" s="14"/>
      <c r="C352" s="14"/>
      <c r="D352" s="14"/>
      <c r="E352" s="12"/>
      <c r="F352" s="12"/>
      <c r="G352" s="14"/>
      <c r="H352" s="14"/>
      <c r="I352" s="15"/>
      <c r="J352" s="14"/>
      <c r="K352" s="15"/>
      <c r="L352" s="14"/>
      <c r="M352" s="14"/>
      <c r="N352" s="14"/>
      <c r="O352" s="14"/>
      <c r="P352" s="14"/>
      <c r="Q352" s="14"/>
      <c r="R352" s="14"/>
      <c r="S352" s="14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3.2">
      <c r="A353" s="14"/>
      <c r="B353" s="14"/>
      <c r="C353" s="14"/>
      <c r="D353" s="14"/>
      <c r="E353" s="12"/>
      <c r="F353" s="12"/>
      <c r="G353" s="14"/>
      <c r="H353" s="14"/>
      <c r="I353" s="15"/>
      <c r="J353" s="14"/>
      <c r="K353" s="15"/>
      <c r="L353" s="14"/>
      <c r="M353" s="14"/>
      <c r="N353" s="14"/>
      <c r="O353" s="14"/>
      <c r="P353" s="14"/>
      <c r="Q353" s="14"/>
      <c r="R353" s="14"/>
      <c r="S353" s="14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3.2">
      <c r="A354" s="14"/>
      <c r="B354" s="14"/>
      <c r="C354" s="14"/>
      <c r="D354" s="14"/>
      <c r="E354" s="12"/>
      <c r="F354" s="12"/>
      <c r="G354" s="14"/>
      <c r="H354" s="14"/>
      <c r="I354" s="15"/>
      <c r="J354" s="14"/>
      <c r="K354" s="15"/>
      <c r="L354" s="14"/>
      <c r="M354" s="14"/>
      <c r="N354" s="14"/>
      <c r="O354" s="14"/>
      <c r="P354" s="14"/>
      <c r="Q354" s="14"/>
      <c r="R354" s="14"/>
      <c r="S354" s="14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3.2">
      <c r="A355" s="14"/>
      <c r="B355" s="14"/>
      <c r="C355" s="14"/>
      <c r="D355" s="14"/>
      <c r="E355" s="12"/>
      <c r="F355" s="12"/>
      <c r="G355" s="14"/>
      <c r="H355" s="14"/>
      <c r="I355" s="15"/>
      <c r="J355" s="14"/>
      <c r="K355" s="15"/>
      <c r="L355" s="14"/>
      <c r="M355" s="14"/>
      <c r="N355" s="14"/>
      <c r="O355" s="14"/>
      <c r="P355" s="14"/>
      <c r="Q355" s="14"/>
      <c r="R355" s="14"/>
      <c r="S355" s="14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3.2">
      <c r="A356" s="14"/>
      <c r="B356" s="14"/>
      <c r="C356" s="14"/>
      <c r="D356" s="14"/>
      <c r="E356" s="12"/>
      <c r="F356" s="12"/>
      <c r="G356" s="14"/>
      <c r="H356" s="14"/>
      <c r="I356" s="15"/>
      <c r="J356" s="14"/>
      <c r="K356" s="15"/>
      <c r="L356" s="14"/>
      <c r="M356" s="14"/>
      <c r="N356" s="14"/>
      <c r="O356" s="14"/>
      <c r="P356" s="14"/>
      <c r="Q356" s="14"/>
      <c r="R356" s="14"/>
      <c r="S356" s="14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3.2">
      <c r="A357" s="14"/>
      <c r="B357" s="14"/>
      <c r="C357" s="14"/>
      <c r="D357" s="14"/>
      <c r="E357" s="12"/>
      <c r="F357" s="12"/>
      <c r="G357" s="14"/>
      <c r="H357" s="14"/>
      <c r="I357" s="15"/>
      <c r="J357" s="14"/>
      <c r="K357" s="15"/>
      <c r="L357" s="14"/>
      <c r="M357" s="14"/>
      <c r="N357" s="14"/>
      <c r="O357" s="14"/>
      <c r="P357" s="14"/>
      <c r="Q357" s="14"/>
      <c r="R357" s="14"/>
      <c r="S357" s="14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3.2">
      <c r="A358" s="14"/>
      <c r="B358" s="14"/>
      <c r="C358" s="14"/>
      <c r="D358" s="14"/>
      <c r="E358" s="12"/>
      <c r="F358" s="12"/>
      <c r="G358" s="14"/>
      <c r="H358" s="14"/>
      <c r="I358" s="15"/>
      <c r="J358" s="14"/>
      <c r="K358" s="15"/>
      <c r="L358" s="14"/>
      <c r="M358" s="14"/>
      <c r="N358" s="14"/>
      <c r="O358" s="14"/>
      <c r="P358" s="14"/>
      <c r="Q358" s="14"/>
      <c r="R358" s="14"/>
      <c r="S358" s="14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3.2">
      <c r="A359" s="14"/>
      <c r="B359" s="14"/>
      <c r="C359" s="14"/>
      <c r="D359" s="14"/>
      <c r="E359" s="12"/>
      <c r="F359" s="12"/>
      <c r="G359" s="14"/>
      <c r="H359" s="14"/>
      <c r="I359" s="15"/>
      <c r="J359" s="14"/>
      <c r="K359" s="15"/>
      <c r="L359" s="14"/>
      <c r="M359" s="14"/>
      <c r="N359" s="14"/>
      <c r="O359" s="14"/>
      <c r="P359" s="14"/>
      <c r="Q359" s="14"/>
      <c r="R359" s="14"/>
      <c r="S359" s="14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3.2">
      <c r="A360" s="14"/>
      <c r="B360" s="14"/>
      <c r="C360" s="14"/>
      <c r="D360" s="14"/>
      <c r="E360" s="12"/>
      <c r="F360" s="12"/>
      <c r="G360" s="14"/>
      <c r="H360" s="14"/>
      <c r="I360" s="15"/>
      <c r="J360" s="14"/>
      <c r="K360" s="15"/>
      <c r="L360" s="14"/>
      <c r="M360" s="14"/>
      <c r="N360" s="14"/>
      <c r="O360" s="14"/>
      <c r="P360" s="14"/>
      <c r="Q360" s="14"/>
      <c r="R360" s="14"/>
      <c r="S360" s="14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3.2">
      <c r="A361" s="14"/>
      <c r="B361" s="14"/>
      <c r="C361" s="14"/>
      <c r="D361" s="14"/>
      <c r="E361" s="12"/>
      <c r="F361" s="12"/>
      <c r="G361" s="14"/>
      <c r="H361" s="14"/>
      <c r="I361" s="15"/>
      <c r="J361" s="14"/>
      <c r="K361" s="15"/>
      <c r="L361" s="14"/>
      <c r="M361" s="14"/>
      <c r="N361" s="14"/>
      <c r="O361" s="14"/>
      <c r="P361" s="14"/>
      <c r="Q361" s="14"/>
      <c r="R361" s="14"/>
      <c r="S361" s="14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3.2">
      <c r="A362" s="14"/>
      <c r="B362" s="14"/>
      <c r="C362" s="14"/>
      <c r="D362" s="14"/>
      <c r="E362" s="12"/>
      <c r="F362" s="12"/>
      <c r="G362" s="14"/>
      <c r="H362" s="14"/>
      <c r="I362" s="15"/>
      <c r="J362" s="14"/>
      <c r="K362" s="15"/>
      <c r="L362" s="14"/>
      <c r="M362" s="14"/>
      <c r="N362" s="14"/>
      <c r="O362" s="14"/>
      <c r="P362" s="14"/>
      <c r="Q362" s="14"/>
      <c r="R362" s="14"/>
      <c r="S362" s="14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3.2">
      <c r="A363" s="14"/>
      <c r="B363" s="14"/>
      <c r="C363" s="14"/>
      <c r="D363" s="14"/>
      <c r="E363" s="12"/>
      <c r="F363" s="12"/>
      <c r="G363" s="14"/>
      <c r="H363" s="14"/>
      <c r="I363" s="15"/>
      <c r="J363" s="14"/>
      <c r="K363" s="15"/>
      <c r="L363" s="14"/>
      <c r="M363" s="14"/>
      <c r="N363" s="14"/>
      <c r="O363" s="14"/>
      <c r="P363" s="14"/>
      <c r="Q363" s="14"/>
      <c r="R363" s="14"/>
      <c r="S363" s="14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3.2">
      <c r="A364" s="14"/>
      <c r="B364" s="14"/>
      <c r="C364" s="14"/>
      <c r="D364" s="14"/>
      <c r="E364" s="12"/>
      <c r="F364" s="12"/>
      <c r="G364" s="14"/>
      <c r="H364" s="14"/>
      <c r="I364" s="15"/>
      <c r="J364" s="14"/>
      <c r="K364" s="15"/>
      <c r="L364" s="14"/>
      <c r="M364" s="14"/>
      <c r="N364" s="14"/>
      <c r="O364" s="14"/>
      <c r="P364" s="14"/>
      <c r="Q364" s="14"/>
      <c r="R364" s="14"/>
      <c r="S364" s="14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3.2">
      <c r="A365" s="14"/>
      <c r="B365" s="14"/>
      <c r="C365" s="14"/>
      <c r="D365" s="14"/>
      <c r="E365" s="12"/>
      <c r="F365" s="12"/>
      <c r="G365" s="14"/>
      <c r="H365" s="14"/>
      <c r="I365" s="15"/>
      <c r="J365" s="14"/>
      <c r="K365" s="15"/>
      <c r="L365" s="14"/>
      <c r="M365" s="14"/>
      <c r="N365" s="14"/>
      <c r="O365" s="14"/>
      <c r="P365" s="14"/>
      <c r="Q365" s="14"/>
      <c r="R365" s="14"/>
      <c r="S365" s="14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3.2">
      <c r="A366" s="14"/>
      <c r="B366" s="14"/>
      <c r="C366" s="14"/>
      <c r="D366" s="14"/>
      <c r="E366" s="12"/>
      <c r="F366" s="12"/>
      <c r="G366" s="14"/>
      <c r="H366" s="14"/>
      <c r="I366" s="15"/>
      <c r="J366" s="14"/>
      <c r="K366" s="15"/>
      <c r="L366" s="14"/>
      <c r="M366" s="14"/>
      <c r="N366" s="14"/>
      <c r="O366" s="14"/>
      <c r="P366" s="14"/>
      <c r="Q366" s="14"/>
      <c r="R366" s="14"/>
      <c r="S366" s="14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3.2">
      <c r="A367" s="14"/>
      <c r="B367" s="14"/>
      <c r="C367" s="14"/>
      <c r="D367" s="14"/>
      <c r="E367" s="12"/>
      <c r="F367" s="12"/>
      <c r="G367" s="14"/>
      <c r="H367" s="14"/>
      <c r="I367" s="15"/>
      <c r="J367" s="14"/>
      <c r="K367" s="15"/>
      <c r="L367" s="14"/>
      <c r="M367" s="14"/>
      <c r="N367" s="14"/>
      <c r="O367" s="14"/>
      <c r="P367" s="14"/>
      <c r="Q367" s="14"/>
      <c r="R367" s="14"/>
      <c r="S367" s="14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3.2">
      <c r="A368" s="14"/>
      <c r="B368" s="14"/>
      <c r="C368" s="14"/>
      <c r="D368" s="14"/>
      <c r="E368" s="12"/>
      <c r="F368" s="12"/>
      <c r="G368" s="14"/>
      <c r="H368" s="14"/>
      <c r="I368" s="15"/>
      <c r="J368" s="14"/>
      <c r="K368" s="15"/>
      <c r="L368" s="14"/>
      <c r="M368" s="14"/>
      <c r="N368" s="14"/>
      <c r="O368" s="14"/>
      <c r="P368" s="14"/>
      <c r="Q368" s="14"/>
      <c r="R368" s="14"/>
      <c r="S368" s="14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3.2">
      <c r="A369" s="14"/>
      <c r="B369" s="14"/>
      <c r="C369" s="14"/>
      <c r="D369" s="14"/>
      <c r="E369" s="12"/>
      <c r="F369" s="12"/>
      <c r="G369" s="14"/>
      <c r="H369" s="14"/>
      <c r="I369" s="15"/>
      <c r="J369" s="14"/>
      <c r="K369" s="15"/>
      <c r="L369" s="14"/>
      <c r="M369" s="14"/>
      <c r="N369" s="14"/>
      <c r="O369" s="14"/>
      <c r="P369" s="14"/>
      <c r="Q369" s="14"/>
      <c r="R369" s="14"/>
      <c r="S369" s="14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3.2">
      <c r="A370" s="14"/>
      <c r="B370" s="14"/>
      <c r="C370" s="14"/>
      <c r="D370" s="14"/>
      <c r="E370" s="12"/>
      <c r="F370" s="12"/>
      <c r="G370" s="14"/>
      <c r="H370" s="14"/>
      <c r="I370" s="15"/>
      <c r="J370" s="14"/>
      <c r="K370" s="15"/>
      <c r="L370" s="14"/>
      <c r="M370" s="14"/>
      <c r="N370" s="14"/>
      <c r="O370" s="14"/>
      <c r="P370" s="14"/>
      <c r="Q370" s="14"/>
      <c r="R370" s="14"/>
      <c r="S370" s="14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3.2">
      <c r="A371" s="14"/>
      <c r="B371" s="14"/>
      <c r="C371" s="14"/>
      <c r="D371" s="14"/>
      <c r="E371" s="12"/>
      <c r="F371" s="12"/>
      <c r="G371" s="14"/>
      <c r="H371" s="14"/>
      <c r="I371" s="15"/>
      <c r="J371" s="14"/>
      <c r="K371" s="15"/>
      <c r="L371" s="14"/>
      <c r="M371" s="14"/>
      <c r="N371" s="14"/>
      <c r="O371" s="14"/>
      <c r="P371" s="14"/>
      <c r="Q371" s="14"/>
      <c r="R371" s="14"/>
      <c r="S371" s="14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3.2">
      <c r="A372" s="14"/>
      <c r="B372" s="14"/>
      <c r="C372" s="14"/>
      <c r="D372" s="14"/>
      <c r="E372" s="12"/>
      <c r="F372" s="12"/>
      <c r="G372" s="14"/>
      <c r="H372" s="14"/>
      <c r="I372" s="15"/>
      <c r="J372" s="14"/>
      <c r="K372" s="15"/>
      <c r="L372" s="14"/>
      <c r="M372" s="14"/>
      <c r="N372" s="14"/>
      <c r="O372" s="14"/>
      <c r="P372" s="14"/>
      <c r="Q372" s="14"/>
      <c r="R372" s="14"/>
      <c r="S372" s="14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26.4">
      <c r="A373" s="8" t="s">
        <v>66</v>
      </c>
      <c r="B373" s="5">
        <v>0</v>
      </c>
      <c r="C373" s="5">
        <v>0</v>
      </c>
      <c r="D373" s="9">
        <v>42992</v>
      </c>
      <c r="E373" s="10">
        <v>386.2</v>
      </c>
      <c r="F373" s="11" t="s">
        <v>21</v>
      </c>
      <c r="G373" s="12">
        <f>AVERAGE(F374:F390)</f>
        <v>6.1797619047619028</v>
      </c>
      <c r="H373" s="14"/>
      <c r="I373" s="13">
        <v>155.80000000000001</v>
      </c>
      <c r="J373" s="14"/>
      <c r="K373" s="13">
        <v>19.600000000000001</v>
      </c>
      <c r="L373" s="14"/>
      <c r="M373" s="14"/>
      <c r="N373" s="14"/>
      <c r="O373" s="14"/>
      <c r="P373" s="14">
        <f>SUM(O373:O384)-104.4</f>
        <v>285.49999999999989</v>
      </c>
      <c r="Q373" s="14"/>
      <c r="R373" s="14"/>
      <c r="S373" s="15">
        <f>I378-I384</f>
        <v>35.5</v>
      </c>
      <c r="T373" s="7">
        <f>SUM(S373:S378)*5.24</f>
        <v>1104.0680000000002</v>
      </c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3.2">
      <c r="A374" s="5" t="s">
        <v>30</v>
      </c>
      <c r="B374" s="5">
        <v>0</v>
      </c>
      <c r="C374" s="5">
        <v>0</v>
      </c>
      <c r="D374" s="9">
        <v>42993</v>
      </c>
      <c r="E374" s="10">
        <v>377.8</v>
      </c>
      <c r="F374" s="12">
        <f>E373-E374</f>
        <v>8.3999999999999773</v>
      </c>
      <c r="G374" s="14"/>
      <c r="H374" s="14"/>
      <c r="I374" s="13">
        <v>120.7</v>
      </c>
      <c r="J374" s="14">
        <f t="shared" ref="J374:J377" si="91">(I373-I374)/(D374-D373)</f>
        <v>35.100000000000009</v>
      </c>
      <c r="K374" s="13">
        <v>19.600000000000001</v>
      </c>
      <c r="L374" s="14"/>
      <c r="M374" s="14"/>
      <c r="N374" s="14"/>
      <c r="O374" s="12">
        <f>E378-E385</f>
        <v>73.5</v>
      </c>
      <c r="P374" s="14"/>
      <c r="Q374" s="14"/>
      <c r="R374" s="14"/>
      <c r="S374" s="15">
        <f>36.2-I386</f>
        <v>5.1000000000000014</v>
      </c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3.2">
      <c r="A375" s="5" t="s">
        <v>67</v>
      </c>
      <c r="B375" s="5">
        <v>0</v>
      </c>
      <c r="C375" s="5">
        <v>0</v>
      </c>
      <c r="D375" s="9">
        <v>42996</v>
      </c>
      <c r="E375" s="10">
        <v>358.7</v>
      </c>
      <c r="F375" s="12">
        <f t="shared" ref="F375:F377" si="92">(E374-E375)/(D375-D374)</f>
        <v>6.3666666666666742</v>
      </c>
      <c r="G375" s="14"/>
      <c r="H375" s="14"/>
      <c r="I375" s="13">
        <v>108.2</v>
      </c>
      <c r="J375" s="16">
        <f t="shared" si="91"/>
        <v>4.166666666666667</v>
      </c>
      <c r="K375" s="13">
        <v>20</v>
      </c>
      <c r="L375" s="14"/>
      <c r="M375" s="14"/>
      <c r="N375" s="14"/>
      <c r="O375" s="12">
        <f>E386-E388</f>
        <v>27.100000000000023</v>
      </c>
      <c r="P375" s="14"/>
      <c r="Q375" s="14"/>
      <c r="R375" s="14"/>
      <c r="S375" s="15">
        <f>57.3-I390</f>
        <v>18.899999999999999</v>
      </c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3.2">
      <c r="A376" s="14"/>
      <c r="B376" s="5">
        <v>0</v>
      </c>
      <c r="C376" s="5">
        <v>0</v>
      </c>
      <c r="D376" s="9">
        <v>42998</v>
      </c>
      <c r="E376" s="10">
        <v>347.6</v>
      </c>
      <c r="F376" s="12">
        <f t="shared" si="92"/>
        <v>5.5499999999999829</v>
      </c>
      <c r="G376" s="14"/>
      <c r="H376" s="14"/>
      <c r="I376" s="13">
        <v>100.1</v>
      </c>
      <c r="J376" s="14">
        <f t="shared" si="91"/>
        <v>4.0500000000000043</v>
      </c>
      <c r="K376" s="13">
        <v>20.3</v>
      </c>
      <c r="L376" s="14"/>
      <c r="M376" s="14"/>
      <c r="N376" s="14"/>
      <c r="O376" s="12">
        <f>E389-E392</f>
        <v>36.599999999999966</v>
      </c>
      <c r="P376" s="14"/>
      <c r="Q376" s="14"/>
      <c r="R376" s="14"/>
      <c r="S376" s="15">
        <f>I391-I399</f>
        <v>43.999999999999993</v>
      </c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3.2">
      <c r="A377" s="14"/>
      <c r="B377" s="5">
        <v>0</v>
      </c>
      <c r="C377" s="5">
        <v>0</v>
      </c>
      <c r="D377" s="17">
        <v>42999</v>
      </c>
      <c r="E377" s="10">
        <v>339.3</v>
      </c>
      <c r="F377" s="12">
        <f t="shared" si="92"/>
        <v>8.3000000000000114</v>
      </c>
      <c r="G377" s="14"/>
      <c r="H377" s="14"/>
      <c r="I377" s="13">
        <v>96.6</v>
      </c>
      <c r="J377" s="14">
        <f t="shared" si="91"/>
        <v>3.5</v>
      </c>
      <c r="K377" s="13">
        <v>21.1</v>
      </c>
      <c r="L377" s="14"/>
      <c r="M377" s="14"/>
      <c r="N377" s="14"/>
      <c r="O377" s="12">
        <f>E393-E396</f>
        <v>39.800000000000011</v>
      </c>
      <c r="P377" s="14"/>
      <c r="Q377" s="14"/>
      <c r="R377" s="14"/>
      <c r="S377" s="15">
        <f>81.9-I407</f>
        <v>47.800000000000004</v>
      </c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3.2">
      <c r="A378" s="14"/>
      <c r="B378" s="5">
        <v>0.5</v>
      </c>
      <c r="C378" s="5">
        <v>0</v>
      </c>
      <c r="D378" s="17">
        <v>42999</v>
      </c>
      <c r="E378" s="10">
        <v>387.8</v>
      </c>
      <c r="F378" s="12"/>
      <c r="G378" s="14"/>
      <c r="H378" s="14"/>
      <c r="I378" s="13">
        <v>66.3</v>
      </c>
      <c r="J378" s="14"/>
      <c r="K378" s="13"/>
      <c r="L378" s="14"/>
      <c r="M378" s="14"/>
      <c r="N378" s="14"/>
      <c r="O378" s="12">
        <f>E397-E400</f>
        <v>35.099999999999966</v>
      </c>
      <c r="P378" s="14"/>
      <c r="Q378" s="14"/>
      <c r="R378" s="14"/>
      <c r="S378" s="15">
        <f>I408-I425</f>
        <v>59.400000000000006</v>
      </c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3.2">
      <c r="A379" s="14"/>
      <c r="B379" s="5">
        <v>0.5</v>
      </c>
      <c r="C379" s="5">
        <f t="shared" ref="C379:C432" si="93">D379-$D$7</f>
        <v>1</v>
      </c>
      <c r="D379" s="17">
        <v>43000</v>
      </c>
      <c r="E379" s="10">
        <v>382.6</v>
      </c>
      <c r="F379" s="12">
        <f t="shared" ref="F379:F384" si="94">(E378-E379)/(D379-D378)</f>
        <v>5.1999999999999886</v>
      </c>
      <c r="G379" s="14"/>
      <c r="H379" s="14"/>
      <c r="I379" s="13">
        <v>62.3</v>
      </c>
      <c r="J379" s="14">
        <f t="shared" ref="J379:J384" si="95">(I378-I379)/(D379-D378)</f>
        <v>4</v>
      </c>
      <c r="K379" s="13">
        <v>21.2</v>
      </c>
      <c r="L379" s="14"/>
      <c r="M379" s="14"/>
      <c r="N379" s="14"/>
      <c r="O379" s="12">
        <f>E401-E404</f>
        <v>33.699999999999989</v>
      </c>
      <c r="P379" s="14"/>
      <c r="Q379" s="14"/>
      <c r="R379" s="14"/>
      <c r="S379" s="14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3.2">
      <c r="A380" s="14"/>
      <c r="B380" s="5">
        <v>0.5</v>
      </c>
      <c r="C380" s="5">
        <f t="shared" si="93"/>
        <v>4</v>
      </c>
      <c r="D380" s="9">
        <v>43003</v>
      </c>
      <c r="E380" s="10">
        <v>368.4</v>
      </c>
      <c r="F380" s="12">
        <f t="shared" si="94"/>
        <v>4.7333333333333485</v>
      </c>
      <c r="G380" s="14"/>
      <c r="H380" s="14"/>
      <c r="I380" s="13">
        <v>53.4</v>
      </c>
      <c r="J380" s="16">
        <f t="shared" si="95"/>
        <v>2.9666666666666663</v>
      </c>
      <c r="K380" s="13">
        <v>22.3</v>
      </c>
      <c r="L380" s="14"/>
      <c r="M380" s="14"/>
      <c r="N380" s="14"/>
      <c r="O380" s="12">
        <f>E405-E408</f>
        <v>29.699999999999989</v>
      </c>
      <c r="P380" s="14"/>
      <c r="Q380" s="14"/>
      <c r="R380" s="14"/>
      <c r="S380" s="14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3.2">
      <c r="A381" s="14"/>
      <c r="B381" s="5">
        <v>1</v>
      </c>
      <c r="C381" s="5">
        <f t="shared" si="93"/>
        <v>6</v>
      </c>
      <c r="D381" s="9">
        <v>43005</v>
      </c>
      <c r="E381" s="10">
        <v>361.1</v>
      </c>
      <c r="F381" s="12">
        <f t="shared" si="94"/>
        <v>3.6499999999999773</v>
      </c>
      <c r="G381" s="14"/>
      <c r="H381" s="14"/>
      <c r="I381" s="13">
        <v>49.5</v>
      </c>
      <c r="J381" s="14">
        <f t="shared" si="95"/>
        <v>1.9499999999999993</v>
      </c>
      <c r="K381" s="18">
        <v>22.2</v>
      </c>
      <c r="L381" s="14"/>
      <c r="M381" s="14"/>
      <c r="N381" s="14"/>
      <c r="O381" s="12">
        <f>E409-E413</f>
        <v>27.199999999999989</v>
      </c>
      <c r="P381" s="14"/>
      <c r="Q381" s="14"/>
      <c r="R381" s="14"/>
      <c r="S381" s="14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3.2">
      <c r="A382" s="14"/>
      <c r="B382" s="5">
        <v>1</v>
      </c>
      <c r="C382" s="5">
        <f t="shared" si="93"/>
        <v>8</v>
      </c>
      <c r="D382" s="9">
        <v>43007</v>
      </c>
      <c r="E382" s="10">
        <v>352.1</v>
      </c>
      <c r="F382" s="12">
        <f t="shared" si="94"/>
        <v>4.5</v>
      </c>
      <c r="G382" s="14"/>
      <c r="H382" s="14"/>
      <c r="I382" s="13">
        <v>44.2</v>
      </c>
      <c r="J382" s="14">
        <f t="shared" si="95"/>
        <v>2.6499999999999986</v>
      </c>
      <c r="K382" s="13">
        <v>22.6</v>
      </c>
      <c r="L382" s="14"/>
      <c r="M382" s="14"/>
      <c r="N382" s="14"/>
      <c r="O382" s="12">
        <f>E415-E417</f>
        <v>24.899999999999977</v>
      </c>
      <c r="P382" s="14"/>
      <c r="Q382" s="14"/>
      <c r="R382" s="14"/>
      <c r="S382" s="14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3.2">
      <c r="A383" s="14"/>
      <c r="B383" s="5">
        <v>1</v>
      </c>
      <c r="C383" s="5">
        <f t="shared" si="93"/>
        <v>11</v>
      </c>
      <c r="D383" s="19">
        <v>43010</v>
      </c>
      <c r="E383" s="11">
        <v>338</v>
      </c>
      <c r="F383" s="12">
        <f t="shared" si="94"/>
        <v>4.7000000000000073</v>
      </c>
      <c r="G383" s="14"/>
      <c r="H383" s="14"/>
      <c r="I383" s="13">
        <v>36.700000000000003</v>
      </c>
      <c r="J383" s="14">
        <f t="shared" si="95"/>
        <v>2.5</v>
      </c>
      <c r="K383" s="13">
        <v>23</v>
      </c>
      <c r="L383" s="14"/>
      <c r="M383" s="14"/>
      <c r="N383" s="14"/>
      <c r="O383" s="12">
        <f>E418-E421</f>
        <v>30.199999999999989</v>
      </c>
      <c r="P383" s="14"/>
      <c r="Q383" s="14"/>
      <c r="R383" s="14"/>
      <c r="S383" s="14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3.2">
      <c r="A384" s="14"/>
      <c r="B384" s="5">
        <v>1</v>
      </c>
      <c r="C384" s="5">
        <f t="shared" si="93"/>
        <v>13</v>
      </c>
      <c r="D384" s="19">
        <v>43012</v>
      </c>
      <c r="E384" s="11">
        <v>323.3</v>
      </c>
      <c r="F384" s="12">
        <f t="shared" si="94"/>
        <v>7.3499999999999943</v>
      </c>
      <c r="G384" s="14"/>
      <c r="H384" s="14"/>
      <c r="I384" s="13">
        <v>30.8</v>
      </c>
      <c r="J384" s="14">
        <f t="shared" si="95"/>
        <v>2.9500000000000011</v>
      </c>
      <c r="K384" s="13">
        <v>24.2</v>
      </c>
      <c r="L384" s="14"/>
      <c r="M384" s="14"/>
      <c r="N384" s="14"/>
      <c r="O384" s="12">
        <f>E422-E425</f>
        <v>32.100000000000023</v>
      </c>
      <c r="P384" s="14"/>
      <c r="Q384" s="14"/>
      <c r="R384" s="14"/>
      <c r="S384" s="14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3.2">
      <c r="A385" s="14"/>
      <c r="B385" s="5">
        <v>2</v>
      </c>
      <c r="C385" s="5">
        <f t="shared" si="93"/>
        <v>14</v>
      </c>
      <c r="D385" s="20">
        <v>43013</v>
      </c>
      <c r="E385" s="11">
        <v>314.3</v>
      </c>
      <c r="F385" s="12"/>
      <c r="G385" s="14"/>
      <c r="H385" s="14"/>
      <c r="I385" s="13" t="s">
        <v>24</v>
      </c>
      <c r="J385" s="14"/>
      <c r="K385" s="13"/>
      <c r="L385" s="14"/>
      <c r="M385" s="14"/>
      <c r="N385" s="14"/>
      <c r="O385" s="14"/>
      <c r="P385" s="14"/>
      <c r="Q385" s="14"/>
      <c r="R385" s="14"/>
      <c r="S385" s="14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3.2">
      <c r="A386" s="14"/>
      <c r="B386" s="5">
        <v>2</v>
      </c>
      <c r="C386" s="5">
        <f t="shared" si="93"/>
        <v>15</v>
      </c>
      <c r="D386" s="20">
        <v>43014</v>
      </c>
      <c r="E386" s="11">
        <v>373</v>
      </c>
      <c r="F386" s="12">
        <f>(381.3-E386)/(D386-D385)</f>
        <v>8.3000000000000114</v>
      </c>
      <c r="G386" s="14"/>
      <c r="H386" s="14"/>
      <c r="I386" s="13">
        <v>31.1</v>
      </c>
      <c r="J386" s="14">
        <f>(36.2-I386)/(D386-D384)</f>
        <v>2.5500000000000007</v>
      </c>
      <c r="K386" s="13">
        <v>24.9</v>
      </c>
      <c r="L386" s="14"/>
      <c r="M386" s="14"/>
      <c r="N386" s="14"/>
      <c r="O386" s="14"/>
      <c r="P386" s="14"/>
      <c r="Q386" s="14"/>
      <c r="R386" s="14"/>
      <c r="S386" s="14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3.2">
      <c r="A387" s="14"/>
      <c r="B387" s="5">
        <v>2</v>
      </c>
      <c r="C387" s="5">
        <f t="shared" si="93"/>
        <v>18</v>
      </c>
      <c r="D387" s="20">
        <v>43017</v>
      </c>
      <c r="E387" s="11">
        <v>358.1</v>
      </c>
      <c r="F387" s="12">
        <f t="shared" ref="F387:F388" si="96">(E386-E387)/(D387-D386)</f>
        <v>4.9666666666666588</v>
      </c>
      <c r="G387" s="14"/>
      <c r="H387" s="14"/>
      <c r="I387" s="13">
        <v>47.9</v>
      </c>
      <c r="J387" s="16">
        <f t="shared" ref="J387:J388" si="97">(57.3-I387)/(D387-D386)</f>
        <v>3.1333333333333329</v>
      </c>
      <c r="K387" s="13">
        <v>26.3</v>
      </c>
      <c r="L387" s="14"/>
      <c r="M387" s="14"/>
      <c r="N387" s="14"/>
      <c r="O387" s="14"/>
      <c r="P387" s="14"/>
      <c r="Q387" s="14"/>
      <c r="R387" s="14"/>
      <c r="S387" s="14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3.2">
      <c r="A388" s="14"/>
      <c r="B388" s="5">
        <v>2</v>
      </c>
      <c r="C388" s="5">
        <f t="shared" si="93"/>
        <v>20</v>
      </c>
      <c r="D388" s="20">
        <v>43019</v>
      </c>
      <c r="E388" s="11">
        <v>345.9</v>
      </c>
      <c r="F388" s="12">
        <f t="shared" si="96"/>
        <v>6.1000000000000227</v>
      </c>
      <c r="G388" s="14"/>
      <c r="H388" s="14"/>
      <c r="I388" s="13">
        <v>43.7</v>
      </c>
      <c r="J388" s="16">
        <f t="shared" si="97"/>
        <v>6.7999999999999972</v>
      </c>
      <c r="K388" s="13">
        <v>25.8</v>
      </c>
      <c r="L388" s="14"/>
      <c r="M388" s="14"/>
      <c r="N388" s="14"/>
      <c r="O388" s="14"/>
      <c r="P388" s="14"/>
      <c r="Q388" s="14"/>
      <c r="R388" s="14"/>
      <c r="S388" s="14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3.2">
      <c r="A389" s="14"/>
      <c r="B389" s="5">
        <v>3</v>
      </c>
      <c r="C389" s="5">
        <f t="shared" si="93"/>
        <v>21</v>
      </c>
      <c r="D389" s="20">
        <v>43020</v>
      </c>
      <c r="E389" s="11">
        <v>376.4</v>
      </c>
      <c r="F389" s="12"/>
      <c r="G389" s="14"/>
      <c r="H389" s="14"/>
      <c r="I389" s="13"/>
      <c r="J389" s="14"/>
      <c r="K389" s="13"/>
      <c r="L389" s="14"/>
      <c r="M389" s="14"/>
      <c r="N389" s="14"/>
      <c r="O389" s="14"/>
      <c r="P389" s="14"/>
      <c r="Q389" s="14"/>
      <c r="R389" s="14"/>
      <c r="S389" s="14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3.2">
      <c r="A390" s="14"/>
      <c r="B390" s="5">
        <v>3</v>
      </c>
      <c r="C390" s="5">
        <f t="shared" si="93"/>
        <v>22</v>
      </c>
      <c r="D390" s="20">
        <f>D388+2</f>
        <v>43021</v>
      </c>
      <c r="E390" s="11">
        <v>368</v>
      </c>
      <c r="F390" s="12">
        <f t="shared" ref="F390:F392" si="98">(E389-E390)/(D390-D389)</f>
        <v>8.3999999999999773</v>
      </c>
      <c r="G390" s="14"/>
      <c r="H390" s="14"/>
      <c r="I390" s="13">
        <v>38.4</v>
      </c>
      <c r="J390" s="14">
        <f>(64.3-I390)/(D390-D388)</f>
        <v>12.95</v>
      </c>
      <c r="K390" s="13">
        <v>26</v>
      </c>
      <c r="L390" s="14"/>
      <c r="M390" s="14"/>
      <c r="N390" s="14"/>
      <c r="O390" s="14"/>
      <c r="P390" s="14"/>
      <c r="Q390" s="14"/>
      <c r="R390" s="14"/>
      <c r="S390" s="14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3.2">
      <c r="A391" s="14"/>
      <c r="B391" s="5">
        <v>3</v>
      </c>
      <c r="C391" s="5">
        <f t="shared" si="93"/>
        <v>25</v>
      </c>
      <c r="D391" s="20">
        <f>D390+3</f>
        <v>43024</v>
      </c>
      <c r="E391" s="11">
        <v>352.4</v>
      </c>
      <c r="F391" s="12">
        <f t="shared" si="98"/>
        <v>5.2000000000000073</v>
      </c>
      <c r="G391" s="14"/>
      <c r="H391" s="14"/>
      <c r="I391" s="13">
        <v>71.599999999999994</v>
      </c>
      <c r="J391" s="14"/>
      <c r="K391" s="13">
        <v>27.7</v>
      </c>
      <c r="L391" s="14"/>
      <c r="M391" s="14"/>
      <c r="N391" s="14"/>
      <c r="O391" s="14"/>
      <c r="P391" s="14"/>
      <c r="Q391" s="14"/>
      <c r="R391" s="14"/>
      <c r="S391" s="14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3.2">
      <c r="A392" s="14"/>
      <c r="B392" s="5">
        <v>3</v>
      </c>
      <c r="C392" s="5">
        <f t="shared" si="93"/>
        <v>27</v>
      </c>
      <c r="D392" s="20">
        <f>D391+2</f>
        <v>43026</v>
      </c>
      <c r="E392" s="11">
        <v>339.8</v>
      </c>
      <c r="F392" s="12">
        <f t="shared" si="98"/>
        <v>6.2999999999999829</v>
      </c>
      <c r="G392" s="14"/>
      <c r="H392" s="14"/>
      <c r="I392" s="13">
        <v>62.8</v>
      </c>
      <c r="J392" s="14">
        <f>(I391-I392)/(D392-D391)</f>
        <v>4.3999999999999986</v>
      </c>
      <c r="K392" s="13">
        <v>28.5</v>
      </c>
      <c r="L392" s="14"/>
      <c r="M392" s="14"/>
      <c r="N392" s="14"/>
      <c r="O392" s="14"/>
      <c r="P392" s="14"/>
      <c r="Q392" s="14"/>
      <c r="R392" s="14"/>
      <c r="S392" s="14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3.2">
      <c r="A393" s="14"/>
      <c r="B393" s="5">
        <v>4</v>
      </c>
      <c r="C393" s="5">
        <f t="shared" si="93"/>
        <v>28</v>
      </c>
      <c r="D393" s="20">
        <v>43027</v>
      </c>
      <c r="E393" s="11">
        <v>400.5</v>
      </c>
      <c r="F393" s="12"/>
      <c r="G393" s="14"/>
      <c r="H393" s="14"/>
      <c r="I393" s="15"/>
      <c r="J393" s="14"/>
      <c r="K393" s="15"/>
      <c r="L393" s="14"/>
      <c r="M393" s="14"/>
      <c r="N393" s="14"/>
      <c r="O393" s="14"/>
      <c r="P393" s="14"/>
      <c r="Q393" s="14"/>
      <c r="R393" s="14"/>
      <c r="S393" s="14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3.2">
      <c r="A394" s="14"/>
      <c r="B394" s="5">
        <v>4</v>
      </c>
      <c r="C394" s="5">
        <f t="shared" si="93"/>
        <v>29</v>
      </c>
      <c r="D394" s="20">
        <f>D392+2</f>
        <v>43028</v>
      </c>
      <c r="E394" s="11">
        <v>392.7</v>
      </c>
      <c r="F394" s="12">
        <f t="shared" ref="F394:F396" si="99">(E393-E394)/(D394-D393)</f>
        <v>7.8000000000000114</v>
      </c>
      <c r="G394" s="14"/>
      <c r="H394" s="14"/>
      <c r="I394" s="13">
        <v>57</v>
      </c>
      <c r="J394" s="14">
        <f>(I392-I394)/(D394-D392)</f>
        <v>2.8999999999999986</v>
      </c>
      <c r="K394" s="13">
        <v>28.9</v>
      </c>
      <c r="L394" s="14"/>
      <c r="M394" s="14"/>
      <c r="N394" s="14"/>
      <c r="O394" s="14"/>
      <c r="P394" s="14"/>
      <c r="Q394" s="14"/>
      <c r="R394" s="14"/>
      <c r="S394" s="14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3.2">
      <c r="A395" s="14"/>
      <c r="B395" s="5">
        <v>4</v>
      </c>
      <c r="C395" s="5">
        <f t="shared" si="93"/>
        <v>32</v>
      </c>
      <c r="D395" s="20">
        <v>43031</v>
      </c>
      <c r="E395" s="11">
        <v>375.7</v>
      </c>
      <c r="F395" s="12">
        <f t="shared" si="99"/>
        <v>5.666666666666667</v>
      </c>
      <c r="G395" s="14"/>
      <c r="H395" s="14"/>
      <c r="I395" s="13">
        <v>48.3</v>
      </c>
      <c r="J395" s="14">
        <f t="shared" ref="J395:J396" si="100">(I394-I395)/(D395-D394)</f>
        <v>2.9000000000000008</v>
      </c>
      <c r="K395" s="13">
        <v>29.7</v>
      </c>
      <c r="L395" s="14"/>
      <c r="M395" s="14"/>
      <c r="N395" s="14"/>
      <c r="O395" s="14"/>
      <c r="P395" s="14"/>
      <c r="Q395" s="14"/>
      <c r="R395" s="14"/>
      <c r="S395" s="14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3.2">
      <c r="A396" s="14"/>
      <c r="B396" s="5">
        <v>4</v>
      </c>
      <c r="C396" s="5">
        <f t="shared" si="93"/>
        <v>34</v>
      </c>
      <c r="D396" s="20">
        <v>43033</v>
      </c>
      <c r="E396" s="11">
        <v>360.7</v>
      </c>
      <c r="F396" s="12">
        <f t="shared" si="99"/>
        <v>7.5</v>
      </c>
      <c r="G396" s="14"/>
      <c r="H396" s="14"/>
      <c r="I396" s="13">
        <v>42.8</v>
      </c>
      <c r="J396" s="14">
        <f t="shared" si="100"/>
        <v>2.75</v>
      </c>
      <c r="K396" s="13">
        <v>30</v>
      </c>
      <c r="L396" s="14"/>
      <c r="M396" s="14"/>
      <c r="N396" s="14"/>
      <c r="O396" s="14"/>
      <c r="P396" s="14"/>
      <c r="Q396" s="14"/>
      <c r="R396" s="14"/>
      <c r="S396" s="14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3.2">
      <c r="A397" s="14"/>
      <c r="B397" s="5">
        <v>5</v>
      </c>
      <c r="C397" s="5">
        <f t="shared" si="93"/>
        <v>35</v>
      </c>
      <c r="D397" s="20">
        <v>43034</v>
      </c>
      <c r="E397" s="11">
        <v>370.9</v>
      </c>
      <c r="F397" s="12"/>
      <c r="G397" s="14"/>
      <c r="H397" s="14"/>
      <c r="I397" s="15"/>
      <c r="J397" s="14"/>
      <c r="K397" s="15"/>
      <c r="L397" s="14"/>
      <c r="M397" s="14"/>
      <c r="N397" s="14"/>
      <c r="O397" s="14"/>
      <c r="P397" s="14"/>
      <c r="Q397" s="14"/>
      <c r="R397" s="14"/>
      <c r="S397" s="14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3.2">
      <c r="A398" s="14"/>
      <c r="B398" s="5">
        <v>5</v>
      </c>
      <c r="C398" s="5">
        <f t="shared" si="93"/>
        <v>36</v>
      </c>
      <c r="D398" s="20">
        <v>43035</v>
      </c>
      <c r="E398" s="11">
        <v>365.5</v>
      </c>
      <c r="F398" s="12">
        <f t="shared" ref="F398:F400" si="101">(E397-E398)/(D398-D397)</f>
        <v>5.3999999999999773</v>
      </c>
      <c r="G398" s="14"/>
      <c r="H398" s="14"/>
      <c r="I398" s="13">
        <v>37.4</v>
      </c>
      <c r="J398" s="15">
        <f>(I396-I398)/(D398-D396)</f>
        <v>2.6999999999999993</v>
      </c>
      <c r="K398" s="13">
        <v>30.4</v>
      </c>
      <c r="L398" s="14"/>
      <c r="M398" s="14"/>
      <c r="N398" s="14"/>
      <c r="O398" s="14"/>
      <c r="P398" s="14"/>
      <c r="Q398" s="14"/>
      <c r="R398" s="14"/>
      <c r="S398" s="14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3.2">
      <c r="A399" s="14"/>
      <c r="B399" s="5">
        <v>5</v>
      </c>
      <c r="C399" s="5">
        <f t="shared" si="93"/>
        <v>39</v>
      </c>
      <c r="D399" s="20">
        <v>43038</v>
      </c>
      <c r="E399" s="11">
        <v>346.2</v>
      </c>
      <c r="F399" s="12">
        <f t="shared" si="101"/>
        <v>6.4333333333333371</v>
      </c>
      <c r="G399" s="14"/>
      <c r="H399" s="14"/>
      <c r="I399" s="13">
        <v>27.6</v>
      </c>
      <c r="J399" s="15">
        <f>(I398-I399)/(D399-D398)</f>
        <v>3.2666666666666657</v>
      </c>
      <c r="K399" s="13">
        <v>31.8</v>
      </c>
      <c r="L399" s="14"/>
      <c r="M399" s="14"/>
      <c r="N399" s="14"/>
      <c r="O399" s="14"/>
      <c r="P399" s="14"/>
      <c r="Q399" s="14"/>
      <c r="R399" s="14"/>
      <c r="S399" s="14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3.2">
      <c r="A400" s="14"/>
      <c r="B400" s="5">
        <v>5</v>
      </c>
      <c r="C400" s="5">
        <f t="shared" si="93"/>
        <v>41</v>
      </c>
      <c r="D400" s="20">
        <v>43040</v>
      </c>
      <c r="E400" s="11">
        <v>335.8</v>
      </c>
      <c r="F400" s="12">
        <f t="shared" si="101"/>
        <v>5.1999999999999886</v>
      </c>
      <c r="G400" s="14"/>
      <c r="H400" s="14"/>
      <c r="I400" s="13">
        <v>74.8</v>
      </c>
      <c r="J400" s="14">
        <f>(81.9-I400)/(D400-D399)</f>
        <v>3.5500000000000043</v>
      </c>
      <c r="K400" s="13">
        <v>32.299999999999997</v>
      </c>
      <c r="L400" s="14"/>
      <c r="M400" s="14"/>
      <c r="N400" s="14"/>
      <c r="O400" s="14"/>
      <c r="P400" s="14"/>
      <c r="Q400" s="14"/>
      <c r="R400" s="14"/>
      <c r="S400" s="14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3.2">
      <c r="A401" s="14"/>
      <c r="B401" s="5">
        <v>6</v>
      </c>
      <c r="C401" s="5">
        <f t="shared" si="93"/>
        <v>42</v>
      </c>
      <c r="D401" s="20">
        <v>43041</v>
      </c>
      <c r="E401" s="11">
        <v>390.5</v>
      </c>
      <c r="F401" s="12"/>
      <c r="G401" s="14"/>
      <c r="H401" s="14"/>
      <c r="I401" s="15"/>
      <c r="J401" s="14"/>
      <c r="K401" s="15"/>
      <c r="L401" s="14"/>
      <c r="M401" s="14"/>
      <c r="N401" s="14"/>
      <c r="O401" s="14"/>
      <c r="P401" s="14"/>
      <c r="Q401" s="14"/>
      <c r="R401" s="14"/>
      <c r="S401" s="14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3.2">
      <c r="A402" s="14"/>
      <c r="B402" s="5">
        <v>6</v>
      </c>
      <c r="C402" s="5">
        <f t="shared" si="93"/>
        <v>43</v>
      </c>
      <c r="D402" s="20">
        <v>43042</v>
      </c>
      <c r="E402" s="11">
        <v>384.9</v>
      </c>
      <c r="F402" s="12">
        <f t="shared" ref="F402:F404" si="102">(E401-E402)/(D402-D401)</f>
        <v>5.6000000000000227</v>
      </c>
      <c r="G402" s="14"/>
      <c r="H402" s="14"/>
      <c r="I402" s="13">
        <v>67.599999999999994</v>
      </c>
      <c r="J402" s="15">
        <f>(I400-I402)/(D402-D400)</f>
        <v>3.6000000000000014</v>
      </c>
      <c r="K402" s="13">
        <v>33.5</v>
      </c>
      <c r="L402" s="14"/>
      <c r="M402" s="14"/>
      <c r="N402" s="14"/>
      <c r="O402" s="14"/>
      <c r="P402" s="14"/>
      <c r="Q402" s="14"/>
      <c r="R402" s="14"/>
      <c r="S402" s="14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3.2">
      <c r="A403" s="14"/>
      <c r="B403" s="5">
        <v>6</v>
      </c>
      <c r="C403" s="5">
        <f t="shared" si="93"/>
        <v>46</v>
      </c>
      <c r="D403" s="20">
        <v>43045</v>
      </c>
      <c r="E403" s="11">
        <v>368.9</v>
      </c>
      <c r="F403" s="12">
        <f t="shared" si="102"/>
        <v>5.333333333333333</v>
      </c>
      <c r="G403" s="14"/>
      <c r="H403" s="14"/>
      <c r="I403" s="13">
        <v>57.3</v>
      </c>
      <c r="J403" s="15">
        <f t="shared" ref="J403:J404" si="103">(I402-I403)/(D403-D402)</f>
        <v>3.4333333333333322</v>
      </c>
      <c r="K403" s="13">
        <v>34.700000000000003</v>
      </c>
      <c r="L403" s="14"/>
      <c r="M403" s="14"/>
      <c r="N403" s="14"/>
      <c r="O403" s="14"/>
      <c r="P403" s="14"/>
      <c r="Q403" s="14"/>
      <c r="R403" s="14"/>
      <c r="S403" s="14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3.2">
      <c r="A404" s="14"/>
      <c r="B404" s="5">
        <v>6</v>
      </c>
      <c r="C404" s="5">
        <f t="shared" si="93"/>
        <v>48</v>
      </c>
      <c r="D404" s="20">
        <v>43047</v>
      </c>
      <c r="E404" s="11">
        <v>356.8</v>
      </c>
      <c r="F404" s="12">
        <f t="shared" si="102"/>
        <v>6.0499999999999829</v>
      </c>
      <c r="G404" s="14"/>
      <c r="H404" s="14"/>
      <c r="I404" s="13">
        <v>49.8</v>
      </c>
      <c r="J404" s="15">
        <f t="shared" si="103"/>
        <v>3.75</v>
      </c>
      <c r="K404" s="13">
        <v>35.9</v>
      </c>
      <c r="L404" s="14"/>
      <c r="M404" s="14"/>
      <c r="N404" s="14"/>
      <c r="O404" s="14"/>
      <c r="P404" s="14"/>
      <c r="Q404" s="14"/>
      <c r="R404" s="14"/>
      <c r="S404" s="14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3.2">
      <c r="A405" s="14"/>
      <c r="B405" s="5">
        <v>7</v>
      </c>
      <c r="C405" s="5">
        <f t="shared" si="93"/>
        <v>49</v>
      </c>
      <c r="D405" s="20">
        <v>43048</v>
      </c>
      <c r="E405" s="11">
        <v>392.3</v>
      </c>
      <c r="F405" s="12"/>
      <c r="G405" s="14"/>
      <c r="H405" s="14"/>
      <c r="I405" s="15"/>
      <c r="J405" s="14"/>
      <c r="K405" s="15"/>
      <c r="L405" s="14"/>
      <c r="M405" s="14"/>
      <c r="N405" s="14"/>
      <c r="O405" s="14"/>
      <c r="P405" s="14"/>
      <c r="Q405" s="14"/>
      <c r="R405" s="14"/>
      <c r="S405" s="14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3.2">
      <c r="A406" s="14"/>
      <c r="B406" s="5">
        <v>7</v>
      </c>
      <c r="C406" s="5">
        <f t="shared" si="93"/>
        <v>50</v>
      </c>
      <c r="D406" s="20">
        <v>43049</v>
      </c>
      <c r="E406" s="11">
        <v>385.2</v>
      </c>
      <c r="F406" s="12">
        <f t="shared" ref="F406:F408" si="104">(E405-E406)/(D406-D405)</f>
        <v>7.1000000000000227</v>
      </c>
      <c r="G406" s="14"/>
      <c r="H406" s="14"/>
      <c r="I406" s="13">
        <v>43.5</v>
      </c>
      <c r="J406" s="15">
        <f>(I404-I406)/(D406-D404)</f>
        <v>3.1499999999999986</v>
      </c>
      <c r="K406" s="13">
        <v>36.200000000000003</v>
      </c>
      <c r="L406" s="14"/>
      <c r="M406" s="14"/>
      <c r="N406" s="14"/>
      <c r="O406" s="14"/>
      <c r="P406" s="14"/>
      <c r="Q406" s="14"/>
      <c r="R406" s="14"/>
      <c r="S406" s="14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3.2">
      <c r="A407" s="14"/>
      <c r="B407" s="5">
        <v>7</v>
      </c>
      <c r="C407" s="5">
        <f t="shared" si="93"/>
        <v>53</v>
      </c>
      <c r="D407" s="20">
        <v>43052</v>
      </c>
      <c r="E407" s="11">
        <v>371.7</v>
      </c>
      <c r="F407" s="12">
        <f t="shared" si="104"/>
        <v>4.5</v>
      </c>
      <c r="G407" s="14"/>
      <c r="H407" s="14"/>
      <c r="I407" s="13">
        <v>34.1</v>
      </c>
      <c r="J407" s="15">
        <f>(I406-I407)/(D407-D406)</f>
        <v>3.1333333333333329</v>
      </c>
      <c r="K407" s="13">
        <v>37.700000000000003</v>
      </c>
      <c r="L407" s="14"/>
      <c r="M407" s="14"/>
      <c r="N407" s="14"/>
      <c r="O407" s="14"/>
      <c r="P407" s="14"/>
      <c r="Q407" s="14"/>
      <c r="R407" s="14"/>
      <c r="S407" s="14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3.2">
      <c r="A408" s="14"/>
      <c r="B408" s="5">
        <v>7</v>
      </c>
      <c r="C408" s="5">
        <f t="shared" si="93"/>
        <v>55</v>
      </c>
      <c r="D408" s="20">
        <v>43054</v>
      </c>
      <c r="E408" s="11">
        <v>362.6</v>
      </c>
      <c r="F408" s="12">
        <f t="shared" si="104"/>
        <v>4.5499999999999829</v>
      </c>
      <c r="G408" s="14"/>
      <c r="H408" s="14"/>
      <c r="I408" s="13">
        <v>103.2</v>
      </c>
      <c r="J408" s="14"/>
      <c r="K408" s="13">
        <v>37.700000000000003</v>
      </c>
      <c r="L408" s="14"/>
      <c r="M408" s="14"/>
      <c r="N408" s="14"/>
      <c r="O408" s="14"/>
      <c r="P408" s="14"/>
      <c r="Q408" s="14"/>
      <c r="R408" s="14"/>
      <c r="S408" s="14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3.2">
      <c r="A409" s="14"/>
      <c r="B409" s="5">
        <v>8</v>
      </c>
      <c r="C409" s="5">
        <f t="shared" si="93"/>
        <v>56</v>
      </c>
      <c r="D409" s="20">
        <v>43055</v>
      </c>
      <c r="E409" s="11">
        <v>405</v>
      </c>
      <c r="F409" s="12"/>
      <c r="G409" s="14"/>
      <c r="H409" s="14"/>
      <c r="I409" s="15"/>
      <c r="J409" s="14"/>
      <c r="K409" s="15"/>
      <c r="L409" s="14"/>
      <c r="M409" s="14"/>
      <c r="N409" s="14"/>
      <c r="O409" s="14"/>
      <c r="P409" s="14"/>
      <c r="Q409" s="14"/>
      <c r="R409" s="14"/>
      <c r="S409" s="14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3.2">
      <c r="A410" s="14"/>
      <c r="B410" s="5">
        <v>8</v>
      </c>
      <c r="C410" s="5">
        <f t="shared" si="93"/>
        <v>57</v>
      </c>
      <c r="D410" s="20">
        <v>43056</v>
      </c>
      <c r="E410" s="11">
        <v>395.3</v>
      </c>
      <c r="F410" s="12">
        <f t="shared" ref="F410:F411" si="105">(E409-E410)/(D410-D409)</f>
        <v>9.6999999999999886</v>
      </c>
      <c r="G410" s="14"/>
      <c r="H410" s="14"/>
      <c r="I410" s="13">
        <v>97.2</v>
      </c>
      <c r="J410" s="15">
        <f>(I408-I410)/(D410-D408)</f>
        <v>3</v>
      </c>
      <c r="K410" s="13">
        <v>37.700000000000003</v>
      </c>
      <c r="L410" s="14"/>
      <c r="M410" s="14"/>
      <c r="N410" s="14"/>
      <c r="O410" s="14"/>
      <c r="P410" s="14"/>
      <c r="Q410" s="14"/>
      <c r="R410" s="14"/>
      <c r="S410" s="14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3.2">
      <c r="A411" s="14"/>
      <c r="B411" s="5">
        <v>8</v>
      </c>
      <c r="C411" s="5">
        <f t="shared" si="93"/>
        <v>60</v>
      </c>
      <c r="D411" s="20">
        <v>43059</v>
      </c>
      <c r="E411" s="11">
        <v>383.9</v>
      </c>
      <c r="F411" s="12">
        <f t="shared" si="105"/>
        <v>3.8000000000000114</v>
      </c>
      <c r="G411" s="14"/>
      <c r="H411" s="14"/>
      <c r="I411" s="13">
        <v>89.8</v>
      </c>
      <c r="J411" s="15">
        <f>(I410-I411)/(D411-D410)</f>
        <v>2.4666666666666686</v>
      </c>
      <c r="K411" s="13">
        <v>38</v>
      </c>
      <c r="L411" s="14"/>
      <c r="M411" s="14"/>
      <c r="N411" s="14"/>
      <c r="O411" s="14"/>
      <c r="P411" s="14"/>
      <c r="Q411" s="14"/>
      <c r="R411" s="14"/>
      <c r="S411" s="14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3.2">
      <c r="A412" s="14"/>
      <c r="B412" s="5">
        <v>8</v>
      </c>
      <c r="C412" s="5">
        <f t="shared" si="93"/>
        <v>61</v>
      </c>
      <c r="D412" s="20">
        <v>43060</v>
      </c>
      <c r="E412" s="11">
        <v>384.1</v>
      </c>
      <c r="F412" s="12"/>
      <c r="G412" s="14"/>
      <c r="H412" s="14"/>
      <c r="I412" s="15"/>
      <c r="J412" s="14"/>
      <c r="K412" s="15"/>
      <c r="L412" s="14"/>
      <c r="M412" s="14"/>
      <c r="N412" s="14"/>
      <c r="O412" s="14"/>
      <c r="P412" s="14"/>
      <c r="Q412" s="14"/>
      <c r="R412" s="14"/>
      <c r="S412" s="14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3.2">
      <c r="A413" s="14"/>
      <c r="B413" s="5">
        <v>8</v>
      </c>
      <c r="C413" s="5">
        <f t="shared" si="93"/>
        <v>62</v>
      </c>
      <c r="D413" s="20">
        <v>43061</v>
      </c>
      <c r="E413" s="11">
        <v>377.8</v>
      </c>
      <c r="F413" s="12">
        <f>(E412-E413)/(D413-D412)</f>
        <v>6.3000000000000114</v>
      </c>
      <c r="G413" s="14"/>
      <c r="H413" s="14"/>
      <c r="I413" s="13">
        <v>83.8</v>
      </c>
      <c r="J413" s="15">
        <f>(I411-I413)/(D413-D411)</f>
        <v>3</v>
      </c>
      <c r="K413" s="13">
        <v>38.700000000000003</v>
      </c>
      <c r="L413" s="14"/>
      <c r="M413" s="14"/>
      <c r="N413" s="14"/>
      <c r="O413" s="14"/>
      <c r="P413" s="14"/>
      <c r="Q413" s="14"/>
      <c r="R413" s="14"/>
      <c r="S413" s="14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3.2">
      <c r="A414" s="14"/>
      <c r="B414" s="5">
        <v>9</v>
      </c>
      <c r="C414" s="5">
        <f t="shared" si="93"/>
        <v>63</v>
      </c>
      <c r="D414" s="20">
        <v>43062</v>
      </c>
      <c r="E414" s="11"/>
      <c r="F414" s="12"/>
      <c r="G414" s="14"/>
      <c r="H414" s="14"/>
      <c r="I414" s="13"/>
      <c r="J414" s="15"/>
      <c r="K414" s="13"/>
      <c r="L414" s="14"/>
      <c r="M414" s="14"/>
      <c r="N414" s="14"/>
      <c r="O414" s="14"/>
      <c r="P414" s="14"/>
      <c r="Q414" s="14"/>
      <c r="R414" s="14"/>
      <c r="S414" s="14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3.2">
      <c r="A415" s="14"/>
      <c r="B415" s="5">
        <v>9</v>
      </c>
      <c r="C415" s="5">
        <f t="shared" si="93"/>
        <v>64</v>
      </c>
      <c r="D415" s="20">
        <v>43063</v>
      </c>
      <c r="E415" s="11">
        <v>368</v>
      </c>
      <c r="F415" s="12">
        <f>(E413-E415)/(D415-D413)</f>
        <v>4.9000000000000057</v>
      </c>
      <c r="G415" s="14"/>
      <c r="H415" s="14"/>
      <c r="I415" s="13">
        <v>77</v>
      </c>
      <c r="J415" s="15">
        <f>(I413-I415)/(D415-D413)</f>
        <v>3.3999999999999986</v>
      </c>
      <c r="K415" s="13">
        <v>39.799999999999997</v>
      </c>
      <c r="L415" s="14"/>
      <c r="M415" s="14"/>
      <c r="N415" s="14"/>
      <c r="O415" s="14"/>
      <c r="P415" s="14"/>
      <c r="Q415" s="14"/>
      <c r="R415" s="14"/>
      <c r="S415" s="14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3.2">
      <c r="A416" s="14"/>
      <c r="B416" s="5">
        <v>9</v>
      </c>
      <c r="C416" s="5">
        <f t="shared" si="93"/>
        <v>67</v>
      </c>
      <c r="D416" s="23">
        <v>43066</v>
      </c>
      <c r="E416" s="11">
        <v>354.3</v>
      </c>
      <c r="F416" s="12">
        <f t="shared" ref="F416:F417" si="106">(E415-E416)/(D416-D415)</f>
        <v>4.5666666666666629</v>
      </c>
      <c r="G416" s="14"/>
      <c r="H416" s="14"/>
      <c r="I416" s="13">
        <v>67.599999999999994</v>
      </c>
      <c r="J416" s="15">
        <f t="shared" ref="J416:J417" si="107">(I415-I416)/(D416-D415)</f>
        <v>3.1333333333333351</v>
      </c>
      <c r="K416" s="13">
        <v>40.799999999999997</v>
      </c>
      <c r="L416" s="14"/>
      <c r="M416" s="14"/>
      <c r="N416" s="14"/>
      <c r="O416" s="14"/>
      <c r="P416" s="14"/>
      <c r="Q416" s="14"/>
      <c r="R416" s="14"/>
      <c r="S416" s="14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3.2">
      <c r="A417" s="14"/>
      <c r="B417" s="5">
        <v>9</v>
      </c>
      <c r="C417" s="5">
        <f t="shared" si="93"/>
        <v>69</v>
      </c>
      <c r="D417" s="23">
        <v>43068</v>
      </c>
      <c r="E417" s="11">
        <v>343.1</v>
      </c>
      <c r="F417" s="12">
        <f t="shared" si="106"/>
        <v>5.5999999999999943</v>
      </c>
      <c r="G417" s="14"/>
      <c r="H417" s="14"/>
      <c r="I417" s="13">
        <v>60.7</v>
      </c>
      <c r="J417" s="15">
        <f t="shared" si="107"/>
        <v>3.4499999999999957</v>
      </c>
      <c r="K417" s="13">
        <v>42.3</v>
      </c>
      <c r="L417" s="14"/>
      <c r="M417" s="14"/>
      <c r="N417" s="14"/>
      <c r="O417" s="14"/>
      <c r="P417" s="14"/>
      <c r="Q417" s="14"/>
      <c r="R417" s="14"/>
      <c r="S417" s="14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3.2">
      <c r="A418" s="14"/>
      <c r="B418" s="5">
        <v>10</v>
      </c>
      <c r="C418" s="5">
        <f t="shared" si="93"/>
        <v>70</v>
      </c>
      <c r="D418" s="23">
        <v>43069</v>
      </c>
      <c r="E418" s="11">
        <v>378.8</v>
      </c>
      <c r="F418" s="12"/>
      <c r="G418" s="14"/>
      <c r="H418" s="14"/>
      <c r="I418" s="15"/>
      <c r="J418" s="14"/>
      <c r="K418" s="15"/>
      <c r="L418" s="14"/>
      <c r="M418" s="14"/>
      <c r="N418" s="14"/>
      <c r="O418" s="14"/>
      <c r="P418" s="14"/>
      <c r="Q418" s="14"/>
      <c r="R418" s="14"/>
      <c r="S418" s="14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3.2">
      <c r="A419" s="14"/>
      <c r="B419" s="5">
        <v>10</v>
      </c>
      <c r="C419" s="5">
        <f t="shared" si="93"/>
        <v>71</v>
      </c>
      <c r="D419" s="23">
        <v>43070</v>
      </c>
      <c r="E419" s="11">
        <v>369.9</v>
      </c>
      <c r="F419" s="12">
        <f t="shared" ref="F419:F421" si="108">(E418-E419)/(D419-D418)</f>
        <v>8.9000000000000341</v>
      </c>
      <c r="G419" s="14"/>
      <c r="H419" s="14"/>
      <c r="I419" s="13">
        <v>55</v>
      </c>
      <c r="J419" s="15">
        <f>(I417-I419)/(D419-D417)</f>
        <v>2.8500000000000014</v>
      </c>
      <c r="K419" s="13">
        <v>41.9</v>
      </c>
      <c r="L419" s="14"/>
      <c r="M419" s="14"/>
      <c r="N419" s="14"/>
      <c r="O419" s="14"/>
      <c r="P419" s="14"/>
      <c r="Q419" s="14"/>
      <c r="R419" s="14"/>
      <c r="S419" s="14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3.2">
      <c r="A420" s="14"/>
      <c r="B420" s="5">
        <v>10</v>
      </c>
      <c r="C420" s="5">
        <f t="shared" si="93"/>
        <v>74</v>
      </c>
      <c r="D420" s="23">
        <v>43073</v>
      </c>
      <c r="E420" s="11">
        <v>359.9</v>
      </c>
      <c r="F420" s="12">
        <f t="shared" si="108"/>
        <v>3.3333333333333335</v>
      </c>
      <c r="G420" s="14"/>
      <c r="H420" s="14"/>
      <c r="I420" s="13">
        <v>45.3</v>
      </c>
      <c r="J420" s="15">
        <f t="shared" ref="J420:J421" si="109">(I419-I420)/(D420-D419)</f>
        <v>3.2333333333333343</v>
      </c>
      <c r="K420" s="13">
        <v>43.8</v>
      </c>
      <c r="L420" s="14"/>
      <c r="M420" s="14"/>
      <c r="N420" s="14"/>
      <c r="O420" s="14"/>
      <c r="P420" s="14"/>
      <c r="Q420" s="14"/>
      <c r="R420" s="14"/>
      <c r="S420" s="14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3.2">
      <c r="A421" s="14"/>
      <c r="B421" s="5">
        <v>10</v>
      </c>
      <c r="C421" s="5">
        <f t="shared" si="93"/>
        <v>76</v>
      </c>
      <c r="D421" s="23">
        <v>43075</v>
      </c>
      <c r="E421" s="11">
        <v>348.6</v>
      </c>
      <c r="F421" s="12">
        <f t="shared" si="108"/>
        <v>5.6499999999999773</v>
      </c>
      <c r="G421" s="14"/>
      <c r="H421" s="14"/>
      <c r="I421" s="13">
        <v>39.200000000000003</v>
      </c>
      <c r="J421" s="15">
        <f t="shared" si="109"/>
        <v>3.0499999999999972</v>
      </c>
      <c r="K421" s="13">
        <v>44.2</v>
      </c>
      <c r="L421" s="14"/>
      <c r="M421" s="14"/>
      <c r="N421" s="14"/>
      <c r="O421" s="14"/>
      <c r="P421" s="14"/>
      <c r="Q421" s="14"/>
      <c r="R421" s="14"/>
      <c r="S421" s="14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3.2">
      <c r="A422" s="14"/>
      <c r="B422" s="5">
        <v>11</v>
      </c>
      <c r="C422" s="5">
        <f t="shared" si="93"/>
        <v>77</v>
      </c>
      <c r="D422" s="24">
        <v>43076</v>
      </c>
      <c r="E422" s="11">
        <v>374</v>
      </c>
      <c r="F422" s="12"/>
      <c r="G422" s="14"/>
      <c r="H422" s="14"/>
      <c r="I422" s="15"/>
      <c r="J422" s="14"/>
      <c r="K422" s="15"/>
      <c r="L422" s="14"/>
      <c r="M422" s="14"/>
      <c r="N422" s="14"/>
      <c r="O422" s="14"/>
      <c r="P422" s="14"/>
      <c r="Q422" s="14"/>
      <c r="R422" s="14"/>
      <c r="S422" s="14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3.2">
      <c r="A423" s="14"/>
      <c r="B423" s="5">
        <v>11</v>
      </c>
      <c r="C423" s="5">
        <f t="shared" si="93"/>
        <v>78</v>
      </c>
      <c r="D423" s="24">
        <v>43077</v>
      </c>
      <c r="E423" s="11">
        <v>366.5</v>
      </c>
      <c r="F423" s="12">
        <f t="shared" ref="F423:F425" si="110">(E422-E423)/(D423-D422)</f>
        <v>7.5</v>
      </c>
      <c r="G423" s="14"/>
      <c r="H423" s="14"/>
      <c r="I423" s="13">
        <v>56.5</v>
      </c>
      <c r="J423" s="15">
        <f>(E422-E423)/(D423-D422)</f>
        <v>7.5</v>
      </c>
      <c r="K423" s="13">
        <v>45.9</v>
      </c>
      <c r="L423" s="14"/>
      <c r="M423" s="14"/>
      <c r="N423" s="14"/>
      <c r="O423" s="14"/>
      <c r="P423" s="14"/>
      <c r="Q423" s="14"/>
      <c r="R423" s="14"/>
      <c r="S423" s="14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3.2">
      <c r="A424" s="14"/>
      <c r="B424" s="5">
        <v>11</v>
      </c>
      <c r="C424" s="5">
        <f t="shared" si="93"/>
        <v>81</v>
      </c>
      <c r="D424" s="24">
        <v>43080</v>
      </c>
      <c r="E424" s="11">
        <v>354.7</v>
      </c>
      <c r="F424" s="12">
        <f t="shared" si="110"/>
        <v>3.9333333333333371</v>
      </c>
      <c r="G424" s="14"/>
      <c r="H424" s="14"/>
      <c r="I424" s="13">
        <v>47</v>
      </c>
      <c r="J424" s="15">
        <f t="shared" ref="J424:J425" si="111">(I423-I424)/(D424-D423)</f>
        <v>3.1666666666666665</v>
      </c>
      <c r="K424" s="13">
        <v>46.8</v>
      </c>
      <c r="L424" s="14"/>
      <c r="M424" s="14"/>
      <c r="N424" s="14"/>
      <c r="O424" s="14"/>
      <c r="P424" s="14"/>
      <c r="Q424" s="14"/>
      <c r="R424" s="14"/>
      <c r="S424" s="14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26.4">
      <c r="A425" s="5" t="s">
        <v>45</v>
      </c>
      <c r="B425" s="5">
        <v>11</v>
      </c>
      <c r="C425" s="5">
        <f t="shared" si="93"/>
        <v>83</v>
      </c>
      <c r="D425" s="25">
        <v>43082</v>
      </c>
      <c r="E425" s="11">
        <v>341.9</v>
      </c>
      <c r="F425" s="12">
        <f t="shared" si="110"/>
        <v>6.4000000000000057</v>
      </c>
      <c r="G425" s="14"/>
      <c r="H425" s="14"/>
      <c r="I425" s="13">
        <v>43.8</v>
      </c>
      <c r="J425" s="15">
        <f t="shared" si="111"/>
        <v>1.6000000000000014</v>
      </c>
      <c r="K425" s="13">
        <v>46.7</v>
      </c>
      <c r="L425" s="14"/>
      <c r="M425" s="14"/>
      <c r="N425" s="14"/>
      <c r="O425" s="14"/>
      <c r="P425" s="14"/>
      <c r="Q425" s="14"/>
      <c r="R425" s="14"/>
      <c r="S425" s="14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3.2">
      <c r="A426" s="14"/>
      <c r="B426" s="5">
        <v>12</v>
      </c>
      <c r="C426" s="5">
        <f t="shared" si="93"/>
        <v>84</v>
      </c>
      <c r="D426" s="24">
        <v>43083</v>
      </c>
      <c r="E426" s="12"/>
      <c r="F426" s="12"/>
      <c r="G426" s="14"/>
      <c r="H426" s="14"/>
      <c r="I426" s="15"/>
      <c r="J426" s="14"/>
      <c r="K426" s="13"/>
      <c r="L426" s="14"/>
      <c r="M426" s="14"/>
      <c r="N426" s="14"/>
      <c r="O426" s="14"/>
      <c r="P426" s="14"/>
      <c r="Q426" s="14"/>
      <c r="R426" s="14"/>
      <c r="S426" s="14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3.2">
      <c r="A427" s="26" t="s">
        <v>28</v>
      </c>
      <c r="B427" s="26">
        <v>12</v>
      </c>
      <c r="C427" s="26">
        <f t="shared" si="93"/>
        <v>85</v>
      </c>
      <c r="D427" s="27">
        <v>43084</v>
      </c>
      <c r="E427" s="28"/>
      <c r="F427" s="28"/>
      <c r="G427" s="29"/>
      <c r="H427" s="29"/>
      <c r="I427" s="30"/>
      <c r="J427" s="29"/>
      <c r="K427" s="31">
        <v>46.5</v>
      </c>
      <c r="L427" s="29"/>
      <c r="M427" s="29"/>
      <c r="N427" s="29"/>
      <c r="O427" s="29"/>
      <c r="P427" s="29"/>
      <c r="Q427" s="29"/>
      <c r="R427" s="29"/>
      <c r="S427" s="14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3.2">
      <c r="A428" s="14"/>
      <c r="B428" s="5">
        <v>12</v>
      </c>
      <c r="C428" s="5">
        <f t="shared" si="93"/>
        <v>98</v>
      </c>
      <c r="D428" s="32">
        <v>43097</v>
      </c>
      <c r="E428" s="12"/>
      <c r="F428" s="12"/>
      <c r="G428" s="14"/>
      <c r="H428" s="14"/>
      <c r="I428" s="33">
        <v>58.2</v>
      </c>
      <c r="J428" s="14"/>
      <c r="K428" s="33">
        <v>46.5</v>
      </c>
      <c r="L428" s="14"/>
      <c r="M428" s="14"/>
      <c r="N428" s="14"/>
      <c r="O428" s="14"/>
      <c r="P428" s="14"/>
      <c r="Q428" s="14"/>
      <c r="R428" s="14"/>
      <c r="S428" s="14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3.2">
      <c r="A429" s="14"/>
      <c r="B429" s="5">
        <v>12</v>
      </c>
      <c r="C429" s="5">
        <f t="shared" si="93"/>
        <v>105</v>
      </c>
      <c r="D429" s="32">
        <v>43104</v>
      </c>
      <c r="E429" s="12"/>
      <c r="F429" s="12"/>
      <c r="G429" s="14"/>
      <c r="H429" s="14"/>
      <c r="I429" s="33">
        <v>33.1</v>
      </c>
      <c r="J429" s="14"/>
      <c r="K429" s="33">
        <v>49.6</v>
      </c>
      <c r="L429" s="14"/>
      <c r="M429" s="14"/>
      <c r="N429" s="14"/>
      <c r="O429" s="14"/>
      <c r="P429" s="14"/>
      <c r="Q429" s="14"/>
      <c r="R429" s="14"/>
      <c r="S429" s="14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3.2">
      <c r="A430" s="14"/>
      <c r="B430" s="14"/>
      <c r="C430" s="5">
        <f t="shared" si="93"/>
        <v>112</v>
      </c>
      <c r="D430" s="32">
        <v>43111</v>
      </c>
      <c r="E430" s="12"/>
      <c r="F430" s="12"/>
      <c r="G430" s="14"/>
      <c r="H430" s="14"/>
      <c r="I430" s="33">
        <v>26.9</v>
      </c>
      <c r="J430" s="14"/>
      <c r="K430" s="33">
        <v>42.9</v>
      </c>
      <c r="L430" s="14"/>
      <c r="M430" s="14"/>
      <c r="N430" s="14"/>
      <c r="O430" s="14"/>
      <c r="P430" s="14"/>
      <c r="Q430" s="14"/>
      <c r="R430" s="14"/>
      <c r="S430" s="14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3.2">
      <c r="A431" s="14"/>
      <c r="B431" s="14"/>
      <c r="C431" s="5">
        <f t="shared" si="93"/>
        <v>116</v>
      </c>
      <c r="D431" s="34">
        <v>43115</v>
      </c>
      <c r="E431" s="12"/>
      <c r="F431" s="12"/>
      <c r="G431" s="14"/>
      <c r="H431" s="14"/>
      <c r="I431" s="33">
        <v>42</v>
      </c>
      <c r="J431" s="14"/>
      <c r="K431" s="33">
        <v>42.8</v>
      </c>
      <c r="L431" s="14"/>
      <c r="M431" s="14"/>
      <c r="N431" s="14"/>
      <c r="O431" s="14"/>
      <c r="P431" s="14"/>
      <c r="Q431" s="14"/>
      <c r="R431" s="14"/>
      <c r="S431" s="14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3.2">
      <c r="A432" s="14"/>
      <c r="B432" s="14"/>
      <c r="C432" s="5">
        <f t="shared" si="93"/>
        <v>117</v>
      </c>
      <c r="D432" s="20">
        <v>43116</v>
      </c>
      <c r="E432" s="12"/>
      <c r="F432" s="12"/>
      <c r="G432" s="14"/>
      <c r="H432" s="14"/>
      <c r="I432" s="33">
        <v>39.1</v>
      </c>
      <c r="J432" s="14"/>
      <c r="K432" s="33">
        <v>43</v>
      </c>
      <c r="L432" s="14"/>
      <c r="M432" s="14"/>
      <c r="N432" s="14"/>
      <c r="O432" s="14"/>
      <c r="P432" s="14"/>
      <c r="Q432" s="14"/>
      <c r="R432" s="14"/>
      <c r="S432" s="14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3.2">
      <c r="A433" s="14"/>
      <c r="B433" s="14"/>
      <c r="C433" s="5">
        <v>118</v>
      </c>
      <c r="D433" s="32">
        <v>43117</v>
      </c>
      <c r="E433" s="12"/>
      <c r="F433" s="12"/>
      <c r="G433" s="14"/>
      <c r="H433" s="14"/>
      <c r="I433" s="33">
        <v>58.6</v>
      </c>
      <c r="J433" s="14"/>
      <c r="K433" s="33">
        <v>43.7</v>
      </c>
      <c r="L433" s="14"/>
      <c r="M433" s="14"/>
      <c r="N433" s="14"/>
      <c r="O433" s="14"/>
      <c r="P433" s="14"/>
      <c r="Q433" s="14"/>
      <c r="R433" s="14"/>
      <c r="S433" s="14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3.2">
      <c r="A434" s="14"/>
      <c r="B434" s="14"/>
      <c r="C434" s="5">
        <v>119</v>
      </c>
      <c r="D434" s="32">
        <v>43118</v>
      </c>
      <c r="E434" s="12"/>
      <c r="F434" s="12"/>
      <c r="G434" s="14"/>
      <c r="H434" s="14"/>
      <c r="I434" s="33">
        <v>55.5</v>
      </c>
      <c r="J434" s="14"/>
      <c r="K434" s="33">
        <v>43.9</v>
      </c>
      <c r="L434" s="14"/>
      <c r="M434" s="14"/>
      <c r="N434" s="14"/>
      <c r="O434" s="14"/>
      <c r="P434" s="14"/>
      <c r="Q434" s="14"/>
      <c r="R434" s="14"/>
      <c r="S434" s="14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3.2">
      <c r="A435" s="14"/>
      <c r="B435" s="14"/>
      <c r="C435" s="5">
        <v>120</v>
      </c>
      <c r="D435" s="32">
        <v>43119</v>
      </c>
      <c r="E435" s="12"/>
      <c r="F435" s="12"/>
      <c r="G435" s="14"/>
      <c r="H435" s="14"/>
      <c r="I435" s="33">
        <v>52.2</v>
      </c>
      <c r="J435" s="14"/>
      <c r="K435" s="33">
        <v>44.7</v>
      </c>
      <c r="L435" s="14"/>
      <c r="M435" s="14"/>
      <c r="N435" s="14"/>
      <c r="O435" s="14"/>
      <c r="P435" s="14"/>
      <c r="Q435" s="14"/>
      <c r="R435" s="14"/>
      <c r="S435" s="14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3.2">
      <c r="A436" s="14"/>
      <c r="B436" s="14"/>
      <c r="C436" s="5">
        <v>121</v>
      </c>
      <c r="D436" s="32">
        <v>43120</v>
      </c>
      <c r="E436" s="12"/>
      <c r="F436" s="12"/>
      <c r="G436" s="14"/>
      <c r="H436" s="14"/>
      <c r="I436" s="33">
        <v>48.7</v>
      </c>
      <c r="J436" s="14"/>
      <c r="K436" s="33">
        <v>45.3</v>
      </c>
      <c r="L436" s="14"/>
      <c r="M436" s="14"/>
      <c r="N436" s="14"/>
      <c r="O436" s="14"/>
      <c r="P436" s="14"/>
      <c r="Q436" s="14"/>
      <c r="R436" s="14"/>
      <c r="S436" s="14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3.2">
      <c r="A437" s="14"/>
      <c r="B437" s="14"/>
      <c r="C437" s="5">
        <v>122</v>
      </c>
      <c r="D437" s="32">
        <v>43121</v>
      </c>
      <c r="E437" s="12"/>
      <c r="F437" s="12"/>
      <c r="G437" s="14"/>
      <c r="H437" s="14"/>
      <c r="I437" s="33">
        <v>45.1</v>
      </c>
      <c r="J437" s="14"/>
      <c r="K437" s="33">
        <v>46.1</v>
      </c>
      <c r="L437" s="14"/>
      <c r="M437" s="14"/>
      <c r="N437" s="14"/>
      <c r="O437" s="14"/>
      <c r="P437" s="14"/>
      <c r="Q437" s="14"/>
      <c r="R437" s="14"/>
      <c r="S437" s="14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3.2">
      <c r="A438" s="14"/>
      <c r="B438" s="14"/>
      <c r="C438" s="5">
        <v>123</v>
      </c>
      <c r="D438" s="32">
        <v>43122</v>
      </c>
      <c r="E438" s="12"/>
      <c r="F438" s="12"/>
      <c r="G438" s="14"/>
      <c r="H438" s="14"/>
      <c r="I438" s="33">
        <v>41.6</v>
      </c>
      <c r="J438" s="14"/>
      <c r="K438" s="33">
        <v>46.5</v>
      </c>
      <c r="L438" s="14"/>
      <c r="M438" s="14"/>
      <c r="N438" s="14"/>
      <c r="O438" s="14"/>
      <c r="P438" s="14"/>
      <c r="Q438" s="14"/>
      <c r="R438" s="14"/>
      <c r="S438" s="14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3.2">
      <c r="A439" s="14"/>
      <c r="B439" s="14"/>
      <c r="C439" s="5">
        <v>124</v>
      </c>
      <c r="D439" s="32">
        <v>43123</v>
      </c>
      <c r="E439" s="12"/>
      <c r="F439" s="12"/>
      <c r="G439" s="14"/>
      <c r="H439" s="14"/>
      <c r="I439" s="33">
        <v>38.5</v>
      </c>
      <c r="J439" s="14"/>
      <c r="K439" s="33">
        <v>46.7</v>
      </c>
      <c r="L439" s="14"/>
      <c r="M439" s="14"/>
      <c r="N439" s="14"/>
      <c r="O439" s="14"/>
      <c r="P439" s="14"/>
      <c r="Q439" s="14"/>
      <c r="R439" s="14"/>
      <c r="S439" s="14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3.2">
      <c r="A440" s="14"/>
      <c r="B440" s="14"/>
      <c r="C440" s="5">
        <v>125</v>
      </c>
      <c r="D440" s="52">
        <v>43124</v>
      </c>
      <c r="E440" s="12"/>
      <c r="F440" s="12"/>
      <c r="G440" s="14"/>
      <c r="H440" s="14"/>
      <c r="I440" s="33">
        <v>34.4</v>
      </c>
      <c r="J440" s="14"/>
      <c r="K440" s="33">
        <v>47.6</v>
      </c>
      <c r="L440" s="14"/>
      <c r="M440" s="14"/>
      <c r="N440" s="14"/>
      <c r="O440" s="14"/>
      <c r="P440" s="14"/>
      <c r="Q440" s="14"/>
      <c r="R440" s="14"/>
      <c r="S440" s="14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26.4">
      <c r="A441" s="5" t="s">
        <v>70</v>
      </c>
      <c r="B441" s="14"/>
      <c r="C441" s="5">
        <v>126</v>
      </c>
      <c r="D441" s="106">
        <v>43125</v>
      </c>
      <c r="E441" s="12"/>
      <c r="F441" s="12"/>
      <c r="G441" s="14"/>
      <c r="H441" s="14"/>
      <c r="I441" s="107">
        <v>30.5</v>
      </c>
      <c r="J441" s="14"/>
      <c r="K441" s="107">
        <v>48.7</v>
      </c>
      <c r="L441" s="14"/>
      <c r="M441" s="14"/>
      <c r="N441" s="14"/>
      <c r="O441" s="14"/>
      <c r="P441" s="14"/>
      <c r="Q441" s="14"/>
      <c r="R441" s="14"/>
      <c r="S441" s="14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3.2">
      <c r="A442" s="14"/>
      <c r="B442" s="14"/>
      <c r="C442" s="5">
        <v>127</v>
      </c>
      <c r="D442" s="52">
        <v>43126</v>
      </c>
      <c r="E442" s="12"/>
      <c r="F442" s="12"/>
      <c r="G442" s="14"/>
      <c r="H442" s="14"/>
      <c r="I442" s="33" t="s">
        <v>71</v>
      </c>
      <c r="J442" s="14"/>
      <c r="K442" s="33">
        <v>46.5</v>
      </c>
      <c r="L442" s="14"/>
      <c r="M442" s="14"/>
      <c r="N442" s="14"/>
      <c r="O442" s="14"/>
      <c r="P442" s="14"/>
      <c r="Q442" s="14"/>
      <c r="R442" s="14"/>
      <c r="S442" s="14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3.2">
      <c r="A443" s="14"/>
      <c r="B443" s="14"/>
      <c r="C443" s="5">
        <v>128</v>
      </c>
      <c r="D443" s="52">
        <v>43127</v>
      </c>
      <c r="E443" s="12"/>
      <c r="F443" s="12"/>
      <c r="G443" s="14"/>
      <c r="H443" s="14"/>
      <c r="I443" s="33" t="s">
        <v>71</v>
      </c>
      <c r="J443" s="14"/>
      <c r="K443" s="33">
        <v>45.3</v>
      </c>
      <c r="L443" s="14"/>
      <c r="M443" s="14"/>
      <c r="N443" s="14"/>
      <c r="O443" s="14"/>
      <c r="P443" s="14"/>
      <c r="Q443" s="14"/>
      <c r="R443" s="14"/>
      <c r="S443" s="14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3.2">
      <c r="A444" s="14"/>
      <c r="B444" s="14"/>
      <c r="C444" s="5">
        <v>129</v>
      </c>
      <c r="D444" s="52">
        <v>43128</v>
      </c>
      <c r="E444" s="12"/>
      <c r="F444" s="12"/>
      <c r="G444" s="14"/>
      <c r="H444" s="14"/>
      <c r="I444" s="33" t="s">
        <v>71</v>
      </c>
      <c r="J444" s="14"/>
      <c r="K444" s="33">
        <v>44.3</v>
      </c>
      <c r="L444" s="14"/>
      <c r="M444" s="14"/>
      <c r="N444" s="14"/>
      <c r="O444" s="14"/>
      <c r="P444" s="14"/>
      <c r="Q444" s="14"/>
      <c r="R444" s="14"/>
      <c r="S444" s="14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3.2">
      <c r="A445" s="14"/>
      <c r="B445" s="14"/>
      <c r="C445" s="5">
        <v>130</v>
      </c>
      <c r="D445" s="52">
        <v>43129</v>
      </c>
      <c r="E445" s="12"/>
      <c r="F445" s="12"/>
      <c r="G445" s="14"/>
      <c r="H445" s="14"/>
      <c r="I445" s="33" t="s">
        <v>71</v>
      </c>
      <c r="J445" s="14"/>
      <c r="K445" s="33">
        <v>43.5</v>
      </c>
      <c r="L445" s="14"/>
      <c r="M445" s="14"/>
      <c r="N445" s="14"/>
      <c r="O445" s="14"/>
      <c r="P445" s="14"/>
      <c r="Q445" s="14"/>
      <c r="R445" s="14"/>
      <c r="S445" s="14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3.2">
      <c r="A446" s="14"/>
      <c r="B446" s="14"/>
      <c r="C446" s="5">
        <v>131</v>
      </c>
      <c r="D446" s="52">
        <v>43130</v>
      </c>
      <c r="E446" s="12"/>
      <c r="F446" s="12"/>
      <c r="G446" s="14"/>
      <c r="H446" s="14"/>
      <c r="I446" s="33" t="s">
        <v>71</v>
      </c>
      <c r="J446" s="14"/>
      <c r="K446" s="33">
        <v>42.8</v>
      </c>
      <c r="L446" s="14"/>
      <c r="M446" s="14"/>
      <c r="N446" s="14"/>
      <c r="O446" s="14"/>
      <c r="P446" s="14"/>
      <c r="Q446" s="14"/>
      <c r="R446" s="14"/>
      <c r="S446" s="14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3.2">
      <c r="A447" s="14"/>
      <c r="B447" s="14"/>
      <c r="C447" s="5">
        <v>132</v>
      </c>
      <c r="D447" s="53">
        <v>43131</v>
      </c>
      <c r="E447" s="12"/>
      <c r="F447" s="12"/>
      <c r="G447" s="14"/>
      <c r="H447" s="14"/>
      <c r="I447" s="33" t="s">
        <v>71</v>
      </c>
      <c r="J447" s="14"/>
      <c r="K447" s="33">
        <v>42</v>
      </c>
      <c r="L447" s="14"/>
      <c r="M447" s="14"/>
      <c r="N447" s="14"/>
      <c r="O447" s="14"/>
      <c r="P447" s="14"/>
      <c r="Q447" s="14"/>
      <c r="R447" s="14"/>
      <c r="S447" s="14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3.2">
      <c r="A448" s="14"/>
      <c r="B448" s="14"/>
      <c r="C448" s="5">
        <v>133</v>
      </c>
      <c r="D448" s="32">
        <v>43132</v>
      </c>
      <c r="E448" s="12"/>
      <c r="F448" s="12"/>
      <c r="G448" s="14"/>
      <c r="H448" s="14"/>
      <c r="I448" s="33" t="s">
        <v>71</v>
      </c>
      <c r="J448" s="37"/>
      <c r="K448" s="33">
        <v>41.3</v>
      </c>
      <c r="L448" s="14"/>
      <c r="M448" s="14"/>
      <c r="N448" s="14"/>
      <c r="O448" s="14"/>
      <c r="P448" s="14"/>
      <c r="Q448" s="14"/>
      <c r="R448" s="14"/>
      <c r="S448" s="14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3.2">
      <c r="A449" s="14"/>
      <c r="B449" s="14"/>
      <c r="C449" s="5">
        <v>134</v>
      </c>
      <c r="D449" s="32">
        <v>43133</v>
      </c>
      <c r="E449" s="12"/>
      <c r="F449" s="12"/>
      <c r="G449" s="14"/>
      <c r="H449" s="14"/>
      <c r="I449" s="108" t="s">
        <v>71</v>
      </c>
      <c r="J449" s="37"/>
      <c r="K449" s="33">
        <v>40.5</v>
      </c>
      <c r="L449" s="14"/>
      <c r="M449" s="14"/>
      <c r="N449" s="14"/>
      <c r="O449" s="14"/>
      <c r="P449" s="14"/>
      <c r="Q449" s="14"/>
      <c r="R449" s="14"/>
      <c r="S449" s="14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3.2">
      <c r="A450" s="14"/>
      <c r="B450" s="14"/>
      <c r="C450" s="5">
        <v>135</v>
      </c>
      <c r="D450" s="32">
        <v>43134</v>
      </c>
      <c r="E450" s="12"/>
      <c r="F450" s="12"/>
      <c r="G450" s="14"/>
      <c r="H450" s="14"/>
      <c r="I450" s="108" t="s">
        <v>71</v>
      </c>
      <c r="J450" s="37"/>
      <c r="K450" s="33">
        <v>39.799999999999997</v>
      </c>
      <c r="L450" s="14"/>
      <c r="M450" s="14"/>
      <c r="N450" s="14"/>
      <c r="O450" s="14"/>
      <c r="P450" s="14"/>
      <c r="Q450" s="14"/>
      <c r="R450" s="14"/>
      <c r="S450" s="14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3.2">
      <c r="A451" s="14"/>
      <c r="B451" s="14"/>
      <c r="C451" s="5">
        <v>136</v>
      </c>
      <c r="D451" s="32">
        <v>43135</v>
      </c>
      <c r="E451" s="12"/>
      <c r="F451" s="12"/>
      <c r="G451" s="14"/>
      <c r="H451" s="14"/>
      <c r="I451" s="108" t="s">
        <v>71</v>
      </c>
      <c r="J451" s="37"/>
      <c r="K451" s="33">
        <v>39.200000000000003</v>
      </c>
      <c r="L451" s="14"/>
      <c r="M451" s="14"/>
      <c r="N451" s="14"/>
      <c r="O451" s="14"/>
      <c r="P451" s="14"/>
      <c r="Q451" s="14"/>
      <c r="R451" s="14"/>
      <c r="S451" s="14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3.2">
      <c r="A452" s="14"/>
      <c r="B452" s="14"/>
      <c r="C452" s="5">
        <v>137</v>
      </c>
      <c r="D452" s="32">
        <v>43136</v>
      </c>
      <c r="E452" s="12"/>
      <c r="F452" s="12"/>
      <c r="G452" s="14"/>
      <c r="H452" s="14"/>
      <c r="I452" s="108" t="s">
        <v>71</v>
      </c>
      <c r="J452" s="37"/>
      <c r="K452" s="33">
        <v>38.5</v>
      </c>
      <c r="L452" s="14"/>
      <c r="M452" s="14"/>
      <c r="N452" s="14"/>
      <c r="O452" s="14"/>
      <c r="P452" s="14"/>
      <c r="Q452" s="14"/>
      <c r="R452" s="14"/>
      <c r="S452" s="14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3.2">
      <c r="A453" s="14"/>
      <c r="B453" s="14"/>
      <c r="C453" s="5">
        <v>138</v>
      </c>
      <c r="D453" s="32">
        <v>43137</v>
      </c>
      <c r="E453" s="12"/>
      <c r="F453" s="12"/>
      <c r="G453" s="14"/>
      <c r="H453" s="14"/>
      <c r="I453" s="108" t="s">
        <v>71</v>
      </c>
      <c r="J453" s="37"/>
      <c r="K453" s="33">
        <v>38.200000000000003</v>
      </c>
      <c r="L453" s="14"/>
      <c r="M453" s="14"/>
      <c r="N453" s="14"/>
      <c r="O453" s="14"/>
      <c r="P453" s="14"/>
      <c r="Q453" s="14"/>
      <c r="R453" s="14"/>
      <c r="S453" s="14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3.2">
      <c r="A454" s="14"/>
      <c r="B454" s="14"/>
      <c r="C454" s="5">
        <v>139</v>
      </c>
      <c r="D454" s="20">
        <v>43138</v>
      </c>
      <c r="E454" s="12"/>
      <c r="F454" s="12"/>
      <c r="G454" s="14"/>
      <c r="H454" s="14"/>
      <c r="I454" s="13" t="s">
        <v>71</v>
      </c>
      <c r="J454" s="14"/>
      <c r="K454" s="13">
        <v>37.200000000000003</v>
      </c>
      <c r="L454" s="14"/>
      <c r="M454" s="14"/>
      <c r="N454" s="14"/>
      <c r="O454" s="14"/>
      <c r="P454" s="14"/>
      <c r="Q454" s="14"/>
      <c r="R454" s="14"/>
      <c r="S454" s="14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3.2">
      <c r="A455" s="14"/>
      <c r="B455" s="14"/>
      <c r="C455" s="5">
        <v>140</v>
      </c>
      <c r="D455" s="20">
        <v>43139</v>
      </c>
      <c r="E455" s="12"/>
      <c r="F455" s="12"/>
      <c r="G455" s="14"/>
      <c r="H455" s="14"/>
      <c r="I455" s="13" t="s">
        <v>71</v>
      </c>
      <c r="J455" s="14"/>
      <c r="K455" s="13">
        <v>36.799999999999997</v>
      </c>
      <c r="L455" s="14"/>
      <c r="M455" s="14"/>
      <c r="N455" s="14"/>
      <c r="O455" s="14"/>
      <c r="P455" s="14"/>
      <c r="Q455" s="14"/>
      <c r="R455" s="14"/>
      <c r="S455" s="14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3.2">
      <c r="A456" s="14"/>
      <c r="B456" s="14"/>
      <c r="C456" s="5">
        <v>141</v>
      </c>
      <c r="D456" s="20">
        <v>43140</v>
      </c>
      <c r="E456" s="12"/>
      <c r="F456" s="12"/>
      <c r="G456" s="14"/>
      <c r="H456" s="14"/>
      <c r="I456" s="13" t="s">
        <v>71</v>
      </c>
      <c r="J456" s="14"/>
      <c r="K456" s="13">
        <v>36.1</v>
      </c>
      <c r="L456" s="14"/>
      <c r="M456" s="14"/>
      <c r="N456" s="14"/>
      <c r="O456" s="14"/>
      <c r="P456" s="14"/>
      <c r="Q456" s="14"/>
      <c r="R456" s="14"/>
      <c r="S456" s="14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3.2">
      <c r="A457" s="14"/>
      <c r="B457" s="14"/>
      <c r="C457" s="5">
        <v>142</v>
      </c>
      <c r="D457" s="20">
        <v>43141</v>
      </c>
      <c r="E457" s="12"/>
      <c r="F457" s="12"/>
      <c r="G457" s="14"/>
      <c r="H457" s="14"/>
      <c r="I457" s="13" t="s">
        <v>71</v>
      </c>
      <c r="J457" s="14"/>
      <c r="K457" s="13">
        <v>35.4</v>
      </c>
      <c r="L457" s="14"/>
      <c r="M457" s="14"/>
      <c r="N457" s="14"/>
      <c r="O457" s="14"/>
      <c r="P457" s="14"/>
      <c r="Q457" s="14"/>
      <c r="R457" s="14"/>
      <c r="S457" s="14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3.2">
      <c r="A458" s="14"/>
      <c r="B458" s="14"/>
      <c r="C458" s="5">
        <v>143</v>
      </c>
      <c r="D458" s="20">
        <v>43142</v>
      </c>
      <c r="E458" s="12"/>
      <c r="F458" s="12"/>
      <c r="G458" s="14"/>
      <c r="H458" s="14"/>
      <c r="I458" s="13" t="s">
        <v>71</v>
      </c>
      <c r="J458" s="14"/>
      <c r="K458" s="13">
        <v>34.799999999999997</v>
      </c>
      <c r="L458" s="14"/>
      <c r="M458" s="14"/>
      <c r="N458" s="14"/>
      <c r="O458" s="14"/>
      <c r="P458" s="14"/>
      <c r="Q458" s="14"/>
      <c r="R458" s="14"/>
      <c r="S458" s="14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3.2">
      <c r="A459" s="14"/>
      <c r="B459" s="14"/>
      <c r="C459" s="5">
        <v>144</v>
      </c>
      <c r="D459" s="20">
        <v>43143</v>
      </c>
      <c r="E459" s="12"/>
      <c r="F459" s="12"/>
      <c r="G459" s="14"/>
      <c r="H459" s="14"/>
      <c r="I459" s="13" t="s">
        <v>71</v>
      </c>
      <c r="J459" s="14"/>
      <c r="K459" s="13">
        <v>34.4</v>
      </c>
      <c r="L459" s="14"/>
      <c r="M459" s="14"/>
      <c r="N459" s="14"/>
      <c r="O459" s="14"/>
      <c r="P459" s="14"/>
      <c r="Q459" s="14"/>
      <c r="R459" s="14"/>
      <c r="S459" s="14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3.2">
      <c r="A460" s="14"/>
      <c r="B460" s="14"/>
      <c r="C460" s="5">
        <v>145</v>
      </c>
      <c r="D460" s="20">
        <v>43144</v>
      </c>
      <c r="E460" s="12"/>
      <c r="F460" s="12"/>
      <c r="G460" s="14"/>
      <c r="H460" s="14"/>
      <c r="I460" s="13" t="s">
        <v>71</v>
      </c>
      <c r="J460" s="14"/>
      <c r="K460" s="13">
        <v>33.9</v>
      </c>
      <c r="L460" s="14"/>
      <c r="M460" s="14"/>
      <c r="N460" s="14"/>
      <c r="O460" s="14"/>
      <c r="P460" s="14"/>
      <c r="Q460" s="14"/>
      <c r="R460" s="14"/>
      <c r="S460" s="14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3.2">
      <c r="A461" s="14"/>
      <c r="B461" s="14"/>
      <c r="C461" s="5">
        <v>146</v>
      </c>
      <c r="D461" s="20">
        <v>43145</v>
      </c>
      <c r="E461" s="12"/>
      <c r="F461" s="12"/>
      <c r="G461" s="14"/>
      <c r="H461" s="14"/>
      <c r="I461" s="13" t="s">
        <v>71</v>
      </c>
      <c r="J461" s="14"/>
      <c r="K461" s="13">
        <v>33</v>
      </c>
      <c r="L461" s="14"/>
      <c r="M461" s="14"/>
      <c r="N461" s="14"/>
      <c r="O461" s="14"/>
      <c r="P461" s="14"/>
      <c r="Q461" s="14"/>
      <c r="R461" s="14"/>
      <c r="S461" s="14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3.2">
      <c r="A462" s="14"/>
      <c r="B462" s="14"/>
      <c r="C462" s="5">
        <v>147</v>
      </c>
      <c r="D462" s="20">
        <v>43146</v>
      </c>
      <c r="E462" s="12"/>
      <c r="F462" s="12"/>
      <c r="G462" s="14"/>
      <c r="H462" s="14"/>
      <c r="I462" s="13" t="s">
        <v>71</v>
      </c>
      <c r="J462" s="14"/>
      <c r="K462" s="13">
        <v>32.4</v>
      </c>
      <c r="L462" s="14"/>
      <c r="M462" s="14"/>
      <c r="N462" s="14"/>
      <c r="O462" s="14"/>
      <c r="P462" s="14"/>
      <c r="Q462" s="14"/>
      <c r="R462" s="14"/>
      <c r="S462" s="14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3.2">
      <c r="A463" s="14"/>
      <c r="B463" s="14"/>
      <c r="C463" s="5">
        <v>148</v>
      </c>
      <c r="D463" s="20">
        <v>43147</v>
      </c>
      <c r="E463" s="12"/>
      <c r="F463" s="12"/>
      <c r="G463" s="14"/>
      <c r="H463" s="14"/>
      <c r="I463" s="13" t="s">
        <v>71</v>
      </c>
      <c r="J463" s="14"/>
      <c r="K463" s="13">
        <v>31.7</v>
      </c>
      <c r="L463" s="14"/>
      <c r="M463" s="14"/>
      <c r="N463" s="14"/>
      <c r="O463" s="14"/>
      <c r="P463" s="14"/>
      <c r="Q463" s="14"/>
      <c r="R463" s="14"/>
      <c r="S463" s="14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3.2">
      <c r="A464" s="14"/>
      <c r="B464" s="14"/>
      <c r="C464" s="5">
        <v>149</v>
      </c>
      <c r="D464" s="20">
        <v>43148</v>
      </c>
      <c r="E464" s="12"/>
      <c r="F464" s="12"/>
      <c r="G464" s="14"/>
      <c r="H464" s="14"/>
      <c r="I464" s="13" t="s">
        <v>71</v>
      </c>
      <c r="J464" s="14"/>
      <c r="K464" s="13">
        <v>31.1</v>
      </c>
      <c r="L464" s="14"/>
      <c r="M464" s="14"/>
      <c r="N464" s="14"/>
      <c r="O464" s="14"/>
      <c r="P464" s="14"/>
      <c r="Q464" s="14"/>
      <c r="R464" s="14"/>
      <c r="S464" s="14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3.2">
      <c r="A465" s="14"/>
      <c r="B465" s="14"/>
      <c r="C465" s="14">
        <f t="shared" ref="C465:C469" si="112">C464+1</f>
        <v>150</v>
      </c>
      <c r="D465" s="20">
        <v>43149</v>
      </c>
      <c r="E465" s="12"/>
      <c r="F465" s="12"/>
      <c r="G465" s="14"/>
      <c r="H465" s="14"/>
      <c r="I465" s="13" t="s">
        <v>71</v>
      </c>
      <c r="J465" s="14"/>
      <c r="K465" s="13">
        <v>30.7</v>
      </c>
      <c r="L465" s="14"/>
      <c r="M465" s="14"/>
      <c r="N465" s="14"/>
      <c r="O465" s="14"/>
      <c r="P465" s="14"/>
      <c r="Q465" s="14"/>
      <c r="R465" s="14"/>
      <c r="S465" s="14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3.2">
      <c r="A466" s="14"/>
      <c r="B466" s="14"/>
      <c r="C466" s="14">
        <f t="shared" si="112"/>
        <v>151</v>
      </c>
      <c r="D466" s="20">
        <v>43150</v>
      </c>
      <c r="E466" s="12"/>
      <c r="F466" s="12"/>
      <c r="G466" s="14"/>
      <c r="H466" s="14"/>
      <c r="I466" s="13" t="s">
        <v>71</v>
      </c>
      <c r="J466" s="14"/>
      <c r="K466" s="13">
        <v>29.9</v>
      </c>
      <c r="L466" s="14"/>
      <c r="M466" s="14"/>
      <c r="N466" s="14"/>
      <c r="O466" s="14"/>
      <c r="P466" s="14"/>
      <c r="Q466" s="14"/>
      <c r="R466" s="14"/>
      <c r="S466" s="14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3.2">
      <c r="A467" s="14"/>
      <c r="B467" s="14"/>
      <c r="C467" s="14">
        <f t="shared" si="112"/>
        <v>152</v>
      </c>
      <c r="D467" s="20">
        <v>43151</v>
      </c>
      <c r="E467" s="12"/>
      <c r="F467" s="12"/>
      <c r="G467" s="14"/>
      <c r="H467" s="14"/>
      <c r="I467" s="13" t="s">
        <v>71</v>
      </c>
      <c r="J467" s="14"/>
      <c r="K467" s="13">
        <v>29.3</v>
      </c>
      <c r="L467" s="14"/>
      <c r="M467" s="14"/>
      <c r="N467" s="14"/>
      <c r="O467" s="14"/>
      <c r="P467" s="14"/>
      <c r="Q467" s="14"/>
      <c r="R467" s="14"/>
      <c r="S467" s="14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3.2">
      <c r="A468" s="14"/>
      <c r="B468" s="14"/>
      <c r="C468" s="14">
        <f t="shared" si="112"/>
        <v>153</v>
      </c>
      <c r="D468" s="20">
        <v>43152</v>
      </c>
      <c r="E468" s="12"/>
      <c r="F468" s="12"/>
      <c r="G468" s="14"/>
      <c r="H468" s="14"/>
      <c r="I468" s="13" t="s">
        <v>71</v>
      </c>
      <c r="J468" s="14"/>
      <c r="K468" s="13">
        <v>28.6</v>
      </c>
      <c r="L468" s="14"/>
      <c r="M468" s="14"/>
      <c r="N468" s="14"/>
      <c r="O468" s="14"/>
      <c r="P468" s="14"/>
      <c r="Q468" s="14"/>
      <c r="R468" s="14"/>
      <c r="S468" s="14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3.2">
      <c r="A469" s="14"/>
      <c r="B469" s="14"/>
      <c r="C469" s="14">
        <f t="shared" si="112"/>
        <v>154</v>
      </c>
      <c r="D469" s="20">
        <v>43153</v>
      </c>
      <c r="E469" s="12"/>
      <c r="F469" s="12"/>
      <c r="G469" s="14"/>
      <c r="H469" s="14"/>
      <c r="I469" s="13" t="s">
        <v>71</v>
      </c>
      <c r="J469" s="14"/>
      <c r="K469" s="13">
        <v>28.3</v>
      </c>
      <c r="L469" s="14"/>
      <c r="M469" s="14"/>
      <c r="N469" s="14"/>
      <c r="O469" s="14"/>
      <c r="P469" s="14"/>
      <c r="Q469" s="14"/>
      <c r="R469" s="14"/>
      <c r="S469" s="14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3.2">
      <c r="A470" s="14"/>
      <c r="B470" s="14"/>
      <c r="C470" s="5">
        <v>155</v>
      </c>
      <c r="D470" s="56">
        <v>43154</v>
      </c>
      <c r="E470" s="12"/>
      <c r="F470" s="12"/>
      <c r="G470" s="14"/>
      <c r="H470" s="14"/>
      <c r="I470" s="13" t="s">
        <v>71</v>
      </c>
      <c r="J470" s="14"/>
      <c r="K470" s="13">
        <v>27.7</v>
      </c>
      <c r="L470" s="14"/>
      <c r="M470" s="14"/>
      <c r="N470" s="14"/>
      <c r="O470" s="14"/>
      <c r="P470" s="14"/>
      <c r="Q470" s="14"/>
      <c r="R470" s="14"/>
      <c r="S470" s="14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3.2">
      <c r="A471" s="14"/>
      <c r="B471" s="14"/>
      <c r="C471" s="5">
        <v>156</v>
      </c>
      <c r="D471" s="20">
        <v>43155</v>
      </c>
      <c r="E471" s="12"/>
      <c r="F471" s="12"/>
      <c r="G471" s="14"/>
      <c r="H471" s="14"/>
      <c r="I471" s="13">
        <v>68</v>
      </c>
      <c r="J471" s="14"/>
      <c r="K471" s="13">
        <v>27.3</v>
      </c>
      <c r="L471" s="14"/>
      <c r="M471" s="14"/>
      <c r="N471" s="14"/>
      <c r="O471" s="14"/>
      <c r="P471" s="14"/>
      <c r="Q471" s="14"/>
      <c r="R471" s="14"/>
      <c r="S471" s="14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3.2">
      <c r="A472" s="14"/>
      <c r="B472" s="14"/>
      <c r="C472" s="5">
        <v>157</v>
      </c>
      <c r="D472" s="20">
        <v>43156</v>
      </c>
      <c r="E472" s="12"/>
      <c r="F472" s="12"/>
      <c r="G472" s="14"/>
      <c r="H472" s="14"/>
      <c r="I472" s="13">
        <v>63.7</v>
      </c>
      <c r="J472" s="14"/>
      <c r="K472" s="13">
        <v>29.8</v>
      </c>
      <c r="L472" s="14"/>
      <c r="M472" s="14"/>
      <c r="N472" s="14"/>
      <c r="O472" s="14"/>
      <c r="P472" s="14"/>
      <c r="Q472" s="14"/>
      <c r="R472" s="14"/>
      <c r="S472" s="14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3.2">
      <c r="A473" s="14"/>
      <c r="B473" s="14"/>
      <c r="C473" s="5">
        <v>158</v>
      </c>
      <c r="D473" s="20">
        <v>43157</v>
      </c>
      <c r="E473" s="12"/>
      <c r="F473" s="12"/>
      <c r="G473" s="14"/>
      <c r="H473" s="14"/>
      <c r="I473" s="13">
        <v>58.9</v>
      </c>
      <c r="J473" s="14"/>
      <c r="K473" s="13">
        <v>30.5</v>
      </c>
      <c r="L473" s="14"/>
      <c r="M473" s="14"/>
      <c r="N473" s="14"/>
      <c r="O473" s="14"/>
      <c r="P473" s="14"/>
      <c r="Q473" s="14"/>
      <c r="R473" s="14"/>
      <c r="S473" s="14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3.2">
      <c r="A474" s="14"/>
      <c r="B474" s="14"/>
      <c r="C474" s="5">
        <v>159</v>
      </c>
      <c r="D474" s="20">
        <v>43158</v>
      </c>
      <c r="E474" s="12"/>
      <c r="F474" s="12"/>
      <c r="G474" s="14"/>
      <c r="H474" s="14"/>
      <c r="I474" s="13">
        <v>54.4</v>
      </c>
      <c r="J474" s="14"/>
      <c r="K474" s="13">
        <v>31.4</v>
      </c>
      <c r="L474" s="14"/>
      <c r="M474" s="14"/>
      <c r="N474" s="14"/>
      <c r="O474" s="14"/>
      <c r="P474" s="14"/>
      <c r="Q474" s="14"/>
      <c r="R474" s="14"/>
      <c r="S474" s="14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3.2">
      <c r="A475" s="14"/>
      <c r="B475" s="14"/>
      <c r="C475" s="5">
        <v>166</v>
      </c>
      <c r="D475" s="20">
        <v>43165</v>
      </c>
      <c r="E475" s="12"/>
      <c r="F475" s="12"/>
      <c r="G475" s="14"/>
      <c r="H475" s="14"/>
      <c r="I475" s="13">
        <v>29.1</v>
      </c>
      <c r="J475" s="14"/>
      <c r="K475" s="13">
        <v>31</v>
      </c>
      <c r="L475" s="14"/>
      <c r="M475" s="14"/>
      <c r="N475" s="14"/>
      <c r="O475" s="14"/>
      <c r="P475" s="14"/>
      <c r="Q475" s="14"/>
      <c r="R475" s="14"/>
      <c r="S475" s="14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3.2">
      <c r="A476" s="14"/>
      <c r="B476" s="14"/>
      <c r="C476" s="5">
        <v>173</v>
      </c>
      <c r="D476" s="20">
        <v>43172</v>
      </c>
      <c r="E476" s="12"/>
      <c r="F476" s="12"/>
      <c r="G476" s="14"/>
      <c r="H476" s="14"/>
      <c r="I476" s="13">
        <v>51.1</v>
      </c>
      <c r="J476" s="14"/>
      <c r="K476" s="13">
        <v>30.6</v>
      </c>
      <c r="L476" s="14"/>
      <c r="M476" s="14"/>
      <c r="N476" s="14"/>
      <c r="O476" s="14"/>
      <c r="P476" s="14"/>
      <c r="Q476" s="14"/>
      <c r="R476" s="14"/>
      <c r="S476" s="14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3.2">
      <c r="A477" s="14"/>
      <c r="B477" s="14"/>
      <c r="C477" s="14"/>
      <c r="D477" s="14"/>
      <c r="E477" s="12"/>
      <c r="F477" s="12"/>
      <c r="G477" s="14"/>
      <c r="H477" s="14"/>
      <c r="I477" s="15"/>
      <c r="J477" s="14"/>
      <c r="K477" s="15"/>
      <c r="L477" s="14"/>
      <c r="M477" s="14"/>
      <c r="N477" s="14"/>
      <c r="O477" s="14"/>
      <c r="P477" s="14"/>
      <c r="Q477" s="14"/>
      <c r="R477" s="14"/>
      <c r="S477" s="14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3.2">
      <c r="A478" s="14"/>
      <c r="B478" s="14"/>
      <c r="C478" s="14"/>
      <c r="D478" s="14"/>
      <c r="E478" s="12"/>
      <c r="F478" s="12"/>
      <c r="G478" s="14"/>
      <c r="H478" s="14"/>
      <c r="I478" s="15"/>
      <c r="J478" s="14"/>
      <c r="K478" s="15"/>
      <c r="L478" s="14"/>
      <c r="M478" s="14"/>
      <c r="N478" s="14"/>
      <c r="O478" s="14"/>
      <c r="P478" s="14"/>
      <c r="Q478" s="14"/>
      <c r="R478" s="14"/>
      <c r="S478" s="14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3.2">
      <c r="A479" s="14"/>
      <c r="B479" s="14"/>
      <c r="C479" s="14"/>
      <c r="D479" s="14"/>
      <c r="E479" s="12"/>
      <c r="F479" s="12"/>
      <c r="G479" s="14"/>
      <c r="H479" s="14"/>
      <c r="I479" s="15"/>
      <c r="J479" s="14"/>
      <c r="K479" s="15"/>
      <c r="L479" s="14"/>
      <c r="M479" s="14"/>
      <c r="N479" s="14"/>
      <c r="O479" s="14"/>
      <c r="P479" s="14"/>
      <c r="Q479" s="14"/>
      <c r="R479" s="14"/>
      <c r="S479" s="14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3.2">
      <c r="A480" s="14"/>
      <c r="B480" s="14"/>
      <c r="C480" s="14"/>
      <c r="D480" s="14"/>
      <c r="E480" s="12"/>
      <c r="F480" s="12"/>
      <c r="G480" s="14"/>
      <c r="H480" s="14"/>
      <c r="I480" s="15"/>
      <c r="J480" s="14"/>
      <c r="K480" s="15"/>
      <c r="L480" s="14"/>
      <c r="M480" s="14"/>
      <c r="N480" s="14"/>
      <c r="O480" s="14"/>
      <c r="P480" s="14"/>
      <c r="Q480" s="14"/>
      <c r="R480" s="14"/>
      <c r="S480" s="14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3.2">
      <c r="A481" s="14"/>
      <c r="B481" s="14"/>
      <c r="C481" s="14"/>
      <c r="D481" s="14"/>
      <c r="E481" s="12"/>
      <c r="F481" s="12"/>
      <c r="G481" s="14"/>
      <c r="H481" s="14"/>
      <c r="I481" s="15"/>
      <c r="J481" s="14"/>
      <c r="K481" s="15"/>
      <c r="L481" s="14"/>
      <c r="M481" s="14"/>
      <c r="N481" s="14"/>
      <c r="O481" s="14"/>
      <c r="P481" s="14"/>
      <c r="Q481" s="14"/>
      <c r="R481" s="14"/>
      <c r="S481" s="14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26.4">
      <c r="A482" s="8" t="s">
        <v>72</v>
      </c>
      <c r="B482" s="5">
        <v>0</v>
      </c>
      <c r="C482" s="5">
        <v>0</v>
      </c>
      <c r="D482" s="9">
        <v>42992</v>
      </c>
      <c r="E482" s="10">
        <v>373.8</v>
      </c>
      <c r="F482" s="11" t="s">
        <v>21</v>
      </c>
      <c r="G482" s="12">
        <f>AVERAGE(F483:F499)</f>
        <v>6.2940476190476238</v>
      </c>
      <c r="H482" s="14"/>
      <c r="I482" s="13">
        <v>101.4</v>
      </c>
      <c r="J482" s="14"/>
      <c r="K482" s="13">
        <v>16.600000000000001</v>
      </c>
      <c r="L482" s="14"/>
      <c r="M482" s="14"/>
      <c r="N482" s="14"/>
      <c r="O482" s="14"/>
      <c r="P482" s="14">
        <f>SUM(O482:O492)-104.4</f>
        <v>306.29999999999995</v>
      </c>
      <c r="Q482" s="14"/>
      <c r="R482" s="14"/>
      <c r="S482" s="15">
        <f>I487-I495</f>
        <v>37.099999999999994</v>
      </c>
      <c r="T482" s="7">
        <f>SUM(S482:S486)*5.24</f>
        <v>1167.4720000000002</v>
      </c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3.2">
      <c r="A483" s="5" t="s">
        <v>30</v>
      </c>
      <c r="B483" s="5">
        <v>0</v>
      </c>
      <c r="C483" s="5">
        <v>0</v>
      </c>
      <c r="D483" s="9">
        <v>42993</v>
      </c>
      <c r="E483" s="10">
        <v>366</v>
      </c>
      <c r="F483" s="12">
        <f>E482-E483</f>
        <v>7.8000000000000114</v>
      </c>
      <c r="G483" s="14"/>
      <c r="H483" s="14"/>
      <c r="I483" s="13">
        <v>98.1</v>
      </c>
      <c r="J483" s="15">
        <f t="shared" ref="J483:J486" si="113">(I482-I483)/(D483-D482)</f>
        <v>3.3000000000000114</v>
      </c>
      <c r="K483" s="13">
        <v>16.5</v>
      </c>
      <c r="L483" s="14"/>
      <c r="M483" s="14"/>
      <c r="N483" s="14"/>
      <c r="O483" s="12">
        <f>E487-E494</f>
        <v>79.200000000000045</v>
      </c>
      <c r="P483" s="14"/>
      <c r="Q483" s="14"/>
      <c r="R483" s="14"/>
      <c r="S483" s="15">
        <f>60-I500</f>
        <v>25.5</v>
      </c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3.2">
      <c r="A484" s="5" t="s">
        <v>73</v>
      </c>
      <c r="B484" s="5">
        <v>0</v>
      </c>
      <c r="C484" s="5">
        <v>0</v>
      </c>
      <c r="D484" s="9">
        <v>42996</v>
      </c>
      <c r="E484" s="10">
        <v>348.6</v>
      </c>
      <c r="F484" s="12">
        <f t="shared" ref="F484:F486" si="114">(E483-E484)/(D484-D483)</f>
        <v>5.7999999999999927</v>
      </c>
      <c r="G484" s="14"/>
      <c r="H484" s="14"/>
      <c r="I484" s="13">
        <v>86.8</v>
      </c>
      <c r="J484" s="15">
        <f t="shared" si="113"/>
        <v>3.7666666666666657</v>
      </c>
      <c r="K484" s="13">
        <v>17.3</v>
      </c>
      <c r="L484" s="14"/>
      <c r="M484" s="14"/>
      <c r="N484" s="14"/>
      <c r="O484" s="12">
        <f>E495-E497</f>
        <v>28.399999999999977</v>
      </c>
      <c r="P484" s="14"/>
      <c r="Q484" s="14"/>
      <c r="R484" s="14"/>
      <c r="S484" s="15">
        <f>84-I508</f>
        <v>38.1</v>
      </c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3.2">
      <c r="A485" s="14"/>
      <c r="B485" s="5">
        <v>0</v>
      </c>
      <c r="C485" s="5">
        <v>0</v>
      </c>
      <c r="D485" s="9">
        <v>42998</v>
      </c>
      <c r="E485" s="10">
        <v>337.3</v>
      </c>
      <c r="F485" s="12">
        <f t="shared" si="114"/>
        <v>5.6500000000000057</v>
      </c>
      <c r="G485" s="14"/>
      <c r="H485" s="14"/>
      <c r="I485" s="13">
        <v>79</v>
      </c>
      <c r="J485" s="15">
        <f t="shared" si="113"/>
        <v>3.8999999999999986</v>
      </c>
      <c r="K485" s="13">
        <v>17.3</v>
      </c>
      <c r="L485" s="14"/>
      <c r="M485" s="14"/>
      <c r="N485" s="14"/>
      <c r="O485" s="12">
        <f>E498-E501</f>
        <v>35.099999999999966</v>
      </c>
      <c r="P485" s="14"/>
      <c r="Q485" s="14"/>
      <c r="R485" s="14"/>
      <c r="S485" s="15">
        <f>88.5-I520</f>
        <v>55</v>
      </c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3.2">
      <c r="A486" s="14"/>
      <c r="B486" s="5">
        <v>0</v>
      </c>
      <c r="C486" s="5">
        <v>0</v>
      </c>
      <c r="D486" s="17">
        <v>42999</v>
      </c>
      <c r="E486" s="10">
        <v>329.7</v>
      </c>
      <c r="F486" s="12">
        <f t="shared" si="114"/>
        <v>7.6000000000000227</v>
      </c>
      <c r="G486" s="14"/>
      <c r="H486" s="14"/>
      <c r="I486" s="13">
        <v>75.5</v>
      </c>
      <c r="J486" s="15">
        <f t="shared" si="113"/>
        <v>3.5</v>
      </c>
      <c r="K486" s="13">
        <v>18.100000000000001</v>
      </c>
      <c r="L486" s="14"/>
      <c r="M486" s="14"/>
      <c r="N486" s="14"/>
      <c r="O486" s="12">
        <f>E502-E505</f>
        <v>33.800000000000011</v>
      </c>
      <c r="P486" s="14"/>
      <c r="Q486" s="14"/>
      <c r="R486" s="14"/>
      <c r="S486" s="15">
        <f>126.9-I534</f>
        <v>67.100000000000009</v>
      </c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3.2">
      <c r="A487" s="14"/>
      <c r="B487" s="5">
        <v>0.5</v>
      </c>
      <c r="C487" s="5">
        <v>0</v>
      </c>
      <c r="D487" s="17">
        <v>42999</v>
      </c>
      <c r="E487" s="10">
        <v>356.6</v>
      </c>
      <c r="F487" s="12"/>
      <c r="G487" s="14"/>
      <c r="H487" s="14"/>
      <c r="I487" s="13">
        <v>68.8</v>
      </c>
      <c r="J487" s="15"/>
      <c r="K487" s="13"/>
      <c r="L487" s="14"/>
      <c r="M487" s="14"/>
      <c r="N487" s="14"/>
      <c r="O487" s="12">
        <f>E506-E509</f>
        <v>32</v>
      </c>
      <c r="P487" s="14"/>
      <c r="Q487" s="14"/>
      <c r="R487" s="14"/>
      <c r="S487" s="14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3.2">
      <c r="A488" s="14"/>
      <c r="B488" s="5">
        <v>0.5</v>
      </c>
      <c r="C488" s="5">
        <f t="shared" ref="C488:C541" si="115">D488-$D$7</f>
        <v>1</v>
      </c>
      <c r="D488" s="17">
        <v>43000</v>
      </c>
      <c r="E488" s="10">
        <v>352.1</v>
      </c>
      <c r="F488" s="12">
        <f t="shared" ref="F488:F493" si="116">(E487-E488)/(D488-D487)</f>
        <v>4.5</v>
      </c>
      <c r="G488" s="14"/>
      <c r="H488" s="14"/>
      <c r="I488" s="13">
        <v>65</v>
      </c>
      <c r="J488" s="15">
        <f t="shared" ref="J488:J493" si="117">(I487-I488)/(D488-D487)</f>
        <v>3.7999999999999972</v>
      </c>
      <c r="K488" s="13">
        <v>19.2</v>
      </c>
      <c r="L488" s="14"/>
      <c r="M488" s="14"/>
      <c r="N488" s="14"/>
      <c r="O488" s="12">
        <f>E510-E513</f>
        <v>31.800000000000011</v>
      </c>
      <c r="P488" s="14"/>
      <c r="Q488" s="14"/>
      <c r="R488" s="14"/>
      <c r="S488" s="14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3.2">
      <c r="A489" s="14"/>
      <c r="B489" s="5">
        <v>0.5</v>
      </c>
      <c r="C489" s="5">
        <f t="shared" si="115"/>
        <v>4</v>
      </c>
      <c r="D489" s="9">
        <v>43003</v>
      </c>
      <c r="E489" s="10">
        <v>339</v>
      </c>
      <c r="F489" s="12">
        <f t="shared" si="116"/>
        <v>4.3666666666666742</v>
      </c>
      <c r="G489" s="14"/>
      <c r="H489" s="14"/>
      <c r="I489" s="13">
        <v>57.3</v>
      </c>
      <c r="J489" s="15">
        <f t="shared" si="117"/>
        <v>2.5666666666666678</v>
      </c>
      <c r="K489" s="13">
        <v>19.2</v>
      </c>
      <c r="L489" s="14"/>
      <c r="M489" s="14"/>
      <c r="N489" s="14"/>
      <c r="O489" s="12">
        <f>E514-E517</f>
        <v>40.099999999999966</v>
      </c>
      <c r="P489" s="14"/>
      <c r="Q489" s="14"/>
      <c r="R489" s="14"/>
      <c r="S489" s="14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3.2">
      <c r="A490" s="14"/>
      <c r="B490" s="5">
        <v>1</v>
      </c>
      <c r="C490" s="5">
        <f t="shared" si="115"/>
        <v>6</v>
      </c>
      <c r="D490" s="9">
        <v>43005</v>
      </c>
      <c r="E490" s="10">
        <v>331.4</v>
      </c>
      <c r="F490" s="12">
        <f t="shared" si="116"/>
        <v>3.8000000000000114</v>
      </c>
      <c r="G490" s="14"/>
      <c r="H490" s="14"/>
      <c r="I490" s="13">
        <v>53.2</v>
      </c>
      <c r="J490" s="15">
        <f t="shared" si="117"/>
        <v>2.0499999999999972</v>
      </c>
      <c r="K490" s="18">
        <v>19.5</v>
      </c>
      <c r="L490" s="14"/>
      <c r="M490" s="14"/>
      <c r="N490" s="14"/>
      <c r="O490" s="12">
        <f>E518-E526</f>
        <v>67.900000000000034</v>
      </c>
      <c r="P490" s="14"/>
      <c r="Q490" s="14"/>
      <c r="R490" s="14"/>
      <c r="S490" s="14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3.2">
      <c r="A491" s="14"/>
      <c r="B491" s="5">
        <v>1</v>
      </c>
      <c r="C491" s="5">
        <f t="shared" si="115"/>
        <v>8</v>
      </c>
      <c r="D491" s="9">
        <v>43007</v>
      </c>
      <c r="E491" s="10">
        <v>321.89999999999998</v>
      </c>
      <c r="F491" s="12">
        <f t="shared" si="116"/>
        <v>4.75</v>
      </c>
      <c r="G491" s="14"/>
      <c r="H491" s="14"/>
      <c r="I491" s="13">
        <v>48.2</v>
      </c>
      <c r="J491" s="15">
        <f t="shared" si="117"/>
        <v>2.5</v>
      </c>
      <c r="K491" s="13">
        <v>19.899999999999999</v>
      </c>
      <c r="L491" s="14"/>
      <c r="M491" s="14"/>
      <c r="N491" s="14"/>
      <c r="O491" s="12">
        <f>E527-E530</f>
        <v>32.5</v>
      </c>
      <c r="P491" s="14"/>
      <c r="Q491" s="14"/>
      <c r="R491" s="14"/>
      <c r="S491" s="14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3.2">
      <c r="A492" s="14"/>
      <c r="B492" s="5">
        <v>1</v>
      </c>
      <c r="C492" s="5">
        <f t="shared" si="115"/>
        <v>11</v>
      </c>
      <c r="D492" s="19">
        <v>43010</v>
      </c>
      <c r="E492" s="11">
        <v>304.2</v>
      </c>
      <c r="F492" s="12">
        <f t="shared" si="116"/>
        <v>5.8999999999999959</v>
      </c>
      <c r="G492" s="14"/>
      <c r="H492" s="14"/>
      <c r="I492" s="13">
        <v>41.2</v>
      </c>
      <c r="J492" s="15">
        <f t="shared" si="117"/>
        <v>2.3333333333333335</v>
      </c>
      <c r="K492" s="13">
        <v>20.399999999999999</v>
      </c>
      <c r="L492" s="14"/>
      <c r="M492" s="14"/>
      <c r="N492" s="14"/>
      <c r="O492" s="12">
        <f>E531-E534</f>
        <v>29.899999999999977</v>
      </c>
      <c r="P492" s="14"/>
      <c r="Q492" s="14"/>
      <c r="R492" s="14"/>
      <c r="S492" s="14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3.2">
      <c r="A493" s="14"/>
      <c r="B493" s="5">
        <v>1</v>
      </c>
      <c r="C493" s="5">
        <f t="shared" si="115"/>
        <v>13</v>
      </c>
      <c r="D493" s="19">
        <v>43012</v>
      </c>
      <c r="E493" s="11">
        <v>286.7</v>
      </c>
      <c r="F493" s="12">
        <f t="shared" si="116"/>
        <v>8.75</v>
      </c>
      <c r="G493" s="14"/>
      <c r="H493" s="14"/>
      <c r="I493" s="13">
        <v>36.200000000000003</v>
      </c>
      <c r="J493" s="15">
        <f t="shared" si="117"/>
        <v>2.5</v>
      </c>
      <c r="K493" s="13">
        <v>21.1</v>
      </c>
      <c r="L493" s="14"/>
      <c r="M493" s="14"/>
      <c r="N493" s="14"/>
      <c r="O493" s="14"/>
      <c r="P493" s="14"/>
      <c r="Q493" s="14"/>
      <c r="R493" s="14"/>
      <c r="S493" s="14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3.2">
      <c r="A494" s="14"/>
      <c r="B494" s="5">
        <v>2</v>
      </c>
      <c r="C494" s="5">
        <f t="shared" si="115"/>
        <v>14</v>
      </c>
      <c r="D494" s="20">
        <v>43013</v>
      </c>
      <c r="E494" s="11">
        <v>277.39999999999998</v>
      </c>
      <c r="F494" s="11"/>
      <c r="G494" s="14"/>
      <c r="H494" s="14"/>
      <c r="I494" s="13" t="s">
        <v>24</v>
      </c>
      <c r="J494" s="14"/>
      <c r="K494" s="13"/>
      <c r="L494" s="14"/>
      <c r="M494" s="14"/>
      <c r="N494" s="14"/>
      <c r="O494" s="14"/>
      <c r="P494" s="14"/>
      <c r="Q494" s="14"/>
      <c r="R494" s="14"/>
      <c r="S494" s="14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3.2">
      <c r="A495" s="14"/>
      <c r="B495" s="5">
        <v>2</v>
      </c>
      <c r="C495" s="5">
        <f t="shared" si="115"/>
        <v>15</v>
      </c>
      <c r="D495" s="20">
        <v>43014</v>
      </c>
      <c r="E495" s="11">
        <v>362.4</v>
      </c>
      <c r="F495" s="12">
        <f>(371-E495)/(D495-D494)</f>
        <v>8.6000000000000227</v>
      </c>
      <c r="G495" s="14"/>
      <c r="H495" s="14"/>
      <c r="I495" s="13">
        <v>31.7</v>
      </c>
      <c r="J495" s="14">
        <f>(93.5-I495)/(D496-D493)</f>
        <v>12.36</v>
      </c>
      <c r="K495" s="13">
        <v>20.7</v>
      </c>
      <c r="L495" s="14"/>
      <c r="M495" s="14"/>
      <c r="N495" s="14"/>
      <c r="O495" s="14"/>
      <c r="P495" s="14"/>
      <c r="Q495" s="14"/>
      <c r="R495" s="14"/>
      <c r="S495" s="14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3.2">
      <c r="A496" s="14"/>
      <c r="B496" s="5">
        <v>2</v>
      </c>
      <c r="C496" s="5">
        <f t="shared" si="115"/>
        <v>18</v>
      </c>
      <c r="D496" s="20">
        <v>43017</v>
      </c>
      <c r="E496" s="11">
        <v>349.8</v>
      </c>
      <c r="F496" s="12">
        <f t="shared" ref="F496:F497" si="118">(E495-E496)/(D496-D495)</f>
        <v>4.1999999999999886</v>
      </c>
      <c r="G496" s="14"/>
      <c r="H496" s="14"/>
      <c r="I496" s="13">
        <v>52.4</v>
      </c>
      <c r="J496" s="16">
        <f>(60-I496)/(D496-D495)</f>
        <v>2.5333333333333337</v>
      </c>
      <c r="K496" s="13">
        <v>21.4</v>
      </c>
      <c r="L496" s="14"/>
      <c r="M496" s="14"/>
      <c r="N496" s="14"/>
      <c r="O496" s="14"/>
      <c r="P496" s="14"/>
      <c r="Q496" s="14"/>
      <c r="R496" s="14"/>
      <c r="S496" s="14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3.2">
      <c r="A497" s="14"/>
      <c r="B497" s="5">
        <v>2</v>
      </c>
      <c r="C497" s="5">
        <f t="shared" si="115"/>
        <v>20</v>
      </c>
      <c r="D497" s="20">
        <v>43019</v>
      </c>
      <c r="E497" s="11">
        <v>334</v>
      </c>
      <c r="F497" s="12">
        <f t="shared" si="118"/>
        <v>7.9000000000000057</v>
      </c>
      <c r="G497" s="14"/>
      <c r="H497" s="14"/>
      <c r="I497" s="13">
        <v>47.6</v>
      </c>
      <c r="J497" s="14">
        <f>(I496-I497)/(D497-D496)</f>
        <v>2.3999999999999986</v>
      </c>
      <c r="K497" s="13">
        <v>21.6</v>
      </c>
      <c r="L497" s="14"/>
      <c r="M497" s="14"/>
      <c r="N497" s="14"/>
      <c r="O497" s="14"/>
      <c r="P497" s="14"/>
      <c r="Q497" s="14"/>
      <c r="R497" s="14"/>
      <c r="S497" s="14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3.2">
      <c r="A498" s="14"/>
      <c r="B498" s="5">
        <v>3</v>
      </c>
      <c r="C498" s="5">
        <f t="shared" si="115"/>
        <v>21</v>
      </c>
      <c r="D498" s="20">
        <v>43020</v>
      </c>
      <c r="E498" s="11">
        <v>386.7</v>
      </c>
      <c r="F498" s="12"/>
      <c r="G498" s="14"/>
      <c r="H498" s="14"/>
      <c r="I498" s="13"/>
      <c r="J498" s="14"/>
      <c r="K498" s="13"/>
      <c r="L498" s="14"/>
      <c r="M498" s="14"/>
      <c r="N498" s="14"/>
      <c r="O498" s="14"/>
      <c r="P498" s="14"/>
      <c r="Q498" s="14"/>
      <c r="R498" s="14"/>
      <c r="S498" s="14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3.2">
      <c r="A499" s="14"/>
      <c r="B499" s="5">
        <v>3</v>
      </c>
      <c r="C499" s="5">
        <f t="shared" si="115"/>
        <v>22</v>
      </c>
      <c r="D499" s="20">
        <f>D497+2</f>
        <v>43021</v>
      </c>
      <c r="E499" s="11">
        <v>378.2</v>
      </c>
      <c r="F499" s="12">
        <f t="shared" ref="F499:F501" si="119">(E498-E499)/(D499-D498)</f>
        <v>8.5</v>
      </c>
      <c r="G499" s="14"/>
      <c r="H499" s="14"/>
      <c r="I499" s="13">
        <v>42.8</v>
      </c>
      <c r="J499" s="14">
        <f>(I497-I499)/(D499-D497)</f>
        <v>2.4000000000000021</v>
      </c>
      <c r="K499" s="13">
        <v>21.5</v>
      </c>
      <c r="L499" s="14"/>
      <c r="M499" s="14"/>
      <c r="N499" s="14"/>
      <c r="O499" s="14"/>
      <c r="P499" s="14"/>
      <c r="Q499" s="14"/>
      <c r="R499" s="14"/>
      <c r="S499" s="14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3.2">
      <c r="A500" s="14"/>
      <c r="B500" s="5">
        <v>3</v>
      </c>
      <c r="C500" s="5">
        <f t="shared" si="115"/>
        <v>25</v>
      </c>
      <c r="D500" s="20">
        <f>D499+3</f>
        <v>43024</v>
      </c>
      <c r="E500" s="11">
        <v>362.8</v>
      </c>
      <c r="F500" s="12">
        <f t="shared" si="119"/>
        <v>5.1333333333333258</v>
      </c>
      <c r="G500" s="14"/>
      <c r="H500" s="14"/>
      <c r="I500" s="13">
        <v>34.5</v>
      </c>
      <c r="J500" s="15">
        <f>(I499-I500)/(D500-D499)</f>
        <v>2.7666666666666657</v>
      </c>
      <c r="K500" s="13">
        <v>22.8</v>
      </c>
      <c r="L500" s="14"/>
      <c r="M500" s="14"/>
      <c r="N500" s="14"/>
      <c r="O500" s="14"/>
      <c r="P500" s="14"/>
      <c r="Q500" s="14"/>
      <c r="R500" s="14"/>
      <c r="S500" s="14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3.2">
      <c r="A501" s="14"/>
      <c r="B501" s="5">
        <v>3</v>
      </c>
      <c r="C501" s="5">
        <f t="shared" si="115"/>
        <v>27</v>
      </c>
      <c r="D501" s="20">
        <f>D500+2</f>
        <v>43026</v>
      </c>
      <c r="E501" s="11">
        <v>351.6</v>
      </c>
      <c r="F501" s="12">
        <f t="shared" si="119"/>
        <v>5.5999999999999943</v>
      </c>
      <c r="G501" s="14"/>
      <c r="H501" s="14"/>
      <c r="I501" s="13">
        <v>76.2</v>
      </c>
      <c r="J501" s="14">
        <f>(84-I501)/(D501-D500)</f>
        <v>3.8999999999999986</v>
      </c>
      <c r="K501" s="13">
        <v>22.6</v>
      </c>
      <c r="L501" s="14"/>
      <c r="M501" s="14"/>
      <c r="N501" s="14"/>
      <c r="O501" s="14"/>
      <c r="P501" s="14"/>
      <c r="Q501" s="14"/>
      <c r="R501" s="14"/>
      <c r="S501" s="14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3.2">
      <c r="A502" s="14"/>
      <c r="B502" s="5">
        <v>4</v>
      </c>
      <c r="C502" s="5">
        <f t="shared" si="115"/>
        <v>28</v>
      </c>
      <c r="D502" s="20">
        <v>43027</v>
      </c>
      <c r="E502" s="11">
        <v>392.6</v>
      </c>
      <c r="F502" s="12"/>
      <c r="G502" s="14"/>
      <c r="H502" s="14"/>
      <c r="I502" s="15"/>
      <c r="J502" s="14"/>
      <c r="K502" s="15"/>
      <c r="L502" s="14"/>
      <c r="M502" s="14"/>
      <c r="N502" s="14"/>
      <c r="O502" s="14"/>
      <c r="P502" s="14"/>
      <c r="Q502" s="14"/>
      <c r="R502" s="14"/>
      <c r="S502" s="14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3.2">
      <c r="A503" s="14"/>
      <c r="B503" s="5">
        <v>4</v>
      </c>
      <c r="C503" s="5">
        <f t="shared" si="115"/>
        <v>29</v>
      </c>
      <c r="D503" s="20">
        <f>D501+2</f>
        <v>43028</v>
      </c>
      <c r="E503" s="11">
        <v>384.8</v>
      </c>
      <c r="F503" s="12">
        <f t="shared" ref="F503:F505" si="120">(E502-E503)/(D503-D502)</f>
        <v>7.8000000000000114</v>
      </c>
      <c r="G503" s="14"/>
      <c r="H503" s="14"/>
      <c r="I503" s="13">
        <v>70.099999999999994</v>
      </c>
      <c r="J503" s="14">
        <f>(I501-I503)/(D503-D501)</f>
        <v>3.0500000000000043</v>
      </c>
      <c r="K503" s="13">
        <v>23.8</v>
      </c>
      <c r="L503" s="14"/>
      <c r="M503" s="14"/>
      <c r="N503" s="14"/>
      <c r="O503" s="14"/>
      <c r="P503" s="14"/>
      <c r="Q503" s="14"/>
      <c r="R503" s="14"/>
      <c r="S503" s="14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3.2">
      <c r="A504" s="14"/>
      <c r="B504" s="5">
        <v>4</v>
      </c>
      <c r="C504" s="5">
        <f t="shared" si="115"/>
        <v>32</v>
      </c>
      <c r="D504" s="20">
        <v>43031</v>
      </c>
      <c r="E504" s="11">
        <v>369.6</v>
      </c>
      <c r="F504" s="12">
        <f t="shared" si="120"/>
        <v>5.0666666666666629</v>
      </c>
      <c r="G504" s="14"/>
      <c r="H504" s="14"/>
      <c r="I504" s="13">
        <v>62.6</v>
      </c>
      <c r="J504" s="14">
        <f t="shared" ref="J504:J505" si="121">(I503-I504)/(D504-D503)</f>
        <v>2.4999999999999978</v>
      </c>
      <c r="K504" s="13">
        <v>23.9</v>
      </c>
      <c r="L504" s="14"/>
      <c r="M504" s="14"/>
      <c r="N504" s="14"/>
      <c r="O504" s="14"/>
      <c r="P504" s="14"/>
      <c r="Q504" s="14"/>
      <c r="R504" s="14"/>
      <c r="S504" s="14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3.2">
      <c r="A505" s="14"/>
      <c r="B505" s="5">
        <v>4</v>
      </c>
      <c r="C505" s="5">
        <f t="shared" si="115"/>
        <v>34</v>
      </c>
      <c r="D505" s="20">
        <v>43033</v>
      </c>
      <c r="E505" s="11">
        <v>358.8</v>
      </c>
      <c r="F505" s="12">
        <f t="shared" si="120"/>
        <v>5.4000000000000057</v>
      </c>
      <c r="G505" s="14"/>
      <c r="H505" s="14"/>
      <c r="I505" s="13">
        <v>58.6</v>
      </c>
      <c r="J505" s="14">
        <f t="shared" si="121"/>
        <v>2</v>
      </c>
      <c r="K505" s="13">
        <v>23.1</v>
      </c>
      <c r="L505" s="14"/>
      <c r="M505" s="14"/>
      <c r="N505" s="14"/>
      <c r="O505" s="14"/>
      <c r="P505" s="14"/>
      <c r="Q505" s="14"/>
      <c r="R505" s="14"/>
      <c r="S505" s="14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3.2">
      <c r="A506" s="14"/>
      <c r="B506" s="5">
        <v>5</v>
      </c>
      <c r="C506" s="5">
        <f t="shared" si="115"/>
        <v>35</v>
      </c>
      <c r="D506" s="20">
        <v>43034</v>
      </c>
      <c r="E506" s="11">
        <v>381.6</v>
      </c>
      <c r="F506" s="12"/>
      <c r="G506" s="14"/>
      <c r="H506" s="14"/>
      <c r="I506" s="15"/>
      <c r="J506" s="14"/>
      <c r="K506" s="15"/>
      <c r="L506" s="14"/>
      <c r="M506" s="14"/>
      <c r="N506" s="14"/>
      <c r="O506" s="14"/>
      <c r="P506" s="14"/>
      <c r="Q506" s="14"/>
      <c r="R506" s="14"/>
      <c r="S506" s="14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3.2">
      <c r="A507" s="14"/>
      <c r="B507" s="5">
        <v>5</v>
      </c>
      <c r="C507" s="5">
        <f t="shared" si="115"/>
        <v>36</v>
      </c>
      <c r="D507" s="20">
        <v>43035</v>
      </c>
      <c r="E507" s="11">
        <v>377.4</v>
      </c>
      <c r="F507" s="12">
        <f t="shared" ref="F507:F509" si="122">(E506-E507)/(D507-D506)</f>
        <v>4.2000000000000455</v>
      </c>
      <c r="G507" s="14"/>
      <c r="H507" s="14"/>
      <c r="I507" s="13">
        <v>54.1</v>
      </c>
      <c r="J507" s="14">
        <f>(I505-I507)/(D507-D505)</f>
        <v>2.25</v>
      </c>
      <c r="K507" s="13">
        <v>23.2</v>
      </c>
      <c r="L507" s="14"/>
      <c r="M507" s="14"/>
      <c r="N507" s="14"/>
      <c r="O507" s="14"/>
      <c r="P507" s="14"/>
      <c r="Q507" s="14"/>
      <c r="R507" s="14"/>
      <c r="S507" s="14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3.2">
      <c r="A508" s="14"/>
      <c r="B508" s="5">
        <v>5</v>
      </c>
      <c r="C508" s="5">
        <f t="shared" si="115"/>
        <v>39</v>
      </c>
      <c r="D508" s="20">
        <v>43038</v>
      </c>
      <c r="E508" s="11">
        <v>360.1</v>
      </c>
      <c r="F508" s="12">
        <f t="shared" si="122"/>
        <v>5.7666666666666515</v>
      </c>
      <c r="G508" s="14"/>
      <c r="H508" s="14"/>
      <c r="I508" s="13">
        <v>45.9</v>
      </c>
      <c r="J508" s="21">
        <f>(I507-I508)/(D508-D507)</f>
        <v>2.7333333333333343</v>
      </c>
      <c r="K508" s="13">
        <v>23.2</v>
      </c>
      <c r="L508" s="14"/>
      <c r="M508" s="14"/>
      <c r="N508" s="14"/>
      <c r="O508" s="14"/>
      <c r="P508" s="14"/>
      <c r="Q508" s="14"/>
      <c r="R508" s="14"/>
      <c r="S508" s="14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3.2">
      <c r="A509" s="14"/>
      <c r="B509" s="5">
        <v>5</v>
      </c>
      <c r="C509" s="5">
        <f t="shared" si="115"/>
        <v>41</v>
      </c>
      <c r="D509" s="20">
        <v>43040</v>
      </c>
      <c r="E509" s="11">
        <v>349.6</v>
      </c>
      <c r="F509" s="12">
        <f t="shared" si="122"/>
        <v>5.25</v>
      </c>
      <c r="G509" s="14"/>
      <c r="H509" s="14"/>
      <c r="I509" s="13">
        <v>82.2</v>
      </c>
      <c r="J509" s="14">
        <f>(88.5-I509)/(D509-D508)</f>
        <v>3.1499999999999986</v>
      </c>
      <c r="K509" s="13">
        <v>24.3</v>
      </c>
      <c r="L509" s="14"/>
      <c r="M509" s="14"/>
      <c r="N509" s="14"/>
      <c r="O509" s="14"/>
      <c r="P509" s="14"/>
      <c r="Q509" s="14"/>
      <c r="R509" s="14"/>
      <c r="S509" s="14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3.2">
      <c r="A510" s="14"/>
      <c r="B510" s="5">
        <v>6</v>
      </c>
      <c r="C510" s="5">
        <f t="shared" si="115"/>
        <v>42</v>
      </c>
      <c r="D510" s="20">
        <v>43041</v>
      </c>
      <c r="E510" s="11">
        <v>381.8</v>
      </c>
      <c r="F510" s="12"/>
      <c r="G510" s="14"/>
      <c r="H510" s="14"/>
      <c r="I510" s="15"/>
      <c r="J510" s="14"/>
      <c r="K510" s="15"/>
      <c r="L510" s="14"/>
      <c r="M510" s="14"/>
      <c r="N510" s="14"/>
      <c r="O510" s="14"/>
      <c r="P510" s="14"/>
      <c r="Q510" s="14"/>
      <c r="R510" s="14"/>
      <c r="S510" s="14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3.2">
      <c r="A511" s="14"/>
      <c r="B511" s="5">
        <v>6</v>
      </c>
      <c r="C511" s="5">
        <f t="shared" si="115"/>
        <v>43</v>
      </c>
      <c r="D511" s="20">
        <v>43042</v>
      </c>
      <c r="E511" s="11">
        <v>376</v>
      </c>
      <c r="F511" s="12">
        <f t="shared" ref="F511:F512" si="123">(E510-E511)/(D511-D510)</f>
        <v>5.8000000000000114</v>
      </c>
      <c r="G511" s="14"/>
      <c r="H511" s="14"/>
      <c r="I511" s="13">
        <v>77.099999999999994</v>
      </c>
      <c r="J511" s="14">
        <f>(I509-I511)/(D511-D509)</f>
        <v>2.5500000000000043</v>
      </c>
      <c r="K511" s="13">
        <v>24.4</v>
      </c>
      <c r="L511" s="14"/>
      <c r="M511" s="14"/>
      <c r="N511" s="14"/>
      <c r="O511" s="14"/>
      <c r="P511" s="14"/>
      <c r="Q511" s="14"/>
      <c r="R511" s="14"/>
      <c r="S511" s="14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3.2">
      <c r="A512" s="14"/>
      <c r="B512" s="5">
        <v>6</v>
      </c>
      <c r="C512" s="5">
        <f t="shared" si="115"/>
        <v>46</v>
      </c>
      <c r="D512" s="20">
        <v>43045</v>
      </c>
      <c r="E512" s="11">
        <v>360</v>
      </c>
      <c r="F512" s="12">
        <f t="shared" si="123"/>
        <v>5.333333333333333</v>
      </c>
      <c r="G512" s="14"/>
      <c r="H512" s="14"/>
      <c r="I512" s="13">
        <v>68.599999999999994</v>
      </c>
      <c r="J512" s="16">
        <f t="shared" ref="J512:J513" si="124">(I511-I512)/(D512-D511)</f>
        <v>2.8333333333333335</v>
      </c>
      <c r="K512" s="13">
        <v>25.5</v>
      </c>
      <c r="L512" s="14"/>
      <c r="M512" s="14"/>
      <c r="N512" s="14"/>
      <c r="O512" s="14"/>
      <c r="P512" s="14"/>
      <c r="Q512" s="14"/>
      <c r="R512" s="14"/>
      <c r="S512" s="14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3.2">
      <c r="A513" s="14"/>
      <c r="B513" s="5">
        <v>6</v>
      </c>
      <c r="C513" s="5">
        <f t="shared" si="115"/>
        <v>48</v>
      </c>
      <c r="D513" s="20">
        <v>43047</v>
      </c>
      <c r="E513" s="11">
        <v>350</v>
      </c>
      <c r="F513" s="11">
        <v>5.5</v>
      </c>
      <c r="G513" s="14"/>
      <c r="H513" s="14"/>
      <c r="I513" s="13">
        <v>62.2</v>
      </c>
      <c r="J513" s="16">
        <f t="shared" si="124"/>
        <v>3.1999999999999957</v>
      </c>
      <c r="K513" s="13">
        <v>26.5</v>
      </c>
      <c r="L513" s="14"/>
      <c r="M513" s="14"/>
      <c r="N513" s="14"/>
      <c r="O513" s="14"/>
      <c r="P513" s="14"/>
      <c r="Q513" s="14"/>
      <c r="R513" s="14"/>
      <c r="S513" s="14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3.2">
      <c r="A514" s="14"/>
      <c r="B514" s="5">
        <v>7</v>
      </c>
      <c r="C514" s="5">
        <f t="shared" si="115"/>
        <v>49</v>
      </c>
      <c r="D514" s="20">
        <v>43048</v>
      </c>
      <c r="E514" s="11">
        <v>384.9</v>
      </c>
      <c r="F514" s="12"/>
      <c r="G514" s="14"/>
      <c r="H514" s="14"/>
      <c r="I514" s="15"/>
      <c r="J514" s="16"/>
      <c r="K514" s="15"/>
      <c r="L514" s="14"/>
      <c r="M514" s="14"/>
      <c r="N514" s="14"/>
      <c r="O514" s="14"/>
      <c r="P514" s="14"/>
      <c r="Q514" s="14"/>
      <c r="R514" s="14"/>
      <c r="S514" s="14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3.2">
      <c r="A515" s="14"/>
      <c r="B515" s="5">
        <v>7</v>
      </c>
      <c r="C515" s="5">
        <f t="shared" si="115"/>
        <v>50</v>
      </c>
      <c r="D515" s="20">
        <v>43049</v>
      </c>
      <c r="E515" s="11">
        <v>377</v>
      </c>
      <c r="F515" s="12">
        <f t="shared" ref="F515:F517" si="125">(E514-E515)/(D515-D514)</f>
        <v>7.8999999999999773</v>
      </c>
      <c r="G515" s="14"/>
      <c r="H515" s="14"/>
      <c r="I515" s="13">
        <v>54.7</v>
      </c>
      <c r="J515" s="16">
        <f>(I513-I515)/(D515-D513)</f>
        <v>3.75</v>
      </c>
      <c r="K515" s="13">
        <v>27</v>
      </c>
      <c r="L515" s="14"/>
      <c r="M515" s="14"/>
      <c r="N515" s="14"/>
      <c r="O515" s="14"/>
      <c r="P515" s="14"/>
      <c r="Q515" s="14"/>
      <c r="R515" s="14"/>
      <c r="S515" s="14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3.2">
      <c r="A516" s="14"/>
      <c r="B516" s="5">
        <v>7</v>
      </c>
      <c r="C516" s="5">
        <f t="shared" si="115"/>
        <v>53</v>
      </c>
      <c r="D516" s="20">
        <v>43052</v>
      </c>
      <c r="E516" s="11">
        <v>363.4</v>
      </c>
      <c r="F516" s="12">
        <f t="shared" si="125"/>
        <v>4.5333333333333412</v>
      </c>
      <c r="G516" s="14"/>
      <c r="H516" s="14"/>
      <c r="I516" s="13">
        <v>47.2</v>
      </c>
      <c r="J516" s="16">
        <f t="shared" ref="J516:J517" si="126">(I515-I516)/(D516-D515)</f>
        <v>2.5</v>
      </c>
      <c r="K516" s="13">
        <v>27.2</v>
      </c>
      <c r="L516" s="14"/>
      <c r="M516" s="14"/>
      <c r="N516" s="14"/>
      <c r="O516" s="14"/>
      <c r="P516" s="14"/>
      <c r="Q516" s="14"/>
      <c r="R516" s="14"/>
      <c r="S516" s="14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3.2">
      <c r="A517" s="14"/>
      <c r="B517" s="5">
        <v>7</v>
      </c>
      <c r="C517" s="5">
        <f t="shared" si="115"/>
        <v>55</v>
      </c>
      <c r="D517" s="20">
        <v>43054</v>
      </c>
      <c r="E517" s="11">
        <v>344.8</v>
      </c>
      <c r="F517" s="12">
        <f t="shared" si="125"/>
        <v>9.2999999999999829</v>
      </c>
      <c r="G517" s="14"/>
      <c r="H517" s="14"/>
      <c r="I517" s="13">
        <v>45.9</v>
      </c>
      <c r="J517" s="16">
        <f t="shared" si="126"/>
        <v>0.65000000000000213</v>
      </c>
      <c r="K517" s="13">
        <v>26.5</v>
      </c>
      <c r="L517" s="14"/>
      <c r="M517" s="14"/>
      <c r="N517" s="14"/>
      <c r="O517" s="14"/>
      <c r="P517" s="14"/>
      <c r="Q517" s="14"/>
      <c r="R517" s="14"/>
      <c r="S517" s="14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3.2">
      <c r="A518" s="14"/>
      <c r="B518" s="5">
        <v>8</v>
      </c>
      <c r="C518" s="5">
        <f t="shared" si="115"/>
        <v>56</v>
      </c>
      <c r="D518" s="20">
        <v>43055</v>
      </c>
      <c r="E518" s="11">
        <v>397.6</v>
      </c>
      <c r="F518" s="12"/>
      <c r="G518" s="14"/>
      <c r="H518" s="14"/>
      <c r="I518" s="15"/>
      <c r="J518" s="14"/>
      <c r="K518" s="15"/>
      <c r="L518" s="14"/>
      <c r="M518" s="14"/>
      <c r="N518" s="14"/>
      <c r="O518" s="14"/>
      <c r="P518" s="14"/>
      <c r="Q518" s="14"/>
      <c r="R518" s="14"/>
      <c r="S518" s="14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3.2">
      <c r="A519" s="14"/>
      <c r="B519" s="5">
        <v>8</v>
      </c>
      <c r="C519" s="5">
        <f t="shared" si="115"/>
        <v>57</v>
      </c>
      <c r="D519" s="20">
        <v>43056</v>
      </c>
      <c r="E519" s="11">
        <v>388.6</v>
      </c>
      <c r="F519" s="12">
        <f t="shared" ref="F519:F520" si="127">(E518-E519)/(D519-D518)</f>
        <v>9</v>
      </c>
      <c r="G519" s="14"/>
      <c r="H519" s="14"/>
      <c r="I519" s="13">
        <v>40.799999999999997</v>
      </c>
      <c r="J519" s="16">
        <f>(I517-I519)/(D519-D517)</f>
        <v>2.5500000000000007</v>
      </c>
      <c r="K519" s="13">
        <v>27.1</v>
      </c>
      <c r="L519" s="14"/>
      <c r="M519" s="14"/>
      <c r="N519" s="14"/>
      <c r="O519" s="14"/>
      <c r="P519" s="14"/>
      <c r="Q519" s="14"/>
      <c r="R519" s="14"/>
      <c r="S519" s="14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3.2">
      <c r="A520" s="14"/>
      <c r="B520" s="5">
        <v>8</v>
      </c>
      <c r="C520" s="5">
        <f t="shared" si="115"/>
        <v>60</v>
      </c>
      <c r="D520" s="20">
        <v>43059</v>
      </c>
      <c r="E520" s="11">
        <v>377.3</v>
      </c>
      <c r="F520" s="12">
        <f t="shared" si="127"/>
        <v>3.7666666666666706</v>
      </c>
      <c r="G520" s="14"/>
      <c r="H520" s="14"/>
      <c r="I520" s="13">
        <v>33.5</v>
      </c>
      <c r="J520" s="16">
        <f>(I519-I520)/(D520-D519)</f>
        <v>2.4333333333333322</v>
      </c>
      <c r="K520" s="13">
        <v>27.5</v>
      </c>
      <c r="L520" s="14"/>
      <c r="M520" s="14"/>
      <c r="N520" s="14"/>
      <c r="O520" s="14"/>
      <c r="P520" s="14"/>
      <c r="Q520" s="14"/>
      <c r="R520" s="14"/>
      <c r="S520" s="14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3.2">
      <c r="A521" s="14"/>
      <c r="B521" s="5">
        <v>8</v>
      </c>
      <c r="C521" s="5">
        <f t="shared" si="115"/>
        <v>61</v>
      </c>
      <c r="D521" s="20">
        <v>43060</v>
      </c>
      <c r="E521" s="11">
        <v>367.2</v>
      </c>
      <c r="F521" s="12"/>
      <c r="G521" s="14"/>
      <c r="H521" s="14"/>
      <c r="I521" s="15"/>
      <c r="J521" s="14"/>
      <c r="K521" s="15"/>
      <c r="L521" s="14"/>
      <c r="M521" s="14"/>
      <c r="N521" s="14"/>
      <c r="O521" s="14"/>
      <c r="P521" s="14"/>
      <c r="Q521" s="14"/>
      <c r="R521" s="14"/>
      <c r="S521" s="14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3.2">
      <c r="A522" s="14"/>
      <c r="B522" s="5">
        <v>8</v>
      </c>
      <c r="C522" s="5">
        <f t="shared" si="115"/>
        <v>62</v>
      </c>
      <c r="D522" s="20">
        <v>43061</v>
      </c>
      <c r="E522" s="11">
        <v>361.9</v>
      </c>
      <c r="F522" s="12">
        <f>(E521-E522)/(D522-D521)</f>
        <v>5.3000000000000114</v>
      </c>
      <c r="G522" s="14"/>
      <c r="H522" s="14"/>
      <c r="I522" s="13">
        <v>118.8</v>
      </c>
      <c r="J522" s="14">
        <f>(126.9-I522)/(D522-D521)</f>
        <v>8.1000000000000085</v>
      </c>
      <c r="K522" s="13">
        <v>29</v>
      </c>
      <c r="L522" s="14"/>
      <c r="M522" s="14"/>
      <c r="N522" s="14"/>
      <c r="O522" s="14"/>
      <c r="P522" s="14"/>
      <c r="Q522" s="14"/>
      <c r="R522" s="14"/>
      <c r="S522" s="14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3.2">
      <c r="A523" s="14"/>
      <c r="B523" s="5">
        <v>9</v>
      </c>
      <c r="C523" s="5">
        <f t="shared" si="115"/>
        <v>63</v>
      </c>
      <c r="D523" s="20">
        <v>43062</v>
      </c>
      <c r="E523" s="11"/>
      <c r="F523" s="12"/>
      <c r="G523" s="14"/>
      <c r="H523" s="14"/>
      <c r="I523" s="13"/>
      <c r="J523" s="16"/>
      <c r="K523" s="13"/>
      <c r="L523" s="14"/>
      <c r="M523" s="14"/>
      <c r="N523" s="14"/>
      <c r="O523" s="14"/>
      <c r="P523" s="14"/>
      <c r="Q523" s="14"/>
      <c r="R523" s="14"/>
      <c r="S523" s="14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3.2">
      <c r="A524" s="14"/>
      <c r="B524" s="5">
        <v>9</v>
      </c>
      <c r="C524" s="5">
        <f t="shared" si="115"/>
        <v>64</v>
      </c>
      <c r="D524" s="20">
        <v>43063</v>
      </c>
      <c r="E524" s="11">
        <v>352.4</v>
      </c>
      <c r="F524" s="12">
        <f>(E522-E524)/(D524-D522)</f>
        <v>4.75</v>
      </c>
      <c r="G524" s="14"/>
      <c r="H524" s="14"/>
      <c r="I524" s="13">
        <v>114.1</v>
      </c>
      <c r="J524" s="16">
        <f>(I522-I524)/(D524-D522)</f>
        <v>2.3500000000000014</v>
      </c>
      <c r="K524" s="13">
        <v>28.7</v>
      </c>
      <c r="L524" s="14"/>
      <c r="M524" s="14"/>
      <c r="N524" s="14"/>
      <c r="O524" s="14"/>
      <c r="P524" s="14"/>
      <c r="Q524" s="14"/>
      <c r="R524" s="14"/>
      <c r="S524" s="14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3.2">
      <c r="A525" s="14"/>
      <c r="B525" s="5">
        <v>9</v>
      </c>
      <c r="C525" s="5">
        <f t="shared" si="115"/>
        <v>67</v>
      </c>
      <c r="D525" s="23">
        <v>43066</v>
      </c>
      <c r="E525" s="11">
        <v>339.3</v>
      </c>
      <c r="F525" s="12">
        <f t="shared" ref="F525:F526" si="128">(E524-E525)/(D525-D524)</f>
        <v>4.3666666666666556</v>
      </c>
      <c r="G525" s="14"/>
      <c r="H525" s="14"/>
      <c r="I525" s="13">
        <v>104.4</v>
      </c>
      <c r="J525" s="16">
        <f t="shared" ref="J525:J526" si="129">(I524-I525)/(D525-D524)</f>
        <v>3.2333333333333294</v>
      </c>
      <c r="K525" s="13">
        <v>29.4</v>
      </c>
      <c r="L525" s="14"/>
      <c r="M525" s="14"/>
      <c r="N525" s="14"/>
      <c r="O525" s="14"/>
      <c r="P525" s="14"/>
      <c r="Q525" s="14"/>
      <c r="R525" s="14"/>
      <c r="S525" s="14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3.2">
      <c r="A526" s="14"/>
      <c r="B526" s="5">
        <v>9</v>
      </c>
      <c r="C526" s="5">
        <f t="shared" si="115"/>
        <v>69</v>
      </c>
      <c r="D526" s="23">
        <v>43068</v>
      </c>
      <c r="E526" s="11">
        <v>329.7</v>
      </c>
      <c r="F526" s="12">
        <f t="shared" si="128"/>
        <v>4.8000000000000114</v>
      </c>
      <c r="G526" s="14"/>
      <c r="H526" s="14"/>
      <c r="I526" s="13">
        <v>100.8</v>
      </c>
      <c r="J526" s="16">
        <f t="shared" si="129"/>
        <v>1.8000000000000043</v>
      </c>
      <c r="K526" s="13">
        <v>29.2</v>
      </c>
      <c r="L526" s="14"/>
      <c r="M526" s="14"/>
      <c r="N526" s="14"/>
      <c r="O526" s="14"/>
      <c r="P526" s="14"/>
      <c r="Q526" s="14"/>
      <c r="R526" s="14"/>
      <c r="S526" s="14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3.2">
      <c r="A527" s="14"/>
      <c r="B527" s="5">
        <v>10</v>
      </c>
      <c r="C527" s="5">
        <f t="shared" si="115"/>
        <v>70</v>
      </c>
      <c r="D527" s="23">
        <v>43069</v>
      </c>
      <c r="E527" s="11">
        <v>386.6</v>
      </c>
      <c r="F527" s="12"/>
      <c r="G527" s="14"/>
      <c r="H527" s="14"/>
      <c r="I527" s="15"/>
      <c r="J527" s="14"/>
      <c r="K527" s="15"/>
      <c r="L527" s="14"/>
      <c r="M527" s="14"/>
      <c r="N527" s="14"/>
      <c r="O527" s="14"/>
      <c r="P527" s="14"/>
      <c r="Q527" s="14"/>
      <c r="R527" s="14"/>
      <c r="S527" s="14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3.2">
      <c r="A528" s="14"/>
      <c r="B528" s="5">
        <v>10</v>
      </c>
      <c r="C528" s="5">
        <f t="shared" si="115"/>
        <v>71</v>
      </c>
      <c r="D528" s="23">
        <v>43070</v>
      </c>
      <c r="E528" s="11">
        <v>375.1</v>
      </c>
      <c r="F528" s="12">
        <f t="shared" ref="F528:F530" si="130">(E527-E528)/(D528-D527)</f>
        <v>11.5</v>
      </c>
      <c r="G528" s="14"/>
      <c r="H528" s="14"/>
      <c r="I528" s="13">
        <v>92.5</v>
      </c>
      <c r="J528" s="16">
        <f>(I526-I528)/(D528-D526)</f>
        <v>4.1499999999999986</v>
      </c>
      <c r="K528" s="13">
        <v>30.4</v>
      </c>
      <c r="L528" s="14"/>
      <c r="M528" s="14"/>
      <c r="N528" s="14"/>
      <c r="O528" s="14"/>
      <c r="P528" s="14"/>
      <c r="Q528" s="14"/>
      <c r="R528" s="14"/>
      <c r="S528" s="14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3.2">
      <c r="A529" s="14"/>
      <c r="B529" s="5">
        <v>10</v>
      </c>
      <c r="C529" s="5">
        <f t="shared" si="115"/>
        <v>74</v>
      </c>
      <c r="D529" s="23">
        <v>43073</v>
      </c>
      <c r="E529" s="11">
        <v>365.1</v>
      </c>
      <c r="F529" s="12">
        <f t="shared" si="130"/>
        <v>3.3333333333333335</v>
      </c>
      <c r="G529" s="14"/>
      <c r="H529" s="14"/>
      <c r="I529" s="13">
        <v>84.8</v>
      </c>
      <c r="J529" s="16">
        <f t="shared" ref="J529:J530" si="131">(I528-I529)/(D529-D528)</f>
        <v>2.5666666666666678</v>
      </c>
      <c r="K529" s="13">
        <v>30.9</v>
      </c>
      <c r="L529" s="14"/>
      <c r="M529" s="14"/>
      <c r="N529" s="14"/>
      <c r="O529" s="14"/>
      <c r="P529" s="14"/>
      <c r="Q529" s="14"/>
      <c r="R529" s="14"/>
      <c r="S529" s="14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3.2">
      <c r="A530" s="14"/>
      <c r="B530" s="5">
        <v>10</v>
      </c>
      <c r="C530" s="5">
        <f t="shared" si="115"/>
        <v>76</v>
      </c>
      <c r="D530" s="23">
        <v>43075</v>
      </c>
      <c r="E530" s="11">
        <v>354.1</v>
      </c>
      <c r="F530" s="12">
        <f t="shared" si="130"/>
        <v>5.5</v>
      </c>
      <c r="G530" s="14"/>
      <c r="H530" s="14"/>
      <c r="I530" s="13">
        <v>79</v>
      </c>
      <c r="J530" s="16">
        <f t="shared" si="131"/>
        <v>2.8999999999999986</v>
      </c>
      <c r="K530" s="13">
        <v>31.7</v>
      </c>
      <c r="L530" s="14"/>
      <c r="M530" s="14"/>
      <c r="N530" s="14"/>
      <c r="O530" s="14"/>
      <c r="P530" s="14"/>
      <c r="Q530" s="14"/>
      <c r="R530" s="14"/>
      <c r="S530" s="14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3.2">
      <c r="A531" s="14"/>
      <c r="B531" s="5">
        <v>11</v>
      </c>
      <c r="C531" s="5">
        <f t="shared" si="115"/>
        <v>77</v>
      </c>
      <c r="D531" s="24">
        <v>43076</v>
      </c>
      <c r="E531" s="11">
        <v>363.5</v>
      </c>
      <c r="F531" s="12"/>
      <c r="G531" s="14"/>
      <c r="H531" s="14"/>
      <c r="I531" s="15"/>
      <c r="J531" s="14"/>
      <c r="K531" s="15"/>
      <c r="L531" s="14"/>
      <c r="M531" s="14"/>
      <c r="N531" s="14"/>
      <c r="O531" s="14"/>
      <c r="P531" s="14"/>
      <c r="Q531" s="14"/>
      <c r="R531" s="14"/>
      <c r="S531" s="14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3.2">
      <c r="A532" s="14"/>
      <c r="B532" s="5">
        <v>11</v>
      </c>
      <c r="C532" s="5">
        <f t="shared" si="115"/>
        <v>78</v>
      </c>
      <c r="D532" s="24">
        <v>43077</v>
      </c>
      <c r="E532" s="11">
        <v>357.3</v>
      </c>
      <c r="F532" s="12">
        <f t="shared" ref="F532:F534" si="132">(E531-E532)/(D532-D531)</f>
        <v>6.1999999999999886</v>
      </c>
      <c r="G532" s="14"/>
      <c r="H532" s="14"/>
      <c r="I532" s="13">
        <v>73.900000000000006</v>
      </c>
      <c r="J532" s="16">
        <f>(I530-I532)/(D532-D530)</f>
        <v>2.5499999999999972</v>
      </c>
      <c r="K532" s="13">
        <v>31.4</v>
      </c>
      <c r="L532" s="14"/>
      <c r="M532" s="14"/>
      <c r="N532" s="14"/>
      <c r="O532" s="14"/>
      <c r="P532" s="14"/>
      <c r="Q532" s="14"/>
      <c r="R532" s="14"/>
      <c r="S532" s="14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3.2">
      <c r="A533" s="14"/>
      <c r="B533" s="5">
        <v>11</v>
      </c>
      <c r="C533" s="5">
        <f t="shared" si="115"/>
        <v>81</v>
      </c>
      <c r="D533" s="24">
        <v>43080</v>
      </c>
      <c r="E533" s="11">
        <v>345.8</v>
      </c>
      <c r="F533" s="12">
        <f t="shared" si="132"/>
        <v>3.8333333333333335</v>
      </c>
      <c r="G533" s="14"/>
      <c r="H533" s="14"/>
      <c r="I533" s="13">
        <v>65</v>
      </c>
      <c r="J533" s="16">
        <f t="shared" ref="J533:J534" si="133">(I532-I533)/(D533-D532)</f>
        <v>2.9666666666666686</v>
      </c>
      <c r="K533" s="13">
        <v>32.799999999999997</v>
      </c>
      <c r="L533" s="14"/>
      <c r="M533" s="14"/>
      <c r="N533" s="14"/>
      <c r="O533" s="14"/>
      <c r="P533" s="14"/>
      <c r="Q533" s="14"/>
      <c r="R533" s="14"/>
      <c r="S533" s="14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26.4">
      <c r="A534" s="5" t="s">
        <v>45</v>
      </c>
      <c r="B534" s="5">
        <v>11</v>
      </c>
      <c r="C534" s="5">
        <f t="shared" si="115"/>
        <v>83</v>
      </c>
      <c r="D534" s="25">
        <v>43082</v>
      </c>
      <c r="E534" s="11">
        <v>333.6</v>
      </c>
      <c r="F534" s="12">
        <f t="shared" si="132"/>
        <v>6.0999999999999943</v>
      </c>
      <c r="G534" s="14"/>
      <c r="H534" s="14"/>
      <c r="I534" s="13">
        <v>59.8</v>
      </c>
      <c r="J534" s="16">
        <f t="shared" si="133"/>
        <v>2.6000000000000014</v>
      </c>
      <c r="K534" s="13">
        <v>33.200000000000003</v>
      </c>
      <c r="L534" s="14"/>
      <c r="M534" s="14"/>
      <c r="N534" s="14"/>
      <c r="O534" s="14"/>
      <c r="P534" s="14"/>
      <c r="Q534" s="14"/>
      <c r="R534" s="14"/>
      <c r="S534" s="14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3.2">
      <c r="A535" s="14"/>
      <c r="B535" s="5">
        <v>12</v>
      </c>
      <c r="C535" s="5">
        <f t="shared" si="115"/>
        <v>84</v>
      </c>
      <c r="D535" s="24">
        <v>43083</v>
      </c>
      <c r="E535" s="12"/>
      <c r="F535" s="12"/>
      <c r="G535" s="14"/>
      <c r="H535" s="14"/>
      <c r="I535" s="15"/>
      <c r="J535" s="14"/>
      <c r="K535" s="13"/>
      <c r="L535" s="14"/>
      <c r="M535" s="14"/>
      <c r="N535" s="14"/>
      <c r="O535" s="14"/>
      <c r="P535" s="14"/>
      <c r="Q535" s="14"/>
      <c r="R535" s="14"/>
      <c r="S535" s="14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3.2">
      <c r="A536" s="26" t="s">
        <v>28</v>
      </c>
      <c r="B536" s="26">
        <v>12</v>
      </c>
      <c r="C536" s="26">
        <f t="shared" si="115"/>
        <v>85</v>
      </c>
      <c r="D536" s="27">
        <v>43084</v>
      </c>
      <c r="E536" s="28"/>
      <c r="F536" s="28"/>
      <c r="G536" s="29"/>
      <c r="H536" s="29"/>
      <c r="I536" s="30"/>
      <c r="J536" s="29"/>
      <c r="K536" s="31">
        <v>33.299999999999997</v>
      </c>
      <c r="L536" s="29"/>
      <c r="M536" s="29"/>
      <c r="N536" s="29"/>
      <c r="O536" s="29"/>
      <c r="P536" s="29"/>
      <c r="Q536" s="29"/>
      <c r="R536" s="29"/>
      <c r="S536" s="14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3.2">
      <c r="A537" s="14"/>
      <c r="B537" s="5">
        <v>12</v>
      </c>
      <c r="C537" s="5">
        <f t="shared" si="115"/>
        <v>98</v>
      </c>
      <c r="D537" s="32">
        <v>43097</v>
      </c>
      <c r="E537" s="12"/>
      <c r="F537" s="12"/>
      <c r="G537" s="14"/>
      <c r="H537" s="14"/>
      <c r="I537" s="33">
        <v>62.1</v>
      </c>
      <c r="J537" s="14"/>
      <c r="K537" s="33">
        <v>35.200000000000003</v>
      </c>
      <c r="L537" s="14"/>
      <c r="M537" s="14"/>
      <c r="N537" s="14"/>
      <c r="O537" s="14"/>
      <c r="P537" s="14"/>
      <c r="Q537" s="14"/>
      <c r="R537" s="14"/>
      <c r="S537" s="14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3.2">
      <c r="A538" s="14"/>
      <c r="B538" s="5">
        <v>12</v>
      </c>
      <c r="C538" s="5">
        <f t="shared" si="115"/>
        <v>105</v>
      </c>
      <c r="D538" s="32">
        <v>43104</v>
      </c>
      <c r="E538" s="12"/>
      <c r="F538" s="12"/>
      <c r="G538" s="14"/>
      <c r="H538" s="14"/>
      <c r="I538" s="33">
        <v>41.6</v>
      </c>
      <c r="J538" s="14"/>
      <c r="K538" s="33">
        <v>35.299999999999997</v>
      </c>
      <c r="L538" s="14"/>
      <c r="M538" s="14"/>
      <c r="N538" s="14"/>
      <c r="O538" s="14"/>
      <c r="P538" s="14"/>
      <c r="Q538" s="14"/>
      <c r="R538" s="14"/>
      <c r="S538" s="14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3.2">
      <c r="A539" s="14"/>
      <c r="B539" s="14"/>
      <c r="C539" s="5">
        <f t="shared" si="115"/>
        <v>112</v>
      </c>
      <c r="D539" s="32">
        <v>43111</v>
      </c>
      <c r="E539" s="12"/>
      <c r="F539" s="12"/>
      <c r="G539" s="14"/>
      <c r="H539" s="14"/>
      <c r="I539" s="33">
        <v>35.6</v>
      </c>
      <c r="J539" s="14"/>
      <c r="K539" s="33">
        <v>29.1</v>
      </c>
      <c r="L539" s="14"/>
      <c r="M539" s="14"/>
      <c r="N539" s="14"/>
      <c r="O539" s="14"/>
      <c r="P539" s="14"/>
      <c r="Q539" s="14"/>
      <c r="R539" s="14"/>
      <c r="S539" s="14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3.2">
      <c r="A540" s="14"/>
      <c r="B540" s="14"/>
      <c r="C540" s="5">
        <f t="shared" si="115"/>
        <v>116</v>
      </c>
      <c r="D540" s="34">
        <v>43115</v>
      </c>
      <c r="E540" s="12"/>
      <c r="F540" s="12"/>
      <c r="G540" s="14"/>
      <c r="H540" s="14"/>
      <c r="I540" s="33">
        <v>42</v>
      </c>
      <c r="J540" s="14"/>
      <c r="K540" s="33">
        <v>42.8</v>
      </c>
      <c r="L540" s="14"/>
      <c r="M540" s="14"/>
      <c r="N540" s="14"/>
      <c r="O540" s="14"/>
      <c r="P540" s="14"/>
      <c r="Q540" s="14"/>
      <c r="R540" s="14"/>
      <c r="S540" s="14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3.2">
      <c r="A541" s="14"/>
      <c r="B541" s="14"/>
      <c r="C541" s="5">
        <f t="shared" si="115"/>
        <v>117</v>
      </c>
      <c r="D541" s="20">
        <v>43116</v>
      </c>
      <c r="E541" s="12"/>
      <c r="F541" s="12"/>
      <c r="G541" s="14"/>
      <c r="H541" s="14"/>
      <c r="I541" s="33">
        <v>25.7</v>
      </c>
      <c r="J541" s="14"/>
      <c r="K541" s="33">
        <v>29.5</v>
      </c>
      <c r="L541" s="14"/>
      <c r="M541" s="14"/>
      <c r="N541" s="14"/>
      <c r="O541" s="14"/>
      <c r="P541" s="14"/>
      <c r="Q541" s="14"/>
      <c r="R541" s="14"/>
      <c r="S541" s="14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3.2">
      <c r="A542" s="14"/>
      <c r="B542" s="5"/>
      <c r="C542" s="5">
        <v>118</v>
      </c>
      <c r="D542" s="32">
        <v>43117</v>
      </c>
      <c r="E542" s="12"/>
      <c r="F542" s="12"/>
      <c r="G542" s="14"/>
      <c r="H542" s="14"/>
      <c r="I542" s="33">
        <v>60.9</v>
      </c>
      <c r="J542" s="14"/>
      <c r="K542" s="33">
        <v>30.7</v>
      </c>
      <c r="L542" s="14"/>
      <c r="M542" s="14"/>
      <c r="N542" s="14"/>
      <c r="O542" s="14"/>
      <c r="P542" s="14"/>
      <c r="Q542" s="14"/>
      <c r="R542" s="14"/>
      <c r="S542" s="14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3.2">
      <c r="A543" s="14"/>
      <c r="B543" s="5"/>
      <c r="C543" s="5">
        <v>119</v>
      </c>
      <c r="D543" s="32">
        <v>43118</v>
      </c>
      <c r="E543" s="12"/>
      <c r="F543" s="12"/>
      <c r="G543" s="14"/>
      <c r="H543" s="14"/>
      <c r="I543" s="33">
        <v>57.9</v>
      </c>
      <c r="J543" s="14"/>
      <c r="K543" s="33">
        <v>30.8</v>
      </c>
      <c r="L543" s="14"/>
      <c r="M543" s="14"/>
      <c r="N543" s="14"/>
      <c r="O543" s="14"/>
      <c r="P543" s="14"/>
      <c r="Q543" s="14"/>
      <c r="R543" s="14"/>
      <c r="S543" s="14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3.2">
      <c r="A544" s="14"/>
      <c r="B544" s="5"/>
      <c r="C544" s="5">
        <v>120</v>
      </c>
      <c r="D544" s="32">
        <v>43119</v>
      </c>
      <c r="E544" s="12"/>
      <c r="F544" s="12"/>
      <c r="G544" s="14"/>
      <c r="H544" s="14"/>
      <c r="I544" s="33">
        <v>55.6</v>
      </c>
      <c r="J544" s="14"/>
      <c r="K544" s="33">
        <v>31.5</v>
      </c>
      <c r="L544" s="14"/>
      <c r="M544" s="14"/>
      <c r="N544" s="14"/>
      <c r="O544" s="14"/>
      <c r="P544" s="14"/>
      <c r="Q544" s="14"/>
      <c r="R544" s="14"/>
      <c r="S544" s="14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3.2">
      <c r="A545" s="14"/>
      <c r="B545" s="5"/>
      <c r="C545" s="5">
        <v>121</v>
      </c>
      <c r="D545" s="32">
        <v>43120</v>
      </c>
      <c r="E545" s="12"/>
      <c r="F545" s="12"/>
      <c r="G545" s="14"/>
      <c r="H545" s="14"/>
      <c r="I545" s="33">
        <v>53.1</v>
      </c>
      <c r="J545" s="14"/>
      <c r="K545" s="33">
        <v>31.2</v>
      </c>
      <c r="L545" s="14"/>
      <c r="M545" s="14"/>
      <c r="N545" s="14"/>
      <c r="O545" s="14"/>
      <c r="P545" s="14"/>
      <c r="Q545" s="14"/>
      <c r="R545" s="14"/>
      <c r="S545" s="14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3.2">
      <c r="A546" s="14"/>
      <c r="B546" s="5"/>
      <c r="C546" s="5">
        <v>122</v>
      </c>
      <c r="D546" s="32">
        <v>43121</v>
      </c>
      <c r="E546" s="12"/>
      <c r="F546" s="12"/>
      <c r="G546" s="14"/>
      <c r="H546" s="14"/>
      <c r="I546" s="33">
        <v>50.1</v>
      </c>
      <c r="J546" s="14"/>
      <c r="K546" s="33">
        <v>31.2</v>
      </c>
      <c r="L546" s="14"/>
      <c r="M546" s="14"/>
      <c r="N546" s="14"/>
      <c r="O546" s="14"/>
      <c r="P546" s="14"/>
      <c r="Q546" s="14"/>
      <c r="R546" s="14"/>
      <c r="S546" s="14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3.2">
      <c r="A547" s="14"/>
      <c r="B547" s="5"/>
      <c r="C547" s="5">
        <v>123</v>
      </c>
      <c r="D547" s="32">
        <v>43122</v>
      </c>
      <c r="E547" s="12"/>
      <c r="F547" s="12"/>
      <c r="G547" s="14"/>
      <c r="H547" s="14"/>
      <c r="I547" s="33">
        <v>47.3</v>
      </c>
      <c r="J547" s="14"/>
      <c r="K547" s="33">
        <v>31.6</v>
      </c>
      <c r="L547" s="14"/>
      <c r="M547" s="14"/>
      <c r="N547" s="14"/>
      <c r="O547" s="14"/>
      <c r="P547" s="14"/>
      <c r="Q547" s="14"/>
      <c r="R547" s="14"/>
      <c r="S547" s="14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3.2">
      <c r="A548" s="14"/>
      <c r="B548" s="5"/>
      <c r="C548" s="5">
        <v>124</v>
      </c>
      <c r="D548" s="32">
        <v>43123</v>
      </c>
      <c r="E548" s="12"/>
      <c r="F548" s="12"/>
      <c r="G548" s="14"/>
      <c r="H548" s="14"/>
      <c r="I548" s="33">
        <v>44.9</v>
      </c>
      <c r="J548" s="14"/>
      <c r="K548" s="33">
        <v>31.3</v>
      </c>
      <c r="L548" s="14"/>
      <c r="M548" s="14"/>
      <c r="N548" s="14"/>
      <c r="O548" s="14"/>
      <c r="P548" s="14"/>
      <c r="Q548" s="14"/>
      <c r="R548" s="14"/>
      <c r="S548" s="14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3.2">
      <c r="A549" s="14"/>
      <c r="B549" s="5"/>
      <c r="C549" s="5">
        <v>125</v>
      </c>
      <c r="D549" s="52">
        <v>43124</v>
      </c>
      <c r="E549" s="12"/>
      <c r="F549" s="12"/>
      <c r="G549" s="14"/>
      <c r="H549" s="14"/>
      <c r="I549" s="33">
        <v>42.8</v>
      </c>
      <c r="J549" s="14"/>
      <c r="K549" s="33">
        <v>30.9</v>
      </c>
      <c r="L549" s="14"/>
      <c r="M549" s="14"/>
      <c r="N549" s="14"/>
      <c r="O549" s="14"/>
      <c r="P549" s="14"/>
      <c r="Q549" s="14"/>
      <c r="R549" s="14"/>
      <c r="S549" s="14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3.2">
      <c r="A550" s="5" t="s">
        <v>77</v>
      </c>
      <c r="B550" s="5"/>
      <c r="C550" s="5">
        <v>126</v>
      </c>
      <c r="D550" s="106">
        <v>43125</v>
      </c>
      <c r="E550" s="12"/>
      <c r="F550" s="12"/>
      <c r="G550" s="14"/>
      <c r="H550" s="14"/>
      <c r="I550" s="107">
        <v>40.799999999999997</v>
      </c>
      <c r="J550" s="14"/>
      <c r="K550" s="107">
        <v>30.2</v>
      </c>
      <c r="L550" s="14"/>
      <c r="M550" s="14"/>
      <c r="N550" s="14"/>
      <c r="O550" s="14"/>
      <c r="P550" s="14"/>
      <c r="Q550" s="14"/>
      <c r="R550" s="14"/>
      <c r="S550" s="14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3.2">
      <c r="A551" s="14"/>
      <c r="B551" s="5"/>
      <c r="C551" s="5">
        <v>127</v>
      </c>
      <c r="D551" s="52">
        <v>43126</v>
      </c>
      <c r="E551" s="12"/>
      <c r="F551" s="12"/>
      <c r="G551" s="14"/>
      <c r="H551" s="14"/>
      <c r="I551" s="33" t="s">
        <v>71</v>
      </c>
      <c r="J551" s="14"/>
      <c r="K551" s="33">
        <v>28.7</v>
      </c>
      <c r="L551" s="14"/>
      <c r="M551" s="14"/>
      <c r="N551" s="14"/>
      <c r="O551" s="14"/>
      <c r="P551" s="14"/>
      <c r="Q551" s="14"/>
      <c r="R551" s="14"/>
      <c r="S551" s="14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3.2">
      <c r="A552" s="14"/>
      <c r="B552" s="5"/>
      <c r="C552" s="5">
        <v>128</v>
      </c>
      <c r="D552" s="52">
        <v>43127</v>
      </c>
      <c r="E552" s="12"/>
      <c r="F552" s="12"/>
      <c r="G552" s="14"/>
      <c r="H552" s="14"/>
      <c r="I552" s="33" t="s">
        <v>71</v>
      </c>
      <c r="J552" s="14"/>
      <c r="K552" s="33">
        <v>27.8</v>
      </c>
      <c r="L552" s="14"/>
      <c r="M552" s="14"/>
      <c r="N552" s="14"/>
      <c r="O552" s="14"/>
      <c r="P552" s="14"/>
      <c r="Q552" s="14"/>
      <c r="R552" s="14"/>
      <c r="S552" s="14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3.2">
      <c r="A553" s="14"/>
      <c r="B553" s="5"/>
      <c r="C553" s="5">
        <v>129</v>
      </c>
      <c r="D553" s="52">
        <v>43128</v>
      </c>
      <c r="E553" s="12"/>
      <c r="F553" s="12"/>
      <c r="G553" s="14"/>
      <c r="H553" s="14"/>
      <c r="I553" s="33" t="s">
        <v>71</v>
      </c>
      <c r="J553" s="14"/>
      <c r="K553" s="33">
        <v>26.9</v>
      </c>
      <c r="L553" s="14"/>
      <c r="M553" s="14"/>
      <c r="N553" s="14"/>
      <c r="O553" s="14"/>
      <c r="P553" s="14"/>
      <c r="Q553" s="14"/>
      <c r="R553" s="14"/>
      <c r="S553" s="14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3.2">
      <c r="A554" s="14"/>
      <c r="B554" s="5"/>
      <c r="C554" s="5">
        <v>130</v>
      </c>
      <c r="D554" s="52">
        <v>43129</v>
      </c>
      <c r="E554" s="12"/>
      <c r="F554" s="12"/>
      <c r="G554" s="14"/>
      <c r="H554" s="14"/>
      <c r="I554" s="33" t="s">
        <v>71</v>
      </c>
      <c r="J554" s="14"/>
      <c r="K554" s="33">
        <v>26.4</v>
      </c>
      <c r="L554" s="14"/>
      <c r="M554" s="14"/>
      <c r="N554" s="14"/>
      <c r="O554" s="14"/>
      <c r="P554" s="14"/>
      <c r="Q554" s="14"/>
      <c r="R554" s="14"/>
      <c r="S554" s="14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3.2">
      <c r="A555" s="14"/>
      <c r="B555" s="5"/>
      <c r="C555" s="5">
        <v>131</v>
      </c>
      <c r="D555" s="119">
        <v>43130</v>
      </c>
      <c r="E555" s="12"/>
      <c r="F555" s="12"/>
      <c r="G555" s="14"/>
      <c r="H555" s="14"/>
      <c r="I555" s="120" t="s">
        <v>71</v>
      </c>
      <c r="J555" s="14"/>
      <c r="K555" s="120">
        <v>26</v>
      </c>
      <c r="L555" s="14"/>
      <c r="M555" s="14"/>
      <c r="N555" s="14"/>
      <c r="O555" s="14"/>
      <c r="P555" s="14"/>
      <c r="Q555" s="14"/>
      <c r="R555" s="14"/>
      <c r="S555" s="14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3.2">
      <c r="A556" s="14"/>
      <c r="B556" s="5"/>
      <c r="C556" s="5">
        <v>132</v>
      </c>
      <c r="D556" s="121">
        <v>43131</v>
      </c>
      <c r="E556" s="12"/>
      <c r="F556" s="12"/>
      <c r="G556" s="14"/>
      <c r="H556" s="14"/>
      <c r="I556" s="120" t="s">
        <v>71</v>
      </c>
      <c r="J556" s="14"/>
      <c r="K556" s="120">
        <v>25.1</v>
      </c>
      <c r="L556" s="14"/>
      <c r="M556" s="14"/>
      <c r="N556" s="14"/>
      <c r="O556" s="14"/>
      <c r="P556" s="14"/>
      <c r="Q556" s="14"/>
      <c r="R556" s="14"/>
      <c r="S556" s="14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3.2">
      <c r="A557" s="14"/>
      <c r="B557" s="5"/>
      <c r="C557" s="5">
        <v>133</v>
      </c>
      <c r="D557" s="122">
        <v>43132</v>
      </c>
      <c r="E557" s="12"/>
      <c r="F557" s="12"/>
      <c r="G557" s="14"/>
      <c r="H557" s="14"/>
      <c r="I557" s="120" t="s">
        <v>71</v>
      </c>
      <c r="J557" s="123"/>
      <c r="K557" s="120">
        <v>24.5</v>
      </c>
      <c r="L557" s="14"/>
      <c r="M557" s="14"/>
      <c r="N557" s="14"/>
      <c r="O557" s="14"/>
      <c r="P557" s="14"/>
      <c r="Q557" s="14"/>
      <c r="R557" s="14"/>
      <c r="S557" s="14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3.2">
      <c r="A558" s="14"/>
      <c r="B558" s="5"/>
      <c r="C558" s="5">
        <v>134</v>
      </c>
      <c r="D558" s="122">
        <v>43133</v>
      </c>
      <c r="E558" s="12"/>
      <c r="F558" s="12"/>
      <c r="G558" s="14"/>
      <c r="H558" s="14"/>
      <c r="I558" s="124" t="s">
        <v>71</v>
      </c>
      <c r="J558" s="123"/>
      <c r="K558" s="120">
        <v>24.1</v>
      </c>
      <c r="L558" s="14"/>
      <c r="M558" s="14"/>
      <c r="N558" s="14"/>
      <c r="O558" s="14"/>
      <c r="P558" s="14"/>
      <c r="Q558" s="14"/>
      <c r="R558" s="14"/>
      <c r="S558" s="14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3.2">
      <c r="A559" s="14"/>
      <c r="B559" s="5"/>
      <c r="C559" s="5">
        <v>135</v>
      </c>
      <c r="D559" s="122">
        <v>43134</v>
      </c>
      <c r="E559" s="12"/>
      <c r="F559" s="12"/>
      <c r="G559" s="14"/>
      <c r="H559" s="14"/>
      <c r="I559" s="124" t="s">
        <v>71</v>
      </c>
      <c r="J559" s="123"/>
      <c r="K559" s="120">
        <v>23.4</v>
      </c>
      <c r="L559" s="14"/>
      <c r="M559" s="14"/>
      <c r="N559" s="14"/>
      <c r="O559" s="14"/>
      <c r="P559" s="14"/>
      <c r="Q559" s="14"/>
      <c r="R559" s="14"/>
      <c r="S559" s="14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3.2">
      <c r="A560" s="14"/>
      <c r="B560" s="5"/>
      <c r="C560" s="5">
        <v>136</v>
      </c>
      <c r="D560" s="122">
        <v>43135</v>
      </c>
      <c r="E560" s="12"/>
      <c r="F560" s="12"/>
      <c r="G560" s="14"/>
      <c r="H560" s="14"/>
      <c r="I560" s="124" t="s">
        <v>71</v>
      </c>
      <c r="J560" s="123"/>
      <c r="K560" s="120">
        <v>23.1</v>
      </c>
      <c r="L560" s="14"/>
      <c r="M560" s="14"/>
      <c r="N560" s="14"/>
      <c r="O560" s="14"/>
      <c r="P560" s="14"/>
      <c r="Q560" s="14"/>
      <c r="R560" s="14"/>
      <c r="S560" s="14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3.2">
      <c r="A561" s="14"/>
      <c r="B561" s="5"/>
      <c r="C561" s="5">
        <v>137</v>
      </c>
      <c r="D561" s="122">
        <v>43136</v>
      </c>
      <c r="E561" s="12"/>
      <c r="F561" s="12"/>
      <c r="G561" s="14"/>
      <c r="H561" s="14"/>
      <c r="I561" s="124" t="s">
        <v>71</v>
      </c>
      <c r="J561" s="123"/>
      <c r="K561" s="120">
        <v>22.7</v>
      </c>
      <c r="L561" s="14"/>
      <c r="M561" s="14"/>
      <c r="N561" s="14"/>
      <c r="O561" s="14"/>
      <c r="P561" s="14"/>
      <c r="Q561" s="14"/>
      <c r="R561" s="14"/>
      <c r="S561" s="14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3.2">
      <c r="A562" s="14"/>
      <c r="B562" s="5"/>
      <c r="C562" s="5">
        <v>138</v>
      </c>
      <c r="D562" s="122">
        <v>43137</v>
      </c>
      <c r="E562" s="12"/>
      <c r="F562" s="12"/>
      <c r="G562" s="14"/>
      <c r="H562" s="14"/>
      <c r="I562" s="124" t="s">
        <v>71</v>
      </c>
      <c r="J562" s="123"/>
      <c r="K562" s="120">
        <v>22.8</v>
      </c>
      <c r="L562" s="14"/>
      <c r="M562" s="14"/>
      <c r="N562" s="14"/>
      <c r="O562" s="14"/>
      <c r="P562" s="14"/>
      <c r="Q562" s="14"/>
      <c r="R562" s="14"/>
      <c r="S562" s="14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3.2">
      <c r="A563" s="14"/>
      <c r="B563" s="5"/>
      <c r="C563" s="5">
        <v>139</v>
      </c>
      <c r="D563" s="20">
        <v>43138</v>
      </c>
      <c r="E563" s="12"/>
      <c r="F563" s="12"/>
      <c r="G563" s="14"/>
      <c r="H563" s="14"/>
      <c r="I563" s="125" t="s">
        <v>71</v>
      </c>
      <c r="J563" s="14"/>
      <c r="K563" s="125">
        <v>22.4</v>
      </c>
      <c r="L563" s="14"/>
      <c r="M563" s="14"/>
      <c r="N563" s="14"/>
      <c r="O563" s="14"/>
      <c r="P563" s="14"/>
      <c r="Q563" s="14"/>
      <c r="R563" s="14"/>
      <c r="S563" s="14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3.2">
      <c r="A564" s="14"/>
      <c r="B564" s="5"/>
      <c r="C564" s="5">
        <v>140</v>
      </c>
      <c r="D564" s="20">
        <v>43139</v>
      </c>
      <c r="E564" s="12"/>
      <c r="F564" s="12"/>
      <c r="G564" s="14"/>
      <c r="H564" s="14"/>
      <c r="I564" s="125" t="s">
        <v>71</v>
      </c>
      <c r="J564" s="14"/>
      <c r="K564" s="125">
        <v>22.1</v>
      </c>
      <c r="L564" s="14"/>
      <c r="M564" s="14"/>
      <c r="N564" s="14"/>
      <c r="O564" s="14"/>
      <c r="P564" s="14"/>
      <c r="Q564" s="14"/>
      <c r="R564" s="14"/>
      <c r="S564" s="14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3.2">
      <c r="A565" s="14"/>
      <c r="B565" s="5"/>
      <c r="C565" s="5">
        <v>141</v>
      </c>
      <c r="D565" s="20">
        <v>43140</v>
      </c>
      <c r="E565" s="12"/>
      <c r="F565" s="12"/>
      <c r="G565" s="14"/>
      <c r="H565" s="14"/>
      <c r="I565" s="125" t="s">
        <v>71</v>
      </c>
      <c r="J565" s="14"/>
      <c r="K565" s="125">
        <v>21.6</v>
      </c>
      <c r="L565" s="14"/>
      <c r="M565" s="14"/>
      <c r="N565" s="14"/>
      <c r="O565" s="14"/>
      <c r="P565" s="14"/>
      <c r="Q565" s="14"/>
      <c r="R565" s="14"/>
      <c r="S565" s="14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3.2">
      <c r="A566" s="14"/>
      <c r="B566" s="5"/>
      <c r="C566" s="5">
        <v>142</v>
      </c>
      <c r="D566" s="20">
        <v>43141</v>
      </c>
      <c r="E566" s="12"/>
      <c r="F566" s="12"/>
      <c r="G566" s="14"/>
      <c r="H566" s="14"/>
      <c r="I566" s="125" t="s">
        <v>71</v>
      </c>
      <c r="J566" s="14"/>
      <c r="K566" s="125">
        <v>21.4</v>
      </c>
      <c r="L566" s="14"/>
      <c r="M566" s="14"/>
      <c r="N566" s="14"/>
      <c r="O566" s="14"/>
      <c r="P566" s="14"/>
      <c r="Q566" s="14"/>
      <c r="R566" s="14"/>
      <c r="S566" s="14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3.2">
      <c r="A567" s="14"/>
      <c r="B567" s="5"/>
      <c r="C567" s="5">
        <v>143</v>
      </c>
      <c r="D567" s="20">
        <v>43142</v>
      </c>
      <c r="E567" s="12"/>
      <c r="F567" s="12"/>
      <c r="G567" s="14"/>
      <c r="H567" s="14"/>
      <c r="I567" s="125" t="s">
        <v>71</v>
      </c>
      <c r="J567" s="14"/>
      <c r="K567" s="125">
        <v>21.2</v>
      </c>
      <c r="L567" s="14"/>
      <c r="M567" s="14"/>
      <c r="N567" s="14"/>
      <c r="O567" s="14"/>
      <c r="P567" s="14"/>
      <c r="Q567" s="14"/>
      <c r="R567" s="14"/>
      <c r="S567" s="14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3.2">
      <c r="A568" s="14"/>
      <c r="B568" s="5"/>
      <c r="C568" s="5">
        <v>144</v>
      </c>
      <c r="D568" s="20">
        <v>43143</v>
      </c>
      <c r="E568" s="12"/>
      <c r="F568" s="12"/>
      <c r="G568" s="14"/>
      <c r="H568" s="14"/>
      <c r="I568" s="125" t="s">
        <v>71</v>
      </c>
      <c r="J568" s="14"/>
      <c r="K568" s="125">
        <v>21</v>
      </c>
      <c r="L568" s="14"/>
      <c r="M568" s="14"/>
      <c r="N568" s="14"/>
      <c r="O568" s="14"/>
      <c r="P568" s="14"/>
      <c r="Q568" s="14"/>
      <c r="R568" s="14"/>
      <c r="S568" s="14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3.2">
      <c r="A569" s="14"/>
      <c r="B569" s="5"/>
      <c r="C569" s="5">
        <v>145</v>
      </c>
      <c r="D569" s="20">
        <v>43144</v>
      </c>
      <c r="E569" s="12"/>
      <c r="F569" s="12"/>
      <c r="G569" s="14"/>
      <c r="H569" s="14"/>
      <c r="I569" s="125" t="s">
        <v>71</v>
      </c>
      <c r="J569" s="14"/>
      <c r="K569" s="125">
        <v>21.1</v>
      </c>
      <c r="L569" s="14"/>
      <c r="M569" s="14"/>
      <c r="N569" s="14"/>
      <c r="O569" s="14"/>
      <c r="P569" s="14"/>
      <c r="Q569" s="14"/>
      <c r="R569" s="14"/>
      <c r="S569" s="14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3.2">
      <c r="A570" s="14"/>
      <c r="B570" s="5"/>
      <c r="C570" s="5">
        <v>146</v>
      </c>
      <c r="D570" s="20">
        <v>43145</v>
      </c>
      <c r="E570" s="12"/>
      <c r="F570" s="12"/>
      <c r="G570" s="14"/>
      <c r="H570" s="14"/>
      <c r="I570" s="125" t="s">
        <v>71</v>
      </c>
      <c r="J570" s="14"/>
      <c r="K570" s="125">
        <v>20.5</v>
      </c>
      <c r="L570" s="14"/>
      <c r="M570" s="14"/>
      <c r="N570" s="14"/>
      <c r="O570" s="14"/>
      <c r="P570" s="14"/>
      <c r="Q570" s="14"/>
      <c r="R570" s="14"/>
      <c r="S570" s="14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3.2">
      <c r="A571" s="14"/>
      <c r="B571" s="5"/>
      <c r="C571" s="5">
        <v>147</v>
      </c>
      <c r="D571" s="20">
        <v>43146</v>
      </c>
      <c r="E571" s="12"/>
      <c r="F571" s="12"/>
      <c r="G571" s="14"/>
      <c r="H571" s="14"/>
      <c r="I571" s="125" t="s">
        <v>71</v>
      </c>
      <c r="J571" s="14"/>
      <c r="K571" s="125">
        <v>20.3</v>
      </c>
      <c r="L571" s="14"/>
      <c r="M571" s="14"/>
      <c r="N571" s="14"/>
      <c r="O571" s="14"/>
      <c r="P571" s="14"/>
      <c r="Q571" s="14"/>
      <c r="R571" s="14"/>
      <c r="S571" s="14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3.2">
      <c r="A572" s="14"/>
      <c r="B572" s="5"/>
      <c r="C572" s="5">
        <v>148</v>
      </c>
      <c r="D572" s="20">
        <v>43147</v>
      </c>
      <c r="E572" s="12"/>
      <c r="F572" s="12"/>
      <c r="G572" s="14"/>
      <c r="H572" s="14"/>
      <c r="I572" s="125" t="s">
        <v>71</v>
      </c>
      <c r="J572" s="14"/>
      <c r="K572" s="125">
        <v>20</v>
      </c>
      <c r="L572" s="14"/>
      <c r="M572" s="14"/>
      <c r="N572" s="14"/>
      <c r="O572" s="14"/>
      <c r="P572" s="14"/>
      <c r="Q572" s="14"/>
      <c r="R572" s="14"/>
      <c r="S572" s="14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3.2">
      <c r="A573" s="14"/>
      <c r="B573" s="5"/>
      <c r="C573" s="5">
        <v>149</v>
      </c>
      <c r="D573" s="20">
        <v>43148</v>
      </c>
      <c r="E573" s="12"/>
      <c r="F573" s="12"/>
      <c r="G573" s="14"/>
      <c r="H573" s="14"/>
      <c r="I573" s="125" t="s">
        <v>71</v>
      </c>
      <c r="J573" s="14"/>
      <c r="K573" s="125">
        <v>20</v>
      </c>
      <c r="L573" s="14"/>
      <c r="M573" s="14"/>
      <c r="N573" s="14"/>
      <c r="O573" s="14"/>
      <c r="P573" s="14"/>
      <c r="Q573" s="14"/>
      <c r="R573" s="14"/>
      <c r="S573" s="14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3.2">
      <c r="A574" s="14"/>
      <c r="B574" s="5"/>
      <c r="C574" s="14">
        <f t="shared" ref="C574:C578" si="134">C573+1</f>
        <v>150</v>
      </c>
      <c r="D574" s="20">
        <v>43149</v>
      </c>
      <c r="E574" s="12"/>
      <c r="F574" s="12"/>
      <c r="G574" s="14"/>
      <c r="H574" s="14"/>
      <c r="I574" s="13" t="s">
        <v>71</v>
      </c>
      <c r="J574" s="14"/>
      <c r="K574" s="13">
        <v>19.600000000000001</v>
      </c>
      <c r="L574" s="14"/>
      <c r="M574" s="14"/>
      <c r="N574" s="14"/>
      <c r="O574" s="14"/>
      <c r="P574" s="14"/>
      <c r="Q574" s="14"/>
      <c r="R574" s="14"/>
      <c r="S574" s="14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3.2">
      <c r="A575" s="14"/>
      <c r="B575" s="5"/>
      <c r="C575" s="14">
        <f t="shared" si="134"/>
        <v>151</v>
      </c>
      <c r="D575" s="20">
        <v>43150</v>
      </c>
      <c r="E575" s="12"/>
      <c r="F575" s="12"/>
      <c r="G575" s="14"/>
      <c r="H575" s="14"/>
      <c r="I575" s="13" t="s">
        <v>71</v>
      </c>
      <c r="J575" s="14"/>
      <c r="K575" s="13">
        <v>19.3</v>
      </c>
      <c r="L575" s="14"/>
      <c r="M575" s="14"/>
      <c r="N575" s="14"/>
      <c r="O575" s="14"/>
      <c r="P575" s="14"/>
      <c r="Q575" s="14"/>
      <c r="R575" s="14"/>
      <c r="S575" s="14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3.2">
      <c r="A576" s="14"/>
      <c r="B576" s="5"/>
      <c r="C576" s="14">
        <f t="shared" si="134"/>
        <v>152</v>
      </c>
      <c r="D576" s="20">
        <v>43151</v>
      </c>
      <c r="E576" s="12"/>
      <c r="F576" s="12"/>
      <c r="G576" s="14"/>
      <c r="H576" s="14"/>
      <c r="I576" s="13" t="s">
        <v>71</v>
      </c>
      <c r="J576" s="14"/>
      <c r="K576" s="13">
        <v>19.3</v>
      </c>
      <c r="L576" s="14"/>
      <c r="M576" s="14"/>
      <c r="N576" s="14"/>
      <c r="O576" s="14"/>
      <c r="P576" s="14"/>
      <c r="Q576" s="14"/>
      <c r="R576" s="14"/>
      <c r="S576" s="14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3.2">
      <c r="A577" s="14"/>
      <c r="B577" s="5"/>
      <c r="C577" s="14">
        <f t="shared" si="134"/>
        <v>153</v>
      </c>
      <c r="D577" s="20">
        <v>43152</v>
      </c>
      <c r="E577" s="12"/>
      <c r="F577" s="12"/>
      <c r="G577" s="14"/>
      <c r="H577" s="14"/>
      <c r="I577" s="13" t="s">
        <v>71</v>
      </c>
      <c r="J577" s="14"/>
      <c r="K577" s="13">
        <v>18.8</v>
      </c>
      <c r="L577" s="14"/>
      <c r="M577" s="14"/>
      <c r="N577" s="14"/>
      <c r="O577" s="14"/>
      <c r="P577" s="14"/>
      <c r="Q577" s="14"/>
      <c r="R577" s="14"/>
      <c r="S577" s="14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3.2">
      <c r="A578" s="14"/>
      <c r="B578" s="5"/>
      <c r="C578" s="14">
        <f t="shared" si="134"/>
        <v>154</v>
      </c>
      <c r="D578" s="20">
        <v>43153</v>
      </c>
      <c r="E578" s="12"/>
      <c r="F578" s="12"/>
      <c r="G578" s="14"/>
      <c r="H578" s="14"/>
      <c r="I578" s="13" t="s">
        <v>71</v>
      </c>
      <c r="J578" s="14"/>
      <c r="K578" s="13">
        <v>18.899999999999999</v>
      </c>
      <c r="L578" s="14"/>
      <c r="M578" s="14"/>
      <c r="N578" s="14"/>
      <c r="O578" s="14"/>
      <c r="P578" s="14"/>
      <c r="Q578" s="14"/>
      <c r="R578" s="14"/>
      <c r="S578" s="14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3.2">
      <c r="A579" s="14"/>
      <c r="B579" s="5"/>
      <c r="C579" s="5">
        <v>155</v>
      </c>
      <c r="D579" s="56">
        <v>43154</v>
      </c>
      <c r="E579" s="12"/>
      <c r="F579" s="12"/>
      <c r="G579" s="14"/>
      <c r="H579" s="14"/>
      <c r="I579" s="13" t="s">
        <v>71</v>
      </c>
      <c r="J579" s="14"/>
      <c r="K579" s="13">
        <v>18.7</v>
      </c>
      <c r="L579" s="14"/>
      <c r="M579" s="14"/>
      <c r="N579" s="14"/>
      <c r="O579" s="14"/>
      <c r="P579" s="14"/>
      <c r="Q579" s="14"/>
      <c r="R579" s="14"/>
      <c r="S579" s="14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3.2">
      <c r="A580" s="14"/>
      <c r="B580" s="5"/>
      <c r="C580" s="5">
        <v>156</v>
      </c>
      <c r="D580" s="20">
        <v>43155</v>
      </c>
      <c r="E580" s="12"/>
      <c r="F580" s="12"/>
      <c r="G580" s="14"/>
      <c r="H580" s="14"/>
      <c r="I580" s="13">
        <v>55.8</v>
      </c>
      <c r="J580" s="14"/>
      <c r="K580" s="13">
        <v>18.7</v>
      </c>
      <c r="L580" s="14"/>
      <c r="M580" s="14"/>
      <c r="N580" s="14"/>
      <c r="O580" s="14"/>
      <c r="P580" s="14"/>
      <c r="Q580" s="14"/>
      <c r="R580" s="14"/>
      <c r="S580" s="14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3.2">
      <c r="A581" s="14"/>
      <c r="B581" s="5"/>
      <c r="C581" s="5">
        <v>157</v>
      </c>
      <c r="D581" s="20">
        <v>43156</v>
      </c>
      <c r="E581" s="12"/>
      <c r="F581" s="12"/>
      <c r="G581" s="14"/>
      <c r="H581" s="14"/>
      <c r="I581" s="13">
        <v>52</v>
      </c>
      <c r="J581" s="14"/>
      <c r="K581" s="13">
        <v>20.6</v>
      </c>
      <c r="L581" s="14"/>
      <c r="M581" s="14"/>
      <c r="N581" s="14"/>
      <c r="O581" s="14"/>
      <c r="P581" s="14"/>
      <c r="Q581" s="14"/>
      <c r="R581" s="14"/>
      <c r="S581" s="14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3.2">
      <c r="A582" s="14"/>
      <c r="B582" s="5"/>
      <c r="C582" s="5">
        <v>158</v>
      </c>
      <c r="D582" s="20">
        <v>43157</v>
      </c>
      <c r="E582" s="12"/>
      <c r="F582" s="12"/>
      <c r="G582" s="14"/>
      <c r="H582" s="14"/>
      <c r="I582" s="13">
        <v>48.1</v>
      </c>
      <c r="J582" s="14"/>
      <c r="K582" s="13">
        <v>20.8</v>
      </c>
      <c r="L582" s="14"/>
      <c r="M582" s="14"/>
      <c r="N582" s="14"/>
      <c r="O582" s="14"/>
      <c r="P582" s="14"/>
      <c r="Q582" s="14"/>
      <c r="R582" s="14"/>
      <c r="S582" s="14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3.2">
      <c r="A583" s="14"/>
      <c r="B583" s="5"/>
      <c r="C583" s="5">
        <v>159</v>
      </c>
      <c r="D583" s="20">
        <v>43158</v>
      </c>
      <c r="E583" s="12"/>
      <c r="F583" s="12"/>
      <c r="G583" s="14"/>
      <c r="H583" s="14"/>
      <c r="I583" s="13">
        <v>44.8</v>
      </c>
      <c r="J583" s="14"/>
      <c r="K583" s="13">
        <v>21.6</v>
      </c>
      <c r="L583" s="14"/>
      <c r="M583" s="14"/>
      <c r="N583" s="14"/>
      <c r="O583" s="14"/>
      <c r="P583" s="14"/>
      <c r="Q583" s="14"/>
      <c r="R583" s="14"/>
      <c r="S583" s="14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3.2">
      <c r="A584" s="14"/>
      <c r="B584" s="5"/>
      <c r="C584" s="5">
        <v>166</v>
      </c>
      <c r="D584" s="20">
        <v>43165</v>
      </c>
      <c r="E584" s="12"/>
      <c r="F584" s="12"/>
      <c r="G584" s="14"/>
      <c r="H584" s="14"/>
      <c r="I584" s="13">
        <v>18.2</v>
      </c>
      <c r="J584" s="14"/>
      <c r="K584" s="13">
        <v>23.2</v>
      </c>
      <c r="L584" s="14"/>
      <c r="M584" s="14"/>
      <c r="N584" s="14"/>
      <c r="O584" s="14"/>
      <c r="P584" s="14"/>
      <c r="Q584" s="14"/>
      <c r="R584" s="14"/>
      <c r="S584" s="14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3.2">
      <c r="A585" s="14"/>
      <c r="B585" s="5"/>
      <c r="C585" s="5">
        <v>173</v>
      </c>
      <c r="D585" s="20">
        <v>43172</v>
      </c>
      <c r="E585" s="12"/>
      <c r="F585" s="12"/>
      <c r="G585" s="14"/>
      <c r="H585" s="14"/>
      <c r="I585" s="13">
        <v>61.4</v>
      </c>
      <c r="J585" s="14"/>
      <c r="K585" s="13">
        <v>24.7</v>
      </c>
      <c r="L585" s="14"/>
      <c r="M585" s="14"/>
      <c r="N585" s="14"/>
      <c r="O585" s="14"/>
      <c r="P585" s="14"/>
      <c r="Q585" s="14"/>
      <c r="R585" s="14"/>
      <c r="S585" s="14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3.2">
      <c r="A586" s="14"/>
      <c r="B586" s="5"/>
      <c r="C586" s="5"/>
      <c r="D586" s="14"/>
      <c r="E586" s="12"/>
      <c r="F586" s="12"/>
      <c r="G586" s="14"/>
      <c r="H586" s="14"/>
      <c r="I586" s="15"/>
      <c r="J586" s="14"/>
      <c r="K586" s="15"/>
      <c r="L586" s="14"/>
      <c r="M586" s="14"/>
      <c r="N586" s="14"/>
      <c r="O586" s="14"/>
      <c r="P586" s="14"/>
      <c r="Q586" s="14"/>
      <c r="R586" s="14"/>
      <c r="S586" s="14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3.2">
      <c r="A587" s="14"/>
      <c r="B587" s="5"/>
      <c r="C587" s="5"/>
      <c r="D587" s="14"/>
      <c r="E587" s="12"/>
      <c r="F587" s="12"/>
      <c r="G587" s="14"/>
      <c r="H587" s="14"/>
      <c r="I587" s="15"/>
      <c r="J587" s="14"/>
      <c r="K587" s="15"/>
      <c r="L587" s="14"/>
      <c r="M587" s="14"/>
      <c r="N587" s="14"/>
      <c r="O587" s="14"/>
      <c r="P587" s="14"/>
      <c r="Q587" s="14"/>
      <c r="R587" s="14"/>
      <c r="S587" s="14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3.2">
      <c r="A588" s="14"/>
      <c r="B588" s="5"/>
      <c r="C588" s="5"/>
      <c r="D588" s="14"/>
      <c r="E588" s="12"/>
      <c r="F588" s="12"/>
      <c r="G588" s="14"/>
      <c r="H588" s="14"/>
      <c r="I588" s="15"/>
      <c r="J588" s="14"/>
      <c r="K588" s="15"/>
      <c r="L588" s="14"/>
      <c r="M588" s="14"/>
      <c r="N588" s="14"/>
      <c r="O588" s="14"/>
      <c r="P588" s="14"/>
      <c r="Q588" s="14"/>
      <c r="R588" s="14"/>
      <c r="S588" s="14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3.2">
      <c r="A589" s="14"/>
      <c r="B589" s="5"/>
      <c r="C589" s="5"/>
      <c r="D589" s="14"/>
      <c r="E589" s="12"/>
      <c r="F589" s="12"/>
      <c r="G589" s="14"/>
      <c r="H589" s="14"/>
      <c r="I589" s="15"/>
      <c r="J589" s="14"/>
      <c r="K589" s="15"/>
      <c r="L589" s="14"/>
      <c r="M589" s="14"/>
      <c r="N589" s="14"/>
      <c r="O589" s="14"/>
      <c r="P589" s="14"/>
      <c r="Q589" s="14"/>
      <c r="R589" s="14"/>
      <c r="S589" s="14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26.4">
      <c r="A590" s="8" t="s">
        <v>79</v>
      </c>
      <c r="B590" s="5">
        <v>0</v>
      </c>
      <c r="C590" s="5">
        <v>0</v>
      </c>
      <c r="D590" s="9">
        <v>42992</v>
      </c>
      <c r="E590" s="10">
        <v>365.4</v>
      </c>
      <c r="F590" s="11" t="s">
        <v>21</v>
      </c>
      <c r="G590" s="12">
        <f>AVERAGE(F591:F607)</f>
        <v>6.4464285714285667</v>
      </c>
      <c r="H590" s="14"/>
      <c r="I590" s="13">
        <v>87.8</v>
      </c>
      <c r="J590" s="14"/>
      <c r="K590" s="13">
        <v>18.100000000000001</v>
      </c>
      <c r="L590" s="14"/>
      <c r="M590" s="14"/>
      <c r="N590" s="14"/>
      <c r="O590" s="14"/>
      <c r="P590" s="14">
        <f>SUM(O590:O600)-104.4</f>
        <v>284.99999999999989</v>
      </c>
      <c r="Q590" s="14"/>
      <c r="R590" s="14"/>
      <c r="S590" s="15">
        <f>I595-I605</f>
        <v>46.8</v>
      </c>
      <c r="T590" s="7">
        <f>SUM(S590:S594)*5.24</f>
        <v>1104.5920000000001</v>
      </c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3.2">
      <c r="A591" s="5" t="s">
        <v>30</v>
      </c>
      <c r="B591" s="5">
        <v>0</v>
      </c>
      <c r="C591" s="5">
        <v>0</v>
      </c>
      <c r="D591" s="9">
        <v>42993</v>
      </c>
      <c r="E591" s="10">
        <v>355.1</v>
      </c>
      <c r="F591" s="12">
        <f>E590-E591</f>
        <v>10.299999999999955</v>
      </c>
      <c r="G591" s="14"/>
      <c r="H591" s="14"/>
      <c r="I591" s="13">
        <v>83.8</v>
      </c>
      <c r="J591" s="16">
        <f t="shared" ref="J591:J594" si="135">(I590-I591)/(D591-D590)</f>
        <v>4</v>
      </c>
      <c r="K591" s="13">
        <v>18.100000000000001</v>
      </c>
      <c r="L591" s="14"/>
      <c r="M591" s="14"/>
      <c r="N591" s="14"/>
      <c r="O591" s="12">
        <f>E595-E602</f>
        <v>77.600000000000023</v>
      </c>
      <c r="P591" s="14"/>
      <c r="Q591" s="14"/>
      <c r="R591" s="14"/>
      <c r="S591" s="15">
        <f>57.1-I608</f>
        <v>12.700000000000003</v>
      </c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3.2">
      <c r="A592" s="5" t="s">
        <v>80</v>
      </c>
      <c r="B592" s="5">
        <v>0</v>
      </c>
      <c r="C592" s="5">
        <v>0</v>
      </c>
      <c r="D592" s="9">
        <v>42996</v>
      </c>
      <c r="E592" s="10">
        <v>338.7</v>
      </c>
      <c r="F592" s="12">
        <f t="shared" ref="F592:F594" si="136">(E591-E592)/(D592-D591)</f>
        <v>5.4666666666666783</v>
      </c>
      <c r="G592" s="14"/>
      <c r="H592" s="14"/>
      <c r="I592" s="13">
        <v>73.2</v>
      </c>
      <c r="J592" s="16">
        <f t="shared" si="135"/>
        <v>3.5333333333333314</v>
      </c>
      <c r="K592" s="13">
        <v>17.7</v>
      </c>
      <c r="L592" s="14"/>
      <c r="M592" s="14"/>
      <c r="N592" s="14"/>
      <c r="O592" s="12">
        <f>E603-E605</f>
        <v>26.399999999999977</v>
      </c>
      <c r="P592" s="14"/>
      <c r="Q592" s="14"/>
      <c r="R592" s="14"/>
      <c r="S592" s="15">
        <f>102.2-I624</f>
        <v>73.300000000000011</v>
      </c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3.2">
      <c r="A593" s="14"/>
      <c r="B593" s="5">
        <v>0</v>
      </c>
      <c r="C593" s="5">
        <v>0</v>
      </c>
      <c r="D593" s="9">
        <v>42998</v>
      </c>
      <c r="E593" s="10">
        <v>327.5</v>
      </c>
      <c r="F593" s="12">
        <f t="shared" si="136"/>
        <v>5.5999999999999943</v>
      </c>
      <c r="G593" s="14"/>
      <c r="H593" s="14"/>
      <c r="I593" s="13">
        <v>66.5</v>
      </c>
      <c r="J593" s="16">
        <f t="shared" si="135"/>
        <v>3.3500000000000014</v>
      </c>
      <c r="K593" s="13">
        <v>17.600000000000001</v>
      </c>
      <c r="L593" s="14"/>
      <c r="M593" s="14"/>
      <c r="N593" s="14"/>
      <c r="O593" s="12">
        <f>E606-E609</f>
        <v>30</v>
      </c>
      <c r="P593" s="14"/>
      <c r="Q593" s="14"/>
      <c r="R593" s="14"/>
      <c r="S593" s="15">
        <f>I625-I638</f>
        <v>63.5</v>
      </c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3.2">
      <c r="A594" s="14"/>
      <c r="B594" s="5">
        <v>0</v>
      </c>
      <c r="C594" s="5">
        <v>0</v>
      </c>
      <c r="D594" s="17">
        <v>42999</v>
      </c>
      <c r="E594" s="10">
        <v>318.3</v>
      </c>
      <c r="F594" s="12">
        <f t="shared" si="136"/>
        <v>9.1999999999999886</v>
      </c>
      <c r="G594" s="14"/>
      <c r="H594" s="14"/>
      <c r="I594" s="13">
        <v>63.6</v>
      </c>
      <c r="J594" s="16">
        <f t="shared" si="135"/>
        <v>2.8999999999999986</v>
      </c>
      <c r="K594" s="13">
        <v>18</v>
      </c>
      <c r="L594" s="14"/>
      <c r="M594" s="14"/>
      <c r="N594" s="14"/>
      <c r="O594" s="12">
        <f>E610-E613</f>
        <v>32.699999999999989</v>
      </c>
      <c r="P594" s="14"/>
      <c r="Q594" s="14"/>
      <c r="R594" s="14"/>
      <c r="S594" s="15">
        <f>I640-I642</f>
        <v>14.500000000000007</v>
      </c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3.2">
      <c r="A595" s="14"/>
      <c r="B595" s="5">
        <v>0.5</v>
      </c>
      <c r="C595" s="5">
        <v>0</v>
      </c>
      <c r="D595" s="17">
        <v>42999</v>
      </c>
      <c r="E595" s="10">
        <v>381</v>
      </c>
      <c r="F595" s="12"/>
      <c r="G595" s="14"/>
      <c r="H595" s="14"/>
      <c r="I595" s="13">
        <v>73</v>
      </c>
      <c r="J595" s="16"/>
      <c r="K595" s="13"/>
      <c r="L595" s="14"/>
      <c r="M595" s="14"/>
      <c r="N595" s="14"/>
      <c r="O595" s="12">
        <f>E614-E617</f>
        <v>28.899999999999977</v>
      </c>
      <c r="P595" s="14"/>
      <c r="Q595" s="14"/>
      <c r="R595" s="14"/>
      <c r="S595" s="14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3.2">
      <c r="A596" s="14"/>
      <c r="B596" s="5">
        <v>0.5</v>
      </c>
      <c r="C596" s="5">
        <f t="shared" ref="C596:C649" si="137">D596-$D$7</f>
        <v>1</v>
      </c>
      <c r="D596" s="17">
        <v>43000</v>
      </c>
      <c r="E596" s="10">
        <v>375.1</v>
      </c>
      <c r="F596" s="12">
        <f t="shared" ref="F596:F601" si="138">(E595-E596)/(D596-D595)</f>
        <v>5.8999999999999773</v>
      </c>
      <c r="G596" s="14"/>
      <c r="H596" s="14"/>
      <c r="I596" s="13">
        <v>69.599999999999994</v>
      </c>
      <c r="J596" s="16">
        <f t="shared" ref="J596:J601" si="139">(I595-I596)/(D596-D595)</f>
        <v>3.4000000000000057</v>
      </c>
      <c r="K596" s="13">
        <v>18.600000000000001</v>
      </c>
      <c r="L596" s="14"/>
      <c r="M596" s="14"/>
      <c r="N596" s="14"/>
      <c r="O596" s="12">
        <f>E618-E621</f>
        <v>26.799999999999955</v>
      </c>
      <c r="P596" s="14"/>
      <c r="Q596" s="14"/>
      <c r="R596" s="14"/>
      <c r="S596" s="14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3.2">
      <c r="A597" s="14"/>
      <c r="B597" s="5">
        <v>0.5</v>
      </c>
      <c r="C597" s="5">
        <f t="shared" si="137"/>
        <v>4</v>
      </c>
      <c r="D597" s="9">
        <v>43003</v>
      </c>
      <c r="E597" s="10">
        <v>362.2</v>
      </c>
      <c r="F597" s="12">
        <f t="shared" si="138"/>
        <v>4.3000000000000114</v>
      </c>
      <c r="G597" s="14"/>
      <c r="H597" s="14"/>
      <c r="I597" s="13">
        <v>62.9</v>
      </c>
      <c r="J597" s="16">
        <f t="shared" si="139"/>
        <v>2.2333333333333321</v>
      </c>
      <c r="K597" s="13">
        <v>18.2</v>
      </c>
      <c r="L597" s="14"/>
      <c r="M597" s="14"/>
      <c r="N597" s="14"/>
      <c r="O597" s="12">
        <f>E622-E625</f>
        <v>41.300000000000011</v>
      </c>
      <c r="P597" s="14"/>
      <c r="Q597" s="14"/>
      <c r="R597" s="14"/>
      <c r="S597" s="14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3.2">
      <c r="A598" s="14"/>
      <c r="B598" s="5">
        <v>1</v>
      </c>
      <c r="C598" s="5">
        <f t="shared" si="137"/>
        <v>6</v>
      </c>
      <c r="D598" s="9">
        <v>43005</v>
      </c>
      <c r="E598" s="10">
        <v>354.3</v>
      </c>
      <c r="F598" s="12">
        <f t="shared" si="138"/>
        <v>3.9499999999999886</v>
      </c>
      <c r="G598" s="14"/>
      <c r="H598" s="14"/>
      <c r="I598" s="13">
        <v>59</v>
      </c>
      <c r="J598" s="16">
        <f t="shared" si="139"/>
        <v>1.9499999999999993</v>
      </c>
      <c r="K598" s="18">
        <v>18.399999999999999</v>
      </c>
      <c r="L598" s="14"/>
      <c r="M598" s="14"/>
      <c r="N598" s="14"/>
      <c r="O598" s="12">
        <f>E626-E634</f>
        <v>64.199999999999989</v>
      </c>
      <c r="P598" s="14"/>
      <c r="Q598" s="14"/>
      <c r="R598" s="14"/>
      <c r="S598" s="14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3.2">
      <c r="A599" s="14"/>
      <c r="B599" s="5">
        <v>1</v>
      </c>
      <c r="C599" s="5">
        <f t="shared" si="137"/>
        <v>8</v>
      </c>
      <c r="D599" s="9">
        <v>43007</v>
      </c>
      <c r="E599" s="10">
        <v>346.2</v>
      </c>
      <c r="F599" s="12">
        <f t="shared" si="138"/>
        <v>4.0500000000000114</v>
      </c>
      <c r="G599" s="14"/>
      <c r="H599" s="14"/>
      <c r="I599" s="13">
        <v>54.4</v>
      </c>
      <c r="J599" s="16">
        <f t="shared" si="139"/>
        <v>2.3000000000000007</v>
      </c>
      <c r="K599" s="13">
        <v>18.7</v>
      </c>
      <c r="L599" s="14"/>
      <c r="M599" s="14"/>
      <c r="N599" s="14"/>
      <c r="O599" s="12">
        <f>E635-E638</f>
        <v>31</v>
      </c>
      <c r="P599" s="14"/>
      <c r="Q599" s="14"/>
      <c r="R599" s="14"/>
      <c r="S599" s="14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3.2">
      <c r="A600" s="14"/>
      <c r="B600" s="5">
        <v>1</v>
      </c>
      <c r="C600" s="5">
        <f t="shared" si="137"/>
        <v>11</v>
      </c>
      <c r="D600" s="19">
        <v>43010</v>
      </c>
      <c r="E600" s="11">
        <v>330</v>
      </c>
      <c r="F600" s="12">
        <f t="shared" si="138"/>
        <v>5.3999999999999959</v>
      </c>
      <c r="G600" s="14"/>
      <c r="H600" s="14"/>
      <c r="I600" s="13">
        <v>47.3</v>
      </c>
      <c r="J600" s="16">
        <f t="shared" si="139"/>
        <v>2.3666666666666671</v>
      </c>
      <c r="K600" s="13">
        <v>19.2</v>
      </c>
      <c r="L600" s="14"/>
      <c r="M600" s="14"/>
      <c r="N600" s="14"/>
      <c r="O600" s="12">
        <f>E639-E642</f>
        <v>30.5</v>
      </c>
      <c r="P600" s="14"/>
      <c r="Q600" s="14"/>
      <c r="R600" s="14"/>
      <c r="S600" s="14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3.2">
      <c r="A601" s="14"/>
      <c r="B601" s="5">
        <v>1</v>
      </c>
      <c r="C601" s="5">
        <f t="shared" si="137"/>
        <v>13</v>
      </c>
      <c r="D601" s="19">
        <v>43012</v>
      </c>
      <c r="E601" s="11">
        <v>314.5</v>
      </c>
      <c r="F601" s="12">
        <f t="shared" si="138"/>
        <v>7.75</v>
      </c>
      <c r="G601" s="14"/>
      <c r="H601" s="14"/>
      <c r="I601" s="13">
        <v>42.5</v>
      </c>
      <c r="J601" s="16">
        <f t="shared" si="139"/>
        <v>2.3999999999999986</v>
      </c>
      <c r="K601" s="13">
        <v>19.899999999999999</v>
      </c>
      <c r="L601" s="14"/>
      <c r="M601" s="14"/>
      <c r="N601" s="14"/>
      <c r="O601" s="14"/>
      <c r="P601" s="14"/>
      <c r="Q601" s="14"/>
      <c r="R601" s="14"/>
      <c r="S601" s="14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3.2">
      <c r="A602" s="14"/>
      <c r="B602" s="5">
        <v>2</v>
      </c>
      <c r="C602" s="5">
        <f t="shared" si="137"/>
        <v>14</v>
      </c>
      <c r="D602" s="20">
        <v>43013</v>
      </c>
      <c r="E602" s="11">
        <v>303.39999999999998</v>
      </c>
      <c r="F602" s="11"/>
      <c r="G602" s="14"/>
      <c r="H602" s="14"/>
      <c r="I602" s="13" t="s">
        <v>24</v>
      </c>
      <c r="J602" s="14"/>
      <c r="K602" s="13"/>
      <c r="L602" s="14"/>
      <c r="M602" s="14"/>
      <c r="N602" s="14"/>
      <c r="O602" s="14"/>
      <c r="P602" s="14"/>
      <c r="Q602" s="14"/>
      <c r="R602" s="14"/>
      <c r="S602" s="14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3.2">
      <c r="A603" s="14"/>
      <c r="B603" s="5">
        <v>2</v>
      </c>
      <c r="C603" s="5">
        <f t="shared" si="137"/>
        <v>15</v>
      </c>
      <c r="D603" s="20">
        <v>43014</v>
      </c>
      <c r="E603" s="11">
        <v>390.4</v>
      </c>
      <c r="F603" s="12">
        <f>(394.9-E603)/(D603-D602)</f>
        <v>4.5</v>
      </c>
      <c r="G603" s="14"/>
      <c r="H603" s="14"/>
      <c r="I603" s="13">
        <v>38</v>
      </c>
      <c r="J603" s="16">
        <f>(I601-I603)/(D603-D601)</f>
        <v>2.25</v>
      </c>
      <c r="K603" s="13">
        <v>19.5</v>
      </c>
      <c r="L603" s="14"/>
      <c r="M603" s="14"/>
      <c r="N603" s="14"/>
      <c r="O603" s="14"/>
      <c r="P603" s="14"/>
      <c r="Q603" s="14"/>
      <c r="R603" s="14"/>
      <c r="S603" s="14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3.2">
      <c r="A604" s="14"/>
      <c r="B604" s="5">
        <v>2</v>
      </c>
      <c r="C604" s="5">
        <f t="shared" si="137"/>
        <v>18</v>
      </c>
      <c r="D604" s="20">
        <v>43017</v>
      </c>
      <c r="E604" s="11">
        <v>378.9</v>
      </c>
      <c r="F604" s="12">
        <f>(E603-E604)/(D604-D603)</f>
        <v>3.8333333333333335</v>
      </c>
      <c r="G604" s="14"/>
      <c r="H604" s="14"/>
      <c r="I604" s="13">
        <v>30.9</v>
      </c>
      <c r="J604" s="16">
        <f t="shared" ref="J604:J605" si="140">(I603-I604)/(D604-D603)</f>
        <v>2.3666666666666671</v>
      </c>
      <c r="K604" s="13">
        <v>20.2</v>
      </c>
      <c r="L604" s="14"/>
      <c r="M604" s="14"/>
      <c r="N604" s="14"/>
      <c r="O604" s="14"/>
      <c r="P604" s="14"/>
      <c r="Q604" s="14"/>
      <c r="R604" s="14"/>
      <c r="S604" s="14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3.2">
      <c r="A605" s="14"/>
      <c r="B605" s="5">
        <v>2</v>
      </c>
      <c r="C605" s="5">
        <f t="shared" si="137"/>
        <v>20</v>
      </c>
      <c r="D605" s="20">
        <v>43019</v>
      </c>
      <c r="E605" s="11">
        <v>364</v>
      </c>
      <c r="F605" s="12">
        <f>(E604-E605)-(D605-D604)</f>
        <v>12.899999999999977</v>
      </c>
      <c r="G605" s="14"/>
      <c r="H605" s="14"/>
      <c r="I605" s="13">
        <v>26.2</v>
      </c>
      <c r="J605" s="16">
        <f t="shared" si="140"/>
        <v>2.3499999999999996</v>
      </c>
      <c r="K605" s="13">
        <v>20.100000000000001</v>
      </c>
      <c r="L605" s="14"/>
      <c r="M605" s="14"/>
      <c r="N605" s="14"/>
      <c r="O605" s="14"/>
      <c r="P605" s="14"/>
      <c r="Q605" s="14"/>
      <c r="R605" s="14"/>
      <c r="S605" s="14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3.2">
      <c r="A606" s="14"/>
      <c r="B606" s="5">
        <v>3</v>
      </c>
      <c r="C606" s="5">
        <f t="shared" si="137"/>
        <v>21</v>
      </c>
      <c r="D606" s="20">
        <v>43020</v>
      </c>
      <c r="E606" s="11">
        <v>398.5</v>
      </c>
      <c r="F606" s="12"/>
      <c r="G606" s="14"/>
      <c r="H606" s="14"/>
      <c r="I606" s="15"/>
      <c r="J606" s="14"/>
      <c r="K606" s="15"/>
      <c r="L606" s="14"/>
      <c r="M606" s="14"/>
      <c r="N606" s="14"/>
      <c r="O606" s="14"/>
      <c r="P606" s="14"/>
      <c r="Q606" s="14"/>
      <c r="R606" s="14"/>
      <c r="S606" s="14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3.2">
      <c r="A607" s="14"/>
      <c r="B607" s="5">
        <v>3</v>
      </c>
      <c r="C607" s="5">
        <f t="shared" si="137"/>
        <v>22</v>
      </c>
      <c r="D607" s="20">
        <f>D605+2</f>
        <v>43021</v>
      </c>
      <c r="E607" s="11">
        <v>391.4</v>
      </c>
      <c r="F607" s="12">
        <f t="shared" ref="F607:F609" si="141">(E606-E607)/(D607-D606)</f>
        <v>7.1000000000000227</v>
      </c>
      <c r="G607" s="14"/>
      <c r="H607" s="14"/>
      <c r="I607" s="13">
        <v>51.7</v>
      </c>
      <c r="J607" s="14">
        <f t="shared" ref="J607:J608" si="142">(57.1-I607)/(D607-D605)</f>
        <v>2.6999999999999993</v>
      </c>
      <c r="K607" s="13">
        <v>20</v>
      </c>
      <c r="L607" s="14"/>
      <c r="M607" s="14"/>
      <c r="N607" s="14"/>
      <c r="O607" s="14"/>
      <c r="P607" s="14"/>
      <c r="Q607" s="14"/>
      <c r="R607" s="14"/>
      <c r="S607" s="14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3.2">
      <c r="A608" s="14"/>
      <c r="B608" s="5">
        <v>3</v>
      </c>
      <c r="C608" s="5">
        <f t="shared" si="137"/>
        <v>25</v>
      </c>
      <c r="D608" s="20">
        <f>D607+3</f>
        <v>43024</v>
      </c>
      <c r="E608" s="11">
        <v>378.5</v>
      </c>
      <c r="F608" s="12">
        <f t="shared" si="141"/>
        <v>4.2999999999999927</v>
      </c>
      <c r="G608" s="14"/>
      <c r="H608" s="14"/>
      <c r="I608" s="13">
        <v>44.4</v>
      </c>
      <c r="J608" s="14">
        <f t="shared" si="142"/>
        <v>3.1750000000000007</v>
      </c>
      <c r="K608" s="13">
        <v>20.7</v>
      </c>
      <c r="L608" s="14"/>
      <c r="M608" s="14"/>
      <c r="N608" s="14"/>
      <c r="O608" s="14"/>
      <c r="P608" s="14"/>
      <c r="Q608" s="14"/>
      <c r="R608" s="14"/>
      <c r="S608" s="14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3.2">
      <c r="A609" s="14"/>
      <c r="B609" s="5">
        <v>3</v>
      </c>
      <c r="C609" s="5">
        <f t="shared" si="137"/>
        <v>27</v>
      </c>
      <c r="D609" s="20">
        <f>D608+2</f>
        <v>43026</v>
      </c>
      <c r="E609" s="11">
        <v>368.5</v>
      </c>
      <c r="F609" s="12">
        <f t="shared" si="141"/>
        <v>5</v>
      </c>
      <c r="G609" s="14"/>
      <c r="H609" s="14"/>
      <c r="I609" s="13">
        <v>96.8</v>
      </c>
      <c r="J609" s="14">
        <f>(102.2-I609)/(D609-D608)</f>
        <v>2.7000000000000028</v>
      </c>
      <c r="K609" s="13">
        <v>20.5</v>
      </c>
      <c r="L609" s="14"/>
      <c r="M609" s="14"/>
      <c r="N609" s="14"/>
      <c r="O609" s="14"/>
      <c r="P609" s="14"/>
      <c r="Q609" s="14"/>
      <c r="R609" s="14"/>
      <c r="S609" s="14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3.2">
      <c r="A610" s="14"/>
      <c r="B610" s="5">
        <v>4</v>
      </c>
      <c r="C610" s="5">
        <f t="shared" si="137"/>
        <v>28</v>
      </c>
      <c r="D610" s="20">
        <v>43027</v>
      </c>
      <c r="E610" s="11">
        <v>402.3</v>
      </c>
      <c r="F610" s="12"/>
      <c r="G610" s="14"/>
      <c r="H610" s="14"/>
      <c r="I610" s="15"/>
      <c r="J610" s="14"/>
      <c r="K610" s="15"/>
      <c r="L610" s="14"/>
      <c r="M610" s="14"/>
      <c r="N610" s="14"/>
      <c r="O610" s="14"/>
      <c r="P610" s="14"/>
      <c r="Q610" s="14"/>
      <c r="R610" s="14"/>
      <c r="S610" s="14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3.2">
      <c r="A611" s="14"/>
      <c r="B611" s="5">
        <v>4</v>
      </c>
      <c r="C611" s="5">
        <f t="shared" si="137"/>
        <v>29</v>
      </c>
      <c r="D611" s="20">
        <f>D609+2</f>
        <v>43028</v>
      </c>
      <c r="E611" s="11">
        <v>395.4</v>
      </c>
      <c r="F611" s="12">
        <f t="shared" ref="F611:F613" si="143">(E610-E611)/(D611-D610)</f>
        <v>6.9000000000000341</v>
      </c>
      <c r="G611" s="14"/>
      <c r="H611" s="14"/>
      <c r="I611" s="13">
        <v>91.1</v>
      </c>
      <c r="J611" s="15">
        <f>(I609-I611)/(D611-D609)</f>
        <v>2.8500000000000014</v>
      </c>
      <c r="K611" s="13">
        <v>21.3</v>
      </c>
      <c r="L611" s="14"/>
      <c r="M611" s="14"/>
      <c r="N611" s="14"/>
      <c r="O611" s="14"/>
      <c r="P611" s="14"/>
      <c r="Q611" s="14"/>
      <c r="R611" s="14"/>
      <c r="S611" s="14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3.2">
      <c r="A612" s="14"/>
      <c r="B612" s="5">
        <v>4</v>
      </c>
      <c r="C612" s="5">
        <f t="shared" si="137"/>
        <v>32</v>
      </c>
      <c r="D612" s="20">
        <v>43031</v>
      </c>
      <c r="E612" s="11">
        <v>380.9</v>
      </c>
      <c r="F612" s="12">
        <f t="shared" si="143"/>
        <v>4.833333333333333</v>
      </c>
      <c r="G612" s="14"/>
      <c r="H612" s="14"/>
      <c r="I612" s="13">
        <v>83.8</v>
      </c>
      <c r="J612" s="15">
        <f t="shared" ref="J612:J613" si="144">(I611-I612)/(D612-D611)</f>
        <v>2.4333333333333322</v>
      </c>
      <c r="K612" s="13">
        <v>20.8</v>
      </c>
      <c r="L612" s="14"/>
      <c r="M612" s="14"/>
      <c r="N612" s="14"/>
      <c r="O612" s="14"/>
      <c r="P612" s="14"/>
      <c r="Q612" s="14"/>
      <c r="R612" s="14"/>
      <c r="S612" s="14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3.2">
      <c r="A613" s="14"/>
      <c r="B613" s="5">
        <v>4</v>
      </c>
      <c r="C613" s="5">
        <f t="shared" si="137"/>
        <v>34</v>
      </c>
      <c r="D613" s="20">
        <v>43033</v>
      </c>
      <c r="E613" s="11">
        <v>369.6</v>
      </c>
      <c r="F613" s="12">
        <f t="shared" si="143"/>
        <v>5.6499999999999773</v>
      </c>
      <c r="G613" s="14"/>
      <c r="H613" s="14"/>
      <c r="I613" s="13">
        <v>78.400000000000006</v>
      </c>
      <c r="J613" s="15">
        <f t="shared" si="144"/>
        <v>2.6999999999999957</v>
      </c>
      <c r="K613" s="13">
        <v>21.3</v>
      </c>
      <c r="L613" s="14"/>
      <c r="M613" s="14"/>
      <c r="N613" s="14"/>
      <c r="O613" s="14"/>
      <c r="P613" s="14"/>
      <c r="Q613" s="14"/>
      <c r="R613" s="14"/>
      <c r="S613" s="14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3.2">
      <c r="A614" s="14"/>
      <c r="B614" s="5">
        <v>5</v>
      </c>
      <c r="C614" s="5">
        <f t="shared" si="137"/>
        <v>35</v>
      </c>
      <c r="D614" s="20">
        <v>43034</v>
      </c>
      <c r="E614" s="11">
        <v>392.2</v>
      </c>
      <c r="F614" s="12"/>
      <c r="G614" s="14"/>
      <c r="H614" s="14"/>
      <c r="I614" s="15"/>
      <c r="J614" s="15"/>
      <c r="K614" s="15"/>
      <c r="L614" s="14"/>
      <c r="M614" s="14"/>
      <c r="N614" s="14"/>
      <c r="O614" s="14"/>
      <c r="P614" s="14"/>
      <c r="Q614" s="14"/>
      <c r="R614" s="14"/>
      <c r="S614" s="14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3.2">
      <c r="A615" s="14"/>
      <c r="B615" s="5">
        <v>5</v>
      </c>
      <c r="C615" s="5">
        <f t="shared" si="137"/>
        <v>36</v>
      </c>
      <c r="D615" s="20">
        <v>43035</v>
      </c>
      <c r="E615" s="11">
        <v>387.9</v>
      </c>
      <c r="F615" s="12">
        <f t="shared" ref="F615:F617" si="145">(E614-E615)/(D615-D614)</f>
        <v>4.3000000000000114</v>
      </c>
      <c r="G615" s="14"/>
      <c r="H615" s="14"/>
      <c r="I615" s="13">
        <v>73.2</v>
      </c>
      <c r="J615" s="15">
        <f>(I613-I615)/(D615-D613)</f>
        <v>2.6000000000000014</v>
      </c>
      <c r="K615" s="13">
        <v>21.6</v>
      </c>
      <c r="L615" s="14"/>
      <c r="M615" s="14"/>
      <c r="N615" s="14"/>
      <c r="O615" s="14"/>
      <c r="P615" s="14"/>
      <c r="Q615" s="14"/>
      <c r="R615" s="14"/>
      <c r="S615" s="14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3.2">
      <c r="A616" s="14"/>
      <c r="B616" s="5">
        <v>5</v>
      </c>
      <c r="C616" s="5">
        <f t="shared" si="137"/>
        <v>39</v>
      </c>
      <c r="D616" s="20">
        <v>43038</v>
      </c>
      <c r="E616" s="11">
        <v>371.8</v>
      </c>
      <c r="F616" s="12">
        <f t="shared" si="145"/>
        <v>5.3666666666666556</v>
      </c>
      <c r="G616" s="14"/>
      <c r="H616" s="14"/>
      <c r="I616" s="13">
        <v>65</v>
      </c>
      <c r="J616" s="15">
        <f t="shared" ref="J616:J617" si="146">(I615-I616)/(D616-D615)</f>
        <v>2.7333333333333343</v>
      </c>
      <c r="K616" s="13">
        <v>22.5</v>
      </c>
      <c r="L616" s="14"/>
      <c r="M616" s="14"/>
      <c r="N616" s="14"/>
      <c r="O616" s="14"/>
      <c r="P616" s="14"/>
      <c r="Q616" s="14"/>
      <c r="R616" s="14"/>
      <c r="S616" s="14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3.2">
      <c r="A617" s="14"/>
      <c r="B617" s="5">
        <v>5</v>
      </c>
      <c r="C617" s="5">
        <f t="shared" si="137"/>
        <v>41</v>
      </c>
      <c r="D617" s="20">
        <v>43040</v>
      </c>
      <c r="E617" s="11">
        <v>363.3</v>
      </c>
      <c r="F617" s="12">
        <f t="shared" si="145"/>
        <v>4.25</v>
      </c>
      <c r="G617" s="14"/>
      <c r="H617" s="14"/>
      <c r="I617" s="13">
        <v>60</v>
      </c>
      <c r="J617" s="15">
        <f t="shared" si="146"/>
        <v>2.5</v>
      </c>
      <c r="K617" s="13">
        <v>22</v>
      </c>
      <c r="L617" s="14"/>
      <c r="M617" s="14"/>
      <c r="N617" s="14"/>
      <c r="O617" s="14"/>
      <c r="P617" s="14"/>
      <c r="Q617" s="14"/>
      <c r="R617" s="14"/>
      <c r="S617" s="14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3.2">
      <c r="A618" s="14"/>
      <c r="B618" s="5">
        <v>6</v>
      </c>
      <c r="C618" s="5">
        <f t="shared" si="137"/>
        <v>42</v>
      </c>
      <c r="D618" s="20">
        <v>43041</v>
      </c>
      <c r="E618" s="11">
        <v>389.4</v>
      </c>
      <c r="F618" s="12"/>
      <c r="G618" s="14"/>
      <c r="H618" s="14"/>
      <c r="I618" s="15"/>
      <c r="J618" s="14"/>
      <c r="K618" s="15"/>
      <c r="L618" s="14"/>
      <c r="M618" s="14"/>
      <c r="N618" s="14"/>
      <c r="O618" s="14"/>
      <c r="P618" s="14"/>
      <c r="Q618" s="14"/>
      <c r="R618" s="14"/>
      <c r="S618" s="14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3.2">
      <c r="A619" s="14"/>
      <c r="B619" s="5">
        <v>6</v>
      </c>
      <c r="C619" s="5">
        <f t="shared" si="137"/>
        <v>43</v>
      </c>
      <c r="D619" s="20">
        <v>43042</v>
      </c>
      <c r="E619" s="11">
        <v>385.8</v>
      </c>
      <c r="F619" s="12">
        <f t="shared" ref="F619:F621" si="147">(E618-E619)/(D619-D618)</f>
        <v>3.5999999999999659</v>
      </c>
      <c r="G619" s="14"/>
      <c r="H619" s="14"/>
      <c r="I619" s="13">
        <v>55.3</v>
      </c>
      <c r="J619" s="15">
        <f>(I617-I619)/(D619-D617)</f>
        <v>2.3500000000000014</v>
      </c>
      <c r="K619" s="13">
        <v>21.8</v>
      </c>
      <c r="L619" s="14"/>
      <c r="M619" s="14"/>
      <c r="N619" s="14"/>
      <c r="O619" s="14"/>
      <c r="P619" s="14"/>
      <c r="Q619" s="14"/>
      <c r="R619" s="14"/>
      <c r="S619" s="14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3.2">
      <c r="A620" s="14"/>
      <c r="B620" s="5">
        <v>6</v>
      </c>
      <c r="C620" s="5">
        <f t="shared" si="137"/>
        <v>46</v>
      </c>
      <c r="D620" s="20">
        <v>43045</v>
      </c>
      <c r="E620" s="11">
        <v>371</v>
      </c>
      <c r="F620" s="12">
        <f t="shared" si="147"/>
        <v>4.9333333333333371</v>
      </c>
      <c r="G620" s="14"/>
      <c r="H620" s="14"/>
      <c r="I620" s="13">
        <v>46.1</v>
      </c>
      <c r="J620" s="15">
        <f t="shared" ref="J620:J621" si="148">(I619-I620)/(D620-D619)</f>
        <v>3.0666666666666651</v>
      </c>
      <c r="K620" s="13">
        <v>22.9</v>
      </c>
      <c r="L620" s="14"/>
      <c r="M620" s="14"/>
      <c r="N620" s="14"/>
      <c r="O620" s="14"/>
      <c r="P620" s="14"/>
      <c r="Q620" s="14"/>
      <c r="R620" s="14"/>
      <c r="S620" s="14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3.2">
      <c r="A621" s="14"/>
      <c r="B621" s="5">
        <v>6</v>
      </c>
      <c r="C621" s="5">
        <f t="shared" si="137"/>
        <v>48</v>
      </c>
      <c r="D621" s="20">
        <v>43047</v>
      </c>
      <c r="E621" s="11">
        <v>362.6</v>
      </c>
      <c r="F621" s="12">
        <f t="shared" si="147"/>
        <v>4.1999999999999886</v>
      </c>
      <c r="G621" s="14"/>
      <c r="H621" s="14"/>
      <c r="I621" s="13">
        <v>42.9</v>
      </c>
      <c r="J621" s="15">
        <f t="shared" si="148"/>
        <v>1.6000000000000014</v>
      </c>
      <c r="K621" s="13">
        <v>22.1</v>
      </c>
      <c r="L621" s="14"/>
      <c r="M621" s="14"/>
      <c r="N621" s="14"/>
      <c r="O621" s="14"/>
      <c r="P621" s="14"/>
      <c r="Q621" s="14"/>
      <c r="R621" s="14"/>
      <c r="S621" s="14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3.2">
      <c r="A622" s="14"/>
      <c r="B622" s="5">
        <v>7</v>
      </c>
      <c r="C622" s="5">
        <f t="shared" si="137"/>
        <v>49</v>
      </c>
      <c r="D622" s="20">
        <v>43048</v>
      </c>
      <c r="E622" s="11">
        <v>396.3</v>
      </c>
      <c r="F622" s="12"/>
      <c r="G622" s="14"/>
      <c r="H622" s="14"/>
      <c r="I622" s="15"/>
      <c r="J622" s="14"/>
      <c r="K622" s="15"/>
      <c r="L622" s="14"/>
      <c r="M622" s="14"/>
      <c r="N622" s="14"/>
      <c r="O622" s="14"/>
      <c r="P622" s="14"/>
      <c r="Q622" s="14"/>
      <c r="R622" s="14"/>
      <c r="S622" s="14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3.2">
      <c r="A623" s="14"/>
      <c r="B623" s="5">
        <v>7</v>
      </c>
      <c r="C623" s="5">
        <f t="shared" si="137"/>
        <v>50</v>
      </c>
      <c r="D623" s="20">
        <v>43049</v>
      </c>
      <c r="E623" s="11">
        <v>390.7</v>
      </c>
      <c r="F623" s="12">
        <f t="shared" ref="F623:F625" si="149">(E622-E623)/(D623-D622)</f>
        <v>5.6000000000000227</v>
      </c>
      <c r="G623" s="14"/>
      <c r="H623" s="14"/>
      <c r="I623" s="13">
        <v>36.6</v>
      </c>
      <c r="J623" s="15">
        <f>(I621-I623)/(D623-D621)</f>
        <v>3.1499999999999986</v>
      </c>
      <c r="K623" s="13">
        <v>23.2</v>
      </c>
      <c r="L623" s="14"/>
      <c r="M623" s="14"/>
      <c r="N623" s="14"/>
      <c r="O623" s="14"/>
      <c r="P623" s="14"/>
      <c r="Q623" s="14"/>
      <c r="R623" s="14"/>
      <c r="S623" s="14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3.2">
      <c r="A624" s="14"/>
      <c r="B624" s="5">
        <v>7</v>
      </c>
      <c r="C624" s="5">
        <f t="shared" si="137"/>
        <v>53</v>
      </c>
      <c r="D624" s="20">
        <v>43052</v>
      </c>
      <c r="E624" s="11">
        <v>376.9</v>
      </c>
      <c r="F624" s="12">
        <f t="shared" si="149"/>
        <v>4.6000000000000041</v>
      </c>
      <c r="G624" s="14"/>
      <c r="H624" s="14"/>
      <c r="I624" s="13">
        <v>28.9</v>
      </c>
      <c r="J624" s="15">
        <f>(I623-I624)/(D624-D623)</f>
        <v>2.5666666666666678</v>
      </c>
      <c r="K624" s="13">
        <v>23.2</v>
      </c>
      <c r="L624" s="14"/>
      <c r="M624" s="14"/>
      <c r="N624" s="14"/>
      <c r="O624" s="14"/>
      <c r="P624" s="14"/>
      <c r="Q624" s="14"/>
      <c r="R624" s="14"/>
      <c r="S624" s="14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3.2">
      <c r="A625" s="14"/>
      <c r="B625" s="5">
        <v>7</v>
      </c>
      <c r="C625" s="5">
        <f t="shared" si="137"/>
        <v>55</v>
      </c>
      <c r="D625" s="20">
        <v>43054</v>
      </c>
      <c r="E625" s="11">
        <v>355</v>
      </c>
      <c r="F625" s="12">
        <f t="shared" si="149"/>
        <v>10.949999999999989</v>
      </c>
      <c r="G625" s="14"/>
      <c r="H625" s="14"/>
      <c r="I625" s="13">
        <v>105</v>
      </c>
      <c r="J625" s="14"/>
      <c r="K625" s="13">
        <v>24.5</v>
      </c>
      <c r="L625" s="14"/>
      <c r="M625" s="14"/>
      <c r="N625" s="14"/>
      <c r="O625" s="14"/>
      <c r="P625" s="14"/>
      <c r="Q625" s="14"/>
      <c r="R625" s="14"/>
      <c r="S625" s="14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3.2">
      <c r="A626" s="14"/>
      <c r="B626" s="5">
        <v>8</v>
      </c>
      <c r="C626" s="5">
        <f t="shared" si="137"/>
        <v>56</v>
      </c>
      <c r="D626" s="20">
        <v>43055</v>
      </c>
      <c r="E626" s="11">
        <v>395.7</v>
      </c>
      <c r="F626" s="12"/>
      <c r="G626" s="14"/>
      <c r="H626" s="14"/>
      <c r="I626" s="15"/>
      <c r="J626" s="14"/>
      <c r="K626" s="15"/>
      <c r="L626" s="14"/>
      <c r="M626" s="14"/>
      <c r="N626" s="14"/>
      <c r="O626" s="14"/>
      <c r="P626" s="14"/>
      <c r="Q626" s="14"/>
      <c r="R626" s="14"/>
      <c r="S626" s="14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3.2">
      <c r="A627" s="14"/>
      <c r="B627" s="5">
        <v>8</v>
      </c>
      <c r="C627" s="5">
        <f t="shared" si="137"/>
        <v>57</v>
      </c>
      <c r="D627" s="20">
        <v>43056</v>
      </c>
      <c r="E627" s="11">
        <v>387.2</v>
      </c>
      <c r="F627" s="12">
        <f t="shared" ref="F627:F628" si="150">(E626-E627)/(D627-D626)</f>
        <v>8.5</v>
      </c>
      <c r="G627" s="14"/>
      <c r="H627" s="14"/>
      <c r="I627" s="13">
        <v>99.9</v>
      </c>
      <c r="J627" s="15">
        <f>(I625-I627)/(D627-D625)</f>
        <v>2.5499999999999972</v>
      </c>
      <c r="K627" s="13">
        <v>23.9</v>
      </c>
      <c r="L627" s="14"/>
      <c r="M627" s="14"/>
      <c r="N627" s="14"/>
      <c r="O627" s="14"/>
      <c r="P627" s="14"/>
      <c r="Q627" s="14"/>
      <c r="R627" s="14"/>
      <c r="S627" s="14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3.2">
      <c r="A628" s="14"/>
      <c r="B628" s="5">
        <v>8</v>
      </c>
      <c r="C628" s="5">
        <f t="shared" si="137"/>
        <v>60</v>
      </c>
      <c r="D628" s="20">
        <v>43059</v>
      </c>
      <c r="E628" s="11">
        <v>373.6</v>
      </c>
      <c r="F628" s="12">
        <f t="shared" si="150"/>
        <v>4.5333333333333217</v>
      </c>
      <c r="G628" s="14"/>
      <c r="H628" s="14"/>
      <c r="I628" s="13">
        <v>90.6</v>
      </c>
      <c r="J628" s="16">
        <f>(I627-I628)/(D628-D627)</f>
        <v>3.1000000000000036</v>
      </c>
      <c r="K628" s="13">
        <v>24.9</v>
      </c>
      <c r="L628" s="14"/>
      <c r="M628" s="14"/>
      <c r="N628" s="14"/>
      <c r="O628" s="14"/>
      <c r="P628" s="14"/>
      <c r="Q628" s="14"/>
      <c r="R628" s="14"/>
      <c r="S628" s="14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3.2">
      <c r="A629" s="14"/>
      <c r="B629" s="5">
        <v>8</v>
      </c>
      <c r="C629" s="5">
        <f t="shared" si="137"/>
        <v>61</v>
      </c>
      <c r="D629" s="20">
        <v>43060</v>
      </c>
      <c r="E629" s="11">
        <v>370.6</v>
      </c>
      <c r="F629" s="12"/>
      <c r="G629" s="14"/>
      <c r="H629" s="14"/>
      <c r="I629" s="15"/>
      <c r="J629" s="14"/>
      <c r="K629" s="15"/>
      <c r="L629" s="14"/>
      <c r="M629" s="14"/>
      <c r="N629" s="14"/>
      <c r="O629" s="14"/>
      <c r="P629" s="14"/>
      <c r="Q629" s="14"/>
      <c r="R629" s="14"/>
      <c r="S629" s="14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3.2">
      <c r="A630" s="14"/>
      <c r="B630" s="5">
        <v>8</v>
      </c>
      <c r="C630" s="5">
        <f t="shared" si="137"/>
        <v>62</v>
      </c>
      <c r="D630" s="20">
        <v>43061</v>
      </c>
      <c r="E630" s="11">
        <v>365.4</v>
      </c>
      <c r="F630" s="12">
        <f>(E629-E630)/(D630-D629)</f>
        <v>5.2000000000000455</v>
      </c>
      <c r="G630" s="14"/>
      <c r="H630" s="14"/>
      <c r="I630" s="13">
        <v>84.6</v>
      </c>
      <c r="J630" s="15">
        <f>(I628-I630)/(D630-D628)</f>
        <v>3</v>
      </c>
      <c r="K630" s="13">
        <v>24.1</v>
      </c>
      <c r="L630" s="14"/>
      <c r="M630" s="14"/>
      <c r="N630" s="14"/>
      <c r="O630" s="14"/>
      <c r="P630" s="14"/>
      <c r="Q630" s="14"/>
      <c r="R630" s="14"/>
      <c r="S630" s="14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3.2">
      <c r="A631" s="14"/>
      <c r="B631" s="5">
        <v>9</v>
      </c>
      <c r="C631" s="5">
        <f t="shared" si="137"/>
        <v>63</v>
      </c>
      <c r="D631" s="20">
        <v>43062</v>
      </c>
      <c r="E631" s="11"/>
      <c r="F631" s="12"/>
      <c r="G631" s="14"/>
      <c r="H631" s="14"/>
      <c r="I631" s="13"/>
      <c r="J631" s="16"/>
      <c r="K631" s="13"/>
      <c r="L631" s="14"/>
      <c r="M631" s="14"/>
      <c r="N631" s="14"/>
      <c r="O631" s="14"/>
      <c r="P631" s="14"/>
      <c r="Q631" s="14"/>
      <c r="R631" s="14"/>
      <c r="S631" s="14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3.2">
      <c r="A632" s="14"/>
      <c r="B632" s="5">
        <v>9</v>
      </c>
      <c r="C632" s="5">
        <f t="shared" si="137"/>
        <v>64</v>
      </c>
      <c r="D632" s="20">
        <v>43063</v>
      </c>
      <c r="E632" s="11">
        <v>354.6</v>
      </c>
      <c r="F632" s="12">
        <f>(E630-E632)/(D632-D630)</f>
        <v>5.3999999999999773</v>
      </c>
      <c r="G632" s="14"/>
      <c r="H632" s="14"/>
      <c r="I632" s="13">
        <v>78.7</v>
      </c>
      <c r="J632" s="16">
        <f>(I630-I632)/(D632-D630)</f>
        <v>2.9499999999999957</v>
      </c>
      <c r="K632" s="13">
        <v>24.4</v>
      </c>
      <c r="L632" s="14"/>
      <c r="M632" s="14"/>
      <c r="N632" s="14"/>
      <c r="O632" s="14"/>
      <c r="P632" s="14"/>
      <c r="Q632" s="14"/>
      <c r="R632" s="14"/>
      <c r="S632" s="14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3.2">
      <c r="A633" s="14"/>
      <c r="B633" s="5">
        <v>9</v>
      </c>
      <c r="C633" s="5">
        <f t="shared" si="137"/>
        <v>67</v>
      </c>
      <c r="D633" s="23">
        <v>43066</v>
      </c>
      <c r="E633" s="11">
        <v>342.1</v>
      </c>
      <c r="F633" s="12">
        <f t="shared" ref="F633:F634" si="151">(E632-E633)/(D633-D632)</f>
        <v>4.166666666666667</v>
      </c>
      <c r="G633" s="14"/>
      <c r="H633" s="14"/>
      <c r="I633" s="13">
        <v>69.8</v>
      </c>
      <c r="J633" s="16">
        <f t="shared" ref="J633:J634" si="152">(I632-I633)/(D633-D632)</f>
        <v>2.9666666666666686</v>
      </c>
      <c r="K633" s="13">
        <v>24.8</v>
      </c>
      <c r="L633" s="14"/>
      <c r="M633" s="14"/>
      <c r="N633" s="14"/>
      <c r="O633" s="14"/>
      <c r="P633" s="14"/>
      <c r="Q633" s="14"/>
      <c r="R633" s="14"/>
      <c r="S633" s="14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3.2">
      <c r="A634" s="14"/>
      <c r="B634" s="5">
        <v>9</v>
      </c>
      <c r="C634" s="5">
        <f t="shared" si="137"/>
        <v>69</v>
      </c>
      <c r="D634" s="23">
        <v>43068</v>
      </c>
      <c r="E634" s="11">
        <v>331.5</v>
      </c>
      <c r="F634" s="12">
        <f t="shared" si="151"/>
        <v>5.3000000000000114</v>
      </c>
      <c r="G634" s="14"/>
      <c r="H634" s="14"/>
      <c r="I634" s="13">
        <v>63.7</v>
      </c>
      <c r="J634" s="16">
        <f t="shared" si="152"/>
        <v>3.0499999999999972</v>
      </c>
      <c r="K634" s="13">
        <v>24.6</v>
      </c>
      <c r="L634" s="14"/>
      <c r="M634" s="14"/>
      <c r="N634" s="14"/>
      <c r="O634" s="14"/>
      <c r="P634" s="14"/>
      <c r="Q634" s="14"/>
      <c r="R634" s="14"/>
      <c r="S634" s="14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3.2">
      <c r="A635" s="14"/>
      <c r="B635" s="5">
        <v>10</v>
      </c>
      <c r="C635" s="5">
        <f t="shared" si="137"/>
        <v>70</v>
      </c>
      <c r="D635" s="23">
        <v>43069</v>
      </c>
      <c r="E635" s="11">
        <v>401.7</v>
      </c>
      <c r="F635" s="12"/>
      <c r="G635" s="14"/>
      <c r="H635" s="14"/>
      <c r="I635" s="15"/>
      <c r="J635" s="14"/>
      <c r="K635" s="15"/>
      <c r="L635" s="14"/>
      <c r="M635" s="14"/>
      <c r="N635" s="14"/>
      <c r="O635" s="14"/>
      <c r="P635" s="14"/>
      <c r="Q635" s="14"/>
      <c r="R635" s="14"/>
      <c r="S635" s="14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3.2">
      <c r="A636" s="14"/>
      <c r="B636" s="5">
        <v>10</v>
      </c>
      <c r="C636" s="5">
        <f t="shared" si="137"/>
        <v>71</v>
      </c>
      <c r="D636" s="23">
        <v>43070</v>
      </c>
      <c r="E636" s="11">
        <v>393.3</v>
      </c>
      <c r="F636" s="12">
        <f t="shared" ref="F636:F638" si="153">(E635-E636)/(D636-D635)</f>
        <v>8.3999999999999773</v>
      </c>
      <c r="G636" s="14"/>
      <c r="H636" s="14"/>
      <c r="I636" s="13">
        <v>58.6</v>
      </c>
      <c r="J636" s="15">
        <f>(I634-I636)/(D636-D634)</f>
        <v>2.5500000000000007</v>
      </c>
      <c r="K636" s="13">
        <v>24</v>
      </c>
      <c r="L636" s="14"/>
      <c r="M636" s="14"/>
      <c r="N636" s="14"/>
      <c r="O636" s="14"/>
      <c r="P636" s="14"/>
      <c r="Q636" s="14"/>
      <c r="R636" s="14"/>
      <c r="S636" s="14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3.2">
      <c r="A637" s="14"/>
      <c r="B637" s="5">
        <v>10</v>
      </c>
      <c r="C637" s="5">
        <f t="shared" si="137"/>
        <v>74</v>
      </c>
      <c r="D637" s="23">
        <v>43073</v>
      </c>
      <c r="E637" s="11">
        <v>381.9</v>
      </c>
      <c r="F637" s="12">
        <f t="shared" si="153"/>
        <v>3.8000000000000114</v>
      </c>
      <c r="G637" s="14"/>
      <c r="H637" s="14"/>
      <c r="I637" s="13">
        <v>47.5</v>
      </c>
      <c r="J637" s="16">
        <f t="shared" ref="J637:J638" si="154">(I636-I637)/(D637-D636)</f>
        <v>3.7000000000000006</v>
      </c>
      <c r="K637" s="13">
        <v>24.7</v>
      </c>
      <c r="L637" s="14"/>
      <c r="M637" s="14"/>
      <c r="N637" s="14"/>
      <c r="O637" s="14"/>
      <c r="P637" s="14"/>
      <c r="Q637" s="14"/>
      <c r="R637" s="14"/>
      <c r="S637" s="14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3.2">
      <c r="A638" s="14"/>
      <c r="B638" s="5">
        <v>10</v>
      </c>
      <c r="C638" s="5">
        <f t="shared" si="137"/>
        <v>76</v>
      </c>
      <c r="D638" s="23">
        <v>43075</v>
      </c>
      <c r="E638" s="11">
        <v>370.7</v>
      </c>
      <c r="F638" s="12">
        <f t="shared" si="153"/>
        <v>5.5999999999999943</v>
      </c>
      <c r="G638" s="14"/>
      <c r="H638" s="14"/>
      <c r="I638" s="13">
        <v>41.5</v>
      </c>
      <c r="J638" s="16">
        <f t="shared" si="154"/>
        <v>3</v>
      </c>
      <c r="K638" s="13">
        <v>25</v>
      </c>
      <c r="L638" s="14"/>
      <c r="M638" s="14"/>
      <c r="N638" s="14"/>
      <c r="O638" s="14"/>
      <c r="P638" s="14"/>
      <c r="Q638" s="14"/>
      <c r="R638" s="14"/>
      <c r="S638" s="14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3.2">
      <c r="A639" s="14"/>
      <c r="B639" s="5">
        <v>11</v>
      </c>
      <c r="C639" s="5">
        <f t="shared" si="137"/>
        <v>77</v>
      </c>
      <c r="D639" s="24">
        <v>43076</v>
      </c>
      <c r="E639" s="11">
        <v>373.1</v>
      </c>
      <c r="F639" s="12"/>
      <c r="G639" s="14"/>
      <c r="H639" s="14"/>
      <c r="I639" s="15"/>
      <c r="J639" s="14"/>
      <c r="K639" s="15"/>
      <c r="L639" s="14"/>
      <c r="M639" s="14"/>
      <c r="N639" s="14"/>
      <c r="O639" s="14"/>
      <c r="P639" s="14"/>
      <c r="Q639" s="14"/>
      <c r="R639" s="14"/>
      <c r="S639" s="14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3.2">
      <c r="A640" s="14"/>
      <c r="B640" s="5">
        <v>11</v>
      </c>
      <c r="C640" s="5">
        <f t="shared" si="137"/>
        <v>78</v>
      </c>
      <c r="D640" s="24">
        <v>43077</v>
      </c>
      <c r="E640" s="11">
        <v>366.3</v>
      </c>
      <c r="F640" s="12">
        <f t="shared" ref="F640:F642" si="155">(E639-E640)/(D640-D639)</f>
        <v>6.8000000000000114</v>
      </c>
      <c r="G640" s="14"/>
      <c r="H640" s="14"/>
      <c r="I640" s="13">
        <v>65.400000000000006</v>
      </c>
      <c r="J640" s="15"/>
      <c r="K640" s="13">
        <v>26.2</v>
      </c>
      <c r="L640" s="14"/>
      <c r="M640" s="14"/>
      <c r="N640" s="14"/>
      <c r="O640" s="14"/>
      <c r="P640" s="14"/>
      <c r="Q640" s="14"/>
      <c r="R640" s="14"/>
      <c r="S640" s="14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3.2">
      <c r="A641" s="14"/>
      <c r="B641" s="5">
        <v>11</v>
      </c>
      <c r="C641" s="5">
        <f t="shared" si="137"/>
        <v>81</v>
      </c>
      <c r="D641" s="24">
        <v>43080</v>
      </c>
      <c r="E641" s="11">
        <v>356.7</v>
      </c>
      <c r="F641" s="12">
        <f t="shared" si="155"/>
        <v>3.2000000000000077</v>
      </c>
      <c r="G641" s="14"/>
      <c r="H641" s="14"/>
      <c r="I641" s="13">
        <v>55.9</v>
      </c>
      <c r="J641" s="16">
        <f t="shared" ref="J641:J642" si="156">(I640-I641)/(D641-D640)</f>
        <v>3.1666666666666692</v>
      </c>
      <c r="K641" s="13">
        <v>26.6</v>
      </c>
      <c r="L641" s="14"/>
      <c r="M641" s="14"/>
      <c r="N641" s="14"/>
      <c r="O641" s="14"/>
      <c r="P641" s="14"/>
      <c r="Q641" s="14"/>
      <c r="R641" s="14"/>
      <c r="S641" s="14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26.4">
      <c r="A642" s="5" t="s">
        <v>45</v>
      </c>
      <c r="B642" s="5">
        <v>11</v>
      </c>
      <c r="C642" s="5">
        <f t="shared" si="137"/>
        <v>83</v>
      </c>
      <c r="D642" s="25">
        <v>43082</v>
      </c>
      <c r="E642" s="11">
        <v>342.6</v>
      </c>
      <c r="F642" s="12">
        <f t="shared" si="155"/>
        <v>7.0499999999999829</v>
      </c>
      <c r="G642" s="14"/>
      <c r="H642" s="14"/>
      <c r="I642" s="13">
        <v>50.9</v>
      </c>
      <c r="J642" s="16">
        <f t="shared" si="156"/>
        <v>2.5</v>
      </c>
      <c r="K642" s="13">
        <v>27.8</v>
      </c>
      <c r="L642" s="14"/>
      <c r="M642" s="14"/>
      <c r="N642" s="14"/>
      <c r="O642" s="14"/>
      <c r="P642" s="14"/>
      <c r="Q642" s="14"/>
      <c r="R642" s="14"/>
      <c r="S642" s="14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3.2">
      <c r="A643" s="14"/>
      <c r="B643" s="5">
        <v>12</v>
      </c>
      <c r="C643" s="5">
        <f t="shared" si="137"/>
        <v>84</v>
      </c>
      <c r="D643" s="24">
        <v>43083</v>
      </c>
      <c r="E643" s="12"/>
      <c r="F643" s="12"/>
      <c r="G643" s="14"/>
      <c r="H643" s="14"/>
      <c r="I643" s="15"/>
      <c r="J643" s="14"/>
      <c r="K643" s="13"/>
      <c r="L643" s="14"/>
      <c r="M643" s="14"/>
      <c r="N643" s="14"/>
      <c r="O643" s="14"/>
      <c r="P643" s="14"/>
      <c r="Q643" s="14"/>
      <c r="R643" s="14"/>
      <c r="S643" s="14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3.2">
      <c r="A644" s="26" t="s">
        <v>28</v>
      </c>
      <c r="B644" s="26">
        <v>12</v>
      </c>
      <c r="C644" s="26">
        <f t="shared" si="137"/>
        <v>85</v>
      </c>
      <c r="D644" s="27">
        <v>43084</v>
      </c>
      <c r="E644" s="28"/>
      <c r="F644" s="28"/>
      <c r="G644" s="29"/>
      <c r="H644" s="29"/>
      <c r="I644" s="30"/>
      <c r="J644" s="29"/>
      <c r="K644" s="31">
        <v>27.7</v>
      </c>
      <c r="L644" s="29"/>
      <c r="M644" s="29"/>
      <c r="N644" s="29"/>
      <c r="O644" s="29"/>
      <c r="P644" s="29"/>
      <c r="Q644" s="29"/>
      <c r="R644" s="29"/>
      <c r="S644" s="14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3.2">
      <c r="A645" s="14"/>
      <c r="B645" s="5">
        <v>12</v>
      </c>
      <c r="C645" s="5">
        <f t="shared" si="137"/>
        <v>98</v>
      </c>
      <c r="D645" s="32">
        <v>43097</v>
      </c>
      <c r="E645" s="12"/>
      <c r="F645" s="12"/>
      <c r="G645" s="14"/>
      <c r="H645" s="14"/>
      <c r="I645" s="33">
        <v>73</v>
      </c>
      <c r="J645" s="14"/>
      <c r="K645" s="33">
        <v>31.7</v>
      </c>
      <c r="L645" s="14"/>
      <c r="M645" s="14"/>
      <c r="N645" s="14"/>
      <c r="O645" s="14"/>
      <c r="P645" s="14"/>
      <c r="Q645" s="14"/>
      <c r="R645" s="14"/>
      <c r="S645" s="14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3.2">
      <c r="A646" s="14"/>
      <c r="B646" s="5">
        <v>12</v>
      </c>
      <c r="C646" s="5">
        <f t="shared" si="137"/>
        <v>105</v>
      </c>
      <c r="D646" s="32">
        <v>43104</v>
      </c>
      <c r="E646" s="12"/>
      <c r="F646" s="12"/>
      <c r="G646" s="14"/>
      <c r="H646" s="14"/>
      <c r="I646" s="33">
        <v>52.9</v>
      </c>
      <c r="J646" s="14"/>
      <c r="K646" s="33">
        <v>31.5</v>
      </c>
      <c r="L646" s="14"/>
      <c r="M646" s="14"/>
      <c r="N646" s="14"/>
      <c r="O646" s="14"/>
      <c r="P646" s="14"/>
      <c r="Q646" s="14"/>
      <c r="R646" s="14"/>
      <c r="S646" s="14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3.2">
      <c r="A647" s="14"/>
      <c r="B647" s="14"/>
      <c r="C647" s="5">
        <f t="shared" si="137"/>
        <v>112</v>
      </c>
      <c r="D647" s="32">
        <v>43111</v>
      </c>
      <c r="E647" s="12"/>
      <c r="F647" s="12"/>
      <c r="G647" s="14"/>
      <c r="H647" s="14"/>
      <c r="I647" s="33">
        <v>44.9</v>
      </c>
      <c r="J647" s="14"/>
      <c r="K647" s="33">
        <v>27.1</v>
      </c>
      <c r="L647" s="14"/>
      <c r="M647" s="14"/>
      <c r="N647" s="14"/>
      <c r="O647" s="14"/>
      <c r="P647" s="14"/>
      <c r="Q647" s="14"/>
      <c r="R647" s="14"/>
      <c r="S647" s="14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3.2">
      <c r="A648" s="14"/>
      <c r="B648" s="14"/>
      <c r="C648" s="5">
        <f t="shared" si="137"/>
        <v>116</v>
      </c>
      <c r="D648" s="34">
        <v>43115</v>
      </c>
      <c r="E648" s="12"/>
      <c r="F648" s="12"/>
      <c r="G648" s="14"/>
      <c r="H648" s="14"/>
      <c r="I648" s="33">
        <v>36.1</v>
      </c>
      <c r="J648" s="14"/>
      <c r="K648" s="33">
        <v>28.2</v>
      </c>
      <c r="L648" s="14"/>
      <c r="M648" s="14"/>
      <c r="N648" s="14"/>
      <c r="O648" s="14"/>
      <c r="P648" s="14"/>
      <c r="Q648" s="14"/>
      <c r="R648" s="14"/>
      <c r="S648" s="14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3.2">
      <c r="A649" s="14"/>
      <c r="B649" s="14"/>
      <c r="C649" s="5">
        <f t="shared" si="137"/>
        <v>117</v>
      </c>
      <c r="D649" s="20">
        <v>43116</v>
      </c>
      <c r="E649" s="12"/>
      <c r="F649" s="12"/>
      <c r="G649" s="14"/>
      <c r="H649" s="14"/>
      <c r="I649" s="33">
        <v>33.4</v>
      </c>
      <c r="J649" s="14"/>
      <c r="K649" s="33">
        <v>28.3</v>
      </c>
      <c r="L649" s="14"/>
      <c r="M649" s="14"/>
      <c r="N649" s="14"/>
      <c r="O649" s="14"/>
      <c r="P649" s="14"/>
      <c r="Q649" s="14"/>
      <c r="R649" s="14"/>
      <c r="S649" s="14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3.2">
      <c r="A650" s="14"/>
      <c r="B650" s="14"/>
      <c r="C650" s="5">
        <v>118</v>
      </c>
      <c r="D650" s="32">
        <v>43117</v>
      </c>
      <c r="E650" s="12"/>
      <c r="F650" s="12"/>
      <c r="G650" s="14"/>
      <c r="H650" s="14"/>
      <c r="I650" s="33">
        <v>55.2</v>
      </c>
      <c r="J650" s="14"/>
      <c r="K650" s="33">
        <v>28.9</v>
      </c>
      <c r="L650" s="14"/>
      <c r="M650" s="14"/>
      <c r="N650" s="14"/>
      <c r="O650" s="14"/>
      <c r="P650" s="14"/>
      <c r="Q650" s="14"/>
      <c r="R650" s="14"/>
      <c r="S650" s="14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3.2">
      <c r="A651" s="14"/>
      <c r="B651" s="14"/>
      <c r="C651" s="5">
        <v>119</v>
      </c>
      <c r="D651" s="32">
        <v>43118</v>
      </c>
      <c r="E651" s="12"/>
      <c r="F651" s="12"/>
      <c r="G651" s="14"/>
      <c r="H651" s="14"/>
      <c r="I651" s="33">
        <v>52.7</v>
      </c>
      <c r="J651" s="14"/>
      <c r="K651" s="33">
        <v>29.5</v>
      </c>
      <c r="L651" s="14"/>
      <c r="M651" s="14"/>
      <c r="N651" s="14"/>
      <c r="O651" s="14"/>
      <c r="P651" s="14"/>
      <c r="Q651" s="14"/>
      <c r="R651" s="14"/>
      <c r="S651" s="14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26.4">
      <c r="A652" s="5" t="s">
        <v>82</v>
      </c>
      <c r="B652" s="14"/>
      <c r="C652" s="5">
        <v>120</v>
      </c>
      <c r="D652" s="122">
        <v>43119</v>
      </c>
      <c r="E652" s="12"/>
      <c r="F652" s="12"/>
      <c r="G652" s="14"/>
      <c r="H652" s="14"/>
      <c r="I652" s="127" t="s">
        <v>71</v>
      </c>
      <c r="J652" s="14"/>
      <c r="K652" s="127">
        <v>28.9</v>
      </c>
      <c r="L652" s="14"/>
      <c r="M652" s="14"/>
      <c r="N652" s="14"/>
      <c r="O652" s="14"/>
      <c r="P652" s="14"/>
      <c r="Q652" s="14"/>
      <c r="R652" s="14"/>
      <c r="S652" s="14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3.2">
      <c r="A653" s="14"/>
      <c r="B653" s="14"/>
      <c r="C653" s="5">
        <v>121</v>
      </c>
      <c r="D653" s="122">
        <v>43120</v>
      </c>
      <c r="E653" s="12"/>
      <c r="F653" s="12"/>
      <c r="G653" s="14"/>
      <c r="H653" s="14"/>
      <c r="I653" s="127" t="s">
        <v>71</v>
      </c>
      <c r="J653" s="14"/>
      <c r="K653" s="127">
        <v>29.4</v>
      </c>
      <c r="L653" s="14"/>
      <c r="M653" s="14"/>
      <c r="N653" s="14"/>
      <c r="O653" s="14"/>
      <c r="P653" s="14"/>
      <c r="Q653" s="14"/>
      <c r="R653" s="14"/>
      <c r="S653" s="14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3.2">
      <c r="A654" s="14"/>
      <c r="B654" s="14"/>
      <c r="C654" s="5">
        <v>122</v>
      </c>
      <c r="D654" s="122">
        <v>43121</v>
      </c>
      <c r="E654" s="12"/>
      <c r="F654" s="12"/>
      <c r="G654" s="14"/>
      <c r="H654" s="14"/>
      <c r="I654" s="127" t="s">
        <v>71</v>
      </c>
      <c r="J654" s="14"/>
      <c r="K654" s="127">
        <v>29.3</v>
      </c>
      <c r="L654" s="14"/>
      <c r="M654" s="14"/>
      <c r="N654" s="14"/>
      <c r="O654" s="14"/>
      <c r="P654" s="14"/>
      <c r="Q654" s="14"/>
      <c r="R654" s="14"/>
      <c r="S654" s="14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3.2">
      <c r="A655" s="14"/>
      <c r="B655" s="14"/>
      <c r="C655" s="5">
        <v>123</v>
      </c>
      <c r="D655" s="122">
        <v>43122</v>
      </c>
      <c r="E655" s="12"/>
      <c r="F655" s="12"/>
      <c r="G655" s="14"/>
      <c r="H655" s="14"/>
      <c r="I655" s="127" t="s">
        <v>71</v>
      </c>
      <c r="J655" s="14"/>
      <c r="K655" s="127">
        <v>29.1</v>
      </c>
      <c r="L655" s="14"/>
      <c r="M655" s="14"/>
      <c r="N655" s="14"/>
      <c r="O655" s="14"/>
      <c r="P655" s="14"/>
      <c r="Q655" s="14"/>
      <c r="R655" s="14"/>
      <c r="S655" s="14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3.2">
      <c r="A656" s="14"/>
      <c r="B656" s="14"/>
      <c r="C656" s="5">
        <v>124</v>
      </c>
      <c r="D656" s="122">
        <v>43123</v>
      </c>
      <c r="E656" s="12"/>
      <c r="F656" s="12"/>
      <c r="G656" s="14"/>
      <c r="H656" s="14"/>
      <c r="I656" s="127" t="s">
        <v>71</v>
      </c>
      <c r="J656" s="14"/>
      <c r="K656" s="127">
        <v>29.3</v>
      </c>
      <c r="L656" s="14"/>
      <c r="M656" s="14"/>
      <c r="N656" s="14"/>
      <c r="O656" s="14"/>
      <c r="P656" s="14"/>
      <c r="Q656" s="14"/>
      <c r="R656" s="14"/>
      <c r="S656" s="14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3.2">
      <c r="A657" s="14"/>
      <c r="B657" s="14"/>
      <c r="C657" s="5">
        <v>125</v>
      </c>
      <c r="D657" s="119">
        <v>43124</v>
      </c>
      <c r="E657" s="12"/>
      <c r="F657" s="12"/>
      <c r="G657" s="14"/>
      <c r="H657" s="14"/>
      <c r="I657" s="127" t="s">
        <v>71</v>
      </c>
      <c r="J657" s="14"/>
      <c r="K657" s="127">
        <v>29.5</v>
      </c>
      <c r="L657" s="14"/>
      <c r="M657" s="14"/>
      <c r="N657" s="14"/>
      <c r="O657" s="14"/>
      <c r="P657" s="14"/>
      <c r="Q657" s="14"/>
      <c r="R657" s="14"/>
      <c r="S657" s="14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3.2">
      <c r="A658" s="14"/>
      <c r="B658" s="14"/>
      <c r="C658" s="5">
        <v>126</v>
      </c>
      <c r="D658" s="119">
        <v>43125</v>
      </c>
      <c r="E658" s="12"/>
      <c r="F658" s="12"/>
      <c r="G658" s="14"/>
      <c r="H658" s="14"/>
      <c r="I658" s="127" t="s">
        <v>71</v>
      </c>
      <c r="J658" s="14"/>
      <c r="K658" s="127">
        <v>29.3</v>
      </c>
      <c r="L658" s="14"/>
      <c r="M658" s="14"/>
      <c r="N658" s="14"/>
      <c r="O658" s="14"/>
      <c r="P658" s="14"/>
      <c r="Q658" s="14"/>
      <c r="R658" s="14"/>
      <c r="S658" s="14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3.2">
      <c r="A659" s="14"/>
      <c r="B659" s="14"/>
      <c r="C659" s="5">
        <v>127</v>
      </c>
      <c r="D659" s="119">
        <v>43126</v>
      </c>
      <c r="E659" s="12"/>
      <c r="F659" s="12"/>
      <c r="G659" s="14"/>
      <c r="H659" s="14"/>
      <c r="I659" s="127" t="s">
        <v>71</v>
      </c>
      <c r="J659" s="14"/>
      <c r="K659" s="127">
        <v>29.4</v>
      </c>
      <c r="L659" s="14"/>
      <c r="M659" s="14"/>
      <c r="N659" s="14"/>
      <c r="O659" s="14"/>
      <c r="P659" s="14"/>
      <c r="Q659" s="14"/>
      <c r="R659" s="14"/>
      <c r="S659" s="14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3.2">
      <c r="A660" s="14"/>
      <c r="B660" s="14"/>
      <c r="C660" s="5">
        <v>128</v>
      </c>
      <c r="D660" s="119">
        <v>43127</v>
      </c>
      <c r="E660" s="12"/>
      <c r="F660" s="12"/>
      <c r="G660" s="14"/>
      <c r="H660" s="14"/>
      <c r="I660" s="127" t="s">
        <v>71</v>
      </c>
      <c r="J660" s="14"/>
      <c r="K660" s="127">
        <v>29.6</v>
      </c>
      <c r="L660" s="14"/>
      <c r="M660" s="14"/>
      <c r="N660" s="14"/>
      <c r="O660" s="14"/>
      <c r="P660" s="14"/>
      <c r="Q660" s="14"/>
      <c r="R660" s="14"/>
      <c r="S660" s="14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3.2">
      <c r="A661" s="14"/>
      <c r="B661" s="14"/>
      <c r="C661" s="5">
        <v>129</v>
      </c>
      <c r="D661" s="119">
        <v>43128</v>
      </c>
      <c r="E661" s="12"/>
      <c r="F661" s="12"/>
      <c r="G661" s="14"/>
      <c r="H661" s="14"/>
      <c r="I661" s="127" t="s">
        <v>71</v>
      </c>
      <c r="J661" s="14"/>
      <c r="K661" s="127">
        <v>29.8</v>
      </c>
      <c r="L661" s="14"/>
      <c r="M661" s="14"/>
      <c r="N661" s="14"/>
      <c r="O661" s="14"/>
      <c r="P661" s="14"/>
      <c r="Q661" s="14"/>
      <c r="R661" s="14"/>
      <c r="S661" s="14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3.2">
      <c r="A662" s="14"/>
      <c r="B662" s="14"/>
      <c r="C662" s="5">
        <v>130</v>
      </c>
      <c r="D662" s="119">
        <v>43129</v>
      </c>
      <c r="E662" s="12"/>
      <c r="F662" s="12"/>
      <c r="G662" s="14"/>
      <c r="H662" s="14"/>
      <c r="I662" s="127" t="s">
        <v>71</v>
      </c>
      <c r="J662" s="14"/>
      <c r="K662" s="127">
        <v>29.1</v>
      </c>
      <c r="L662" s="14"/>
      <c r="M662" s="14"/>
      <c r="N662" s="14"/>
      <c r="O662" s="14"/>
      <c r="P662" s="14"/>
      <c r="Q662" s="14"/>
      <c r="R662" s="14"/>
      <c r="S662" s="14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3.2">
      <c r="A663" s="14"/>
      <c r="B663" s="14"/>
      <c r="C663" s="5">
        <v>131</v>
      </c>
      <c r="D663" s="119">
        <v>43130</v>
      </c>
      <c r="E663" s="12"/>
      <c r="F663" s="12"/>
      <c r="G663" s="14"/>
      <c r="H663" s="14"/>
      <c r="I663" s="120" t="s">
        <v>71</v>
      </c>
      <c r="J663" s="14"/>
      <c r="K663" s="120">
        <v>28.5</v>
      </c>
      <c r="L663" s="14"/>
      <c r="M663" s="14"/>
      <c r="N663" s="14"/>
      <c r="O663" s="14"/>
      <c r="P663" s="14"/>
      <c r="Q663" s="14"/>
      <c r="R663" s="14"/>
      <c r="S663" s="14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3.2">
      <c r="A664" s="14"/>
      <c r="B664" s="14"/>
      <c r="C664" s="5">
        <v>132</v>
      </c>
      <c r="D664" s="121">
        <v>43131</v>
      </c>
      <c r="E664" s="12"/>
      <c r="F664" s="12"/>
      <c r="G664" s="14"/>
      <c r="H664" s="14"/>
      <c r="I664" s="120" t="s">
        <v>71</v>
      </c>
      <c r="J664" s="14"/>
      <c r="K664" s="120">
        <v>28.2</v>
      </c>
      <c r="L664" s="14"/>
      <c r="M664" s="14"/>
      <c r="N664" s="14"/>
      <c r="O664" s="14"/>
      <c r="P664" s="14"/>
      <c r="Q664" s="14"/>
      <c r="R664" s="14"/>
      <c r="S664" s="14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3.2">
      <c r="A665" s="14"/>
      <c r="B665" s="14"/>
      <c r="C665" s="5">
        <v>133</v>
      </c>
      <c r="D665" s="122">
        <v>43132</v>
      </c>
      <c r="E665" s="12"/>
      <c r="F665" s="12"/>
      <c r="G665" s="14"/>
      <c r="H665" s="14"/>
      <c r="I665" s="120" t="s">
        <v>71</v>
      </c>
      <c r="J665" s="123"/>
      <c r="K665" s="120">
        <v>28</v>
      </c>
      <c r="L665" s="14"/>
      <c r="M665" s="14"/>
      <c r="N665" s="14"/>
      <c r="O665" s="14"/>
      <c r="P665" s="14"/>
      <c r="Q665" s="14"/>
      <c r="R665" s="14"/>
      <c r="S665" s="14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3.2">
      <c r="A666" s="14"/>
      <c r="B666" s="14"/>
      <c r="C666" s="5">
        <v>134</v>
      </c>
      <c r="D666" s="122">
        <v>43133</v>
      </c>
      <c r="E666" s="12"/>
      <c r="F666" s="12"/>
      <c r="G666" s="14"/>
      <c r="H666" s="14"/>
      <c r="I666" s="124" t="s">
        <v>71</v>
      </c>
      <c r="J666" s="123"/>
      <c r="K666" s="120">
        <v>27.9</v>
      </c>
      <c r="L666" s="14"/>
      <c r="M666" s="14"/>
      <c r="N666" s="14"/>
      <c r="O666" s="14"/>
      <c r="P666" s="14"/>
      <c r="Q666" s="14"/>
      <c r="R666" s="14"/>
      <c r="S666" s="14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3.2">
      <c r="A667" s="14"/>
      <c r="B667" s="14"/>
      <c r="C667" s="5">
        <v>135</v>
      </c>
      <c r="D667" s="122">
        <v>43134</v>
      </c>
      <c r="E667" s="12"/>
      <c r="F667" s="12"/>
      <c r="G667" s="14"/>
      <c r="H667" s="14"/>
      <c r="I667" s="124" t="s">
        <v>71</v>
      </c>
      <c r="J667" s="123"/>
      <c r="K667" s="120">
        <v>27.5</v>
      </c>
      <c r="L667" s="14"/>
      <c r="M667" s="14"/>
      <c r="N667" s="14"/>
      <c r="O667" s="14"/>
      <c r="P667" s="14"/>
      <c r="Q667" s="14"/>
      <c r="R667" s="14"/>
      <c r="S667" s="14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3.2">
      <c r="A668" s="14"/>
      <c r="B668" s="14"/>
      <c r="C668" s="5">
        <v>136</v>
      </c>
      <c r="D668" s="122">
        <v>43135</v>
      </c>
      <c r="E668" s="12"/>
      <c r="F668" s="12"/>
      <c r="G668" s="14"/>
      <c r="H668" s="14"/>
      <c r="I668" s="124" t="s">
        <v>71</v>
      </c>
      <c r="J668" s="123"/>
      <c r="K668" s="120">
        <v>27</v>
      </c>
      <c r="L668" s="14"/>
      <c r="M668" s="14"/>
      <c r="N668" s="14"/>
      <c r="O668" s="14"/>
      <c r="P668" s="14"/>
      <c r="Q668" s="14"/>
      <c r="R668" s="14"/>
      <c r="S668" s="14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3.2">
      <c r="A669" s="14"/>
      <c r="B669" s="14"/>
      <c r="C669" s="5">
        <v>137</v>
      </c>
      <c r="D669" s="122">
        <v>43136</v>
      </c>
      <c r="E669" s="12"/>
      <c r="F669" s="12"/>
      <c r="G669" s="14"/>
      <c r="H669" s="14"/>
      <c r="I669" s="124" t="s">
        <v>71</v>
      </c>
      <c r="J669" s="123"/>
      <c r="K669" s="120">
        <v>27</v>
      </c>
      <c r="L669" s="14"/>
      <c r="M669" s="14"/>
      <c r="N669" s="14"/>
      <c r="O669" s="14"/>
      <c r="P669" s="14"/>
      <c r="Q669" s="14"/>
      <c r="R669" s="14"/>
      <c r="S669" s="14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3.2">
      <c r="A670" s="14"/>
      <c r="B670" s="14"/>
      <c r="C670" s="5">
        <v>138</v>
      </c>
      <c r="D670" s="122">
        <v>43137</v>
      </c>
      <c r="E670" s="12"/>
      <c r="F670" s="12"/>
      <c r="G670" s="14"/>
      <c r="H670" s="14"/>
      <c r="I670" s="124" t="s">
        <v>71</v>
      </c>
      <c r="J670" s="123"/>
      <c r="K670" s="120">
        <v>26.8</v>
      </c>
      <c r="L670" s="14"/>
      <c r="M670" s="14"/>
      <c r="N670" s="14"/>
      <c r="O670" s="14"/>
      <c r="P670" s="14"/>
      <c r="Q670" s="14"/>
      <c r="R670" s="14"/>
      <c r="S670" s="14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3.2">
      <c r="A671" s="14"/>
      <c r="B671" s="14"/>
      <c r="C671" s="5">
        <v>139</v>
      </c>
      <c r="D671" s="20">
        <v>43138</v>
      </c>
      <c r="E671" s="12"/>
      <c r="F671" s="12"/>
      <c r="G671" s="14"/>
      <c r="H671" s="14"/>
      <c r="I671" s="125" t="s">
        <v>71</v>
      </c>
      <c r="J671" s="14"/>
      <c r="K671" s="125">
        <v>26</v>
      </c>
      <c r="L671" s="14"/>
      <c r="M671" s="14"/>
      <c r="N671" s="14"/>
      <c r="O671" s="14"/>
      <c r="P671" s="14"/>
      <c r="Q671" s="14"/>
      <c r="R671" s="14"/>
      <c r="S671" s="14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3.2">
      <c r="A672" s="14"/>
      <c r="B672" s="14"/>
      <c r="C672" s="5">
        <v>140</v>
      </c>
      <c r="D672" s="20">
        <v>43139</v>
      </c>
      <c r="E672" s="12"/>
      <c r="F672" s="12"/>
      <c r="G672" s="14"/>
      <c r="H672" s="14"/>
      <c r="I672" s="125" t="s">
        <v>71</v>
      </c>
      <c r="J672" s="14"/>
      <c r="K672" s="125">
        <v>25.5</v>
      </c>
      <c r="L672" s="14"/>
      <c r="M672" s="14"/>
      <c r="N672" s="14"/>
      <c r="O672" s="14"/>
      <c r="P672" s="14"/>
      <c r="Q672" s="14"/>
      <c r="R672" s="14"/>
      <c r="S672" s="14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3.2">
      <c r="A673" s="14"/>
      <c r="B673" s="14"/>
      <c r="C673" s="5">
        <v>141</v>
      </c>
      <c r="D673" s="20">
        <v>43140</v>
      </c>
      <c r="E673" s="12"/>
      <c r="F673" s="12"/>
      <c r="G673" s="14"/>
      <c r="H673" s="14"/>
      <c r="I673" s="125" t="s">
        <v>71</v>
      </c>
      <c r="J673" s="14"/>
      <c r="K673" s="125">
        <v>24.8</v>
      </c>
      <c r="L673" s="14"/>
      <c r="M673" s="14"/>
      <c r="N673" s="14"/>
      <c r="O673" s="14"/>
      <c r="P673" s="14"/>
      <c r="Q673" s="14"/>
      <c r="R673" s="14"/>
      <c r="S673" s="14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3.2">
      <c r="A674" s="14"/>
      <c r="B674" s="14"/>
      <c r="C674" s="5">
        <v>142</v>
      </c>
      <c r="D674" s="20">
        <v>43141</v>
      </c>
      <c r="E674" s="12"/>
      <c r="F674" s="12"/>
      <c r="G674" s="14"/>
      <c r="H674" s="14"/>
      <c r="I674" s="125" t="s">
        <v>71</v>
      </c>
      <c r="J674" s="14"/>
      <c r="K674" s="125">
        <v>24.4</v>
      </c>
      <c r="L674" s="14"/>
      <c r="M674" s="14"/>
      <c r="N674" s="14"/>
      <c r="O674" s="14"/>
      <c r="P674" s="14"/>
      <c r="Q674" s="14"/>
      <c r="R674" s="14"/>
      <c r="S674" s="14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3.2">
      <c r="A675" s="14"/>
      <c r="B675" s="14"/>
      <c r="C675" s="5">
        <v>143</v>
      </c>
      <c r="D675" s="20">
        <v>43142</v>
      </c>
      <c r="E675" s="12"/>
      <c r="F675" s="12"/>
      <c r="G675" s="14"/>
      <c r="H675" s="14"/>
      <c r="I675" s="125" t="s">
        <v>71</v>
      </c>
      <c r="J675" s="14"/>
      <c r="K675" s="125">
        <v>24</v>
      </c>
      <c r="L675" s="14"/>
      <c r="M675" s="14"/>
      <c r="N675" s="14"/>
      <c r="O675" s="14"/>
      <c r="P675" s="14"/>
      <c r="Q675" s="14"/>
      <c r="R675" s="14"/>
      <c r="S675" s="14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3.2">
      <c r="A676" s="14"/>
      <c r="B676" s="14"/>
      <c r="C676" s="5">
        <v>144</v>
      </c>
      <c r="D676" s="20">
        <v>43143</v>
      </c>
      <c r="E676" s="12"/>
      <c r="F676" s="12"/>
      <c r="G676" s="14"/>
      <c r="H676" s="14"/>
      <c r="I676" s="125" t="s">
        <v>71</v>
      </c>
      <c r="J676" s="14"/>
      <c r="K676" s="125">
        <v>23.8</v>
      </c>
      <c r="L676" s="14"/>
      <c r="M676" s="14"/>
      <c r="N676" s="14"/>
      <c r="O676" s="14"/>
      <c r="P676" s="14"/>
      <c r="Q676" s="14"/>
      <c r="R676" s="14"/>
      <c r="S676" s="14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3.2">
      <c r="A677" s="14"/>
      <c r="B677" s="14"/>
      <c r="C677" s="5">
        <v>145</v>
      </c>
      <c r="D677" s="20">
        <v>43144</v>
      </c>
      <c r="E677" s="12"/>
      <c r="F677" s="12"/>
      <c r="G677" s="14"/>
      <c r="H677" s="14"/>
      <c r="I677" s="125" t="s">
        <v>71</v>
      </c>
      <c r="J677" s="14"/>
      <c r="K677" s="125">
        <v>23.4</v>
      </c>
      <c r="L677" s="14"/>
      <c r="M677" s="14"/>
      <c r="N677" s="14"/>
      <c r="O677" s="14"/>
      <c r="P677" s="14"/>
      <c r="Q677" s="14"/>
      <c r="R677" s="14"/>
      <c r="S677" s="14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3.2">
      <c r="A678" s="14"/>
      <c r="B678" s="14"/>
      <c r="C678" s="5">
        <v>146</v>
      </c>
      <c r="D678" s="20">
        <v>43145</v>
      </c>
      <c r="E678" s="12"/>
      <c r="F678" s="12"/>
      <c r="G678" s="14"/>
      <c r="H678" s="14"/>
      <c r="I678" s="125" t="s">
        <v>71</v>
      </c>
      <c r="J678" s="14"/>
      <c r="K678" s="125">
        <v>23.1</v>
      </c>
      <c r="L678" s="14"/>
      <c r="M678" s="14"/>
      <c r="N678" s="14"/>
      <c r="O678" s="14"/>
      <c r="P678" s="14"/>
      <c r="Q678" s="14"/>
      <c r="R678" s="14"/>
      <c r="S678" s="14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3.2">
      <c r="A679" s="14"/>
      <c r="B679" s="14"/>
      <c r="C679" s="5">
        <v>147</v>
      </c>
      <c r="D679" s="20">
        <v>43146</v>
      </c>
      <c r="E679" s="12"/>
      <c r="F679" s="12"/>
      <c r="G679" s="14"/>
      <c r="H679" s="14"/>
      <c r="I679" s="125" t="s">
        <v>71</v>
      </c>
      <c r="J679" s="14"/>
      <c r="K679" s="125">
        <v>22.7</v>
      </c>
      <c r="L679" s="14"/>
      <c r="M679" s="14"/>
      <c r="N679" s="14"/>
      <c r="O679" s="14"/>
      <c r="P679" s="14"/>
      <c r="Q679" s="14"/>
      <c r="R679" s="14"/>
      <c r="S679" s="14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3.2">
      <c r="A680" s="14"/>
      <c r="B680" s="14"/>
      <c r="C680" s="5">
        <v>148</v>
      </c>
      <c r="D680" s="20">
        <v>43147</v>
      </c>
      <c r="E680" s="12"/>
      <c r="F680" s="12"/>
      <c r="G680" s="14"/>
      <c r="H680" s="14"/>
      <c r="I680" s="125" t="s">
        <v>71</v>
      </c>
      <c r="J680" s="14"/>
      <c r="K680" s="125">
        <v>22.3</v>
      </c>
      <c r="L680" s="14"/>
      <c r="M680" s="14"/>
      <c r="N680" s="14"/>
      <c r="O680" s="14"/>
      <c r="P680" s="14"/>
      <c r="Q680" s="14"/>
      <c r="R680" s="14"/>
      <c r="S680" s="14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3.2">
      <c r="A681" s="14"/>
      <c r="B681" s="14"/>
      <c r="C681" s="5">
        <v>149</v>
      </c>
      <c r="D681" s="20">
        <v>43148</v>
      </c>
      <c r="E681" s="12"/>
      <c r="F681" s="12"/>
      <c r="G681" s="14"/>
      <c r="H681" s="14"/>
      <c r="I681" s="125" t="s">
        <v>71</v>
      </c>
      <c r="J681" s="14"/>
      <c r="K681" s="125">
        <v>22</v>
      </c>
      <c r="L681" s="14"/>
      <c r="M681" s="14"/>
      <c r="N681" s="14"/>
      <c r="O681" s="14"/>
      <c r="P681" s="14"/>
      <c r="Q681" s="14"/>
      <c r="R681" s="14"/>
      <c r="S681" s="14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3.2">
      <c r="A682" s="14"/>
      <c r="B682" s="14"/>
      <c r="C682" s="14">
        <f t="shared" ref="C682:C686" si="157">C681+1</f>
        <v>150</v>
      </c>
      <c r="D682" s="20">
        <v>43149</v>
      </c>
      <c r="E682" s="12"/>
      <c r="F682" s="12"/>
      <c r="G682" s="14"/>
      <c r="H682" s="14"/>
      <c r="I682" s="13" t="s">
        <v>71</v>
      </c>
      <c r="J682" s="14"/>
      <c r="K682" s="13">
        <v>21.7</v>
      </c>
      <c r="L682" s="14"/>
      <c r="M682" s="14"/>
      <c r="N682" s="14"/>
      <c r="O682" s="14"/>
      <c r="P682" s="14"/>
      <c r="Q682" s="14"/>
      <c r="R682" s="14"/>
      <c r="S682" s="14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3.2">
      <c r="A683" s="14"/>
      <c r="B683" s="14"/>
      <c r="C683" s="14">
        <f t="shared" si="157"/>
        <v>151</v>
      </c>
      <c r="D683" s="20">
        <v>43150</v>
      </c>
      <c r="E683" s="12"/>
      <c r="F683" s="12"/>
      <c r="G683" s="14"/>
      <c r="H683" s="14"/>
      <c r="I683" s="13" t="s">
        <v>71</v>
      </c>
      <c r="J683" s="14"/>
      <c r="K683" s="13">
        <v>21.4</v>
      </c>
      <c r="L683" s="14"/>
      <c r="M683" s="14"/>
      <c r="N683" s="14"/>
      <c r="O683" s="14"/>
      <c r="P683" s="14"/>
      <c r="Q683" s="14"/>
      <c r="R683" s="14"/>
      <c r="S683" s="14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3.2">
      <c r="A684" s="14"/>
      <c r="B684" s="14"/>
      <c r="C684" s="14">
        <f t="shared" si="157"/>
        <v>152</v>
      </c>
      <c r="D684" s="20">
        <v>43151</v>
      </c>
      <c r="E684" s="12"/>
      <c r="F684" s="12"/>
      <c r="G684" s="14"/>
      <c r="H684" s="14"/>
      <c r="I684" s="13" t="s">
        <v>71</v>
      </c>
      <c r="J684" s="14"/>
      <c r="K684" s="13">
        <v>21</v>
      </c>
      <c r="L684" s="14"/>
      <c r="M684" s="14"/>
      <c r="N684" s="14"/>
      <c r="O684" s="14"/>
      <c r="P684" s="14"/>
      <c r="Q684" s="14"/>
      <c r="R684" s="14"/>
      <c r="S684" s="14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3.2">
      <c r="A685" s="14"/>
      <c r="B685" s="14"/>
      <c r="C685" s="14">
        <f t="shared" si="157"/>
        <v>153</v>
      </c>
      <c r="D685" s="20">
        <v>43152</v>
      </c>
      <c r="E685" s="12"/>
      <c r="F685" s="12"/>
      <c r="G685" s="14"/>
      <c r="H685" s="14"/>
      <c r="I685" s="13" t="s">
        <v>71</v>
      </c>
      <c r="J685" s="14"/>
      <c r="K685" s="13">
        <v>20.7</v>
      </c>
      <c r="L685" s="14"/>
      <c r="M685" s="14"/>
      <c r="N685" s="14"/>
      <c r="O685" s="14"/>
      <c r="P685" s="14"/>
      <c r="Q685" s="14"/>
      <c r="R685" s="14"/>
      <c r="S685" s="14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3.2">
      <c r="A686" s="14"/>
      <c r="B686" s="14"/>
      <c r="C686" s="14">
        <f t="shared" si="157"/>
        <v>154</v>
      </c>
      <c r="D686" s="20">
        <v>43153</v>
      </c>
      <c r="E686" s="12"/>
      <c r="F686" s="12"/>
      <c r="G686" s="14"/>
      <c r="H686" s="14"/>
      <c r="I686" s="13" t="s">
        <v>71</v>
      </c>
      <c r="J686" s="14"/>
      <c r="K686" s="13">
        <v>20.5</v>
      </c>
      <c r="L686" s="14"/>
      <c r="M686" s="14"/>
      <c r="N686" s="14"/>
      <c r="O686" s="14"/>
      <c r="P686" s="14"/>
      <c r="Q686" s="14"/>
      <c r="R686" s="14"/>
      <c r="S686" s="14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3.2">
      <c r="A687" s="14"/>
      <c r="B687" s="14"/>
      <c r="C687" s="5">
        <v>155</v>
      </c>
      <c r="D687" s="56">
        <v>43154</v>
      </c>
      <c r="E687" s="12"/>
      <c r="F687" s="12"/>
      <c r="G687" s="14"/>
      <c r="H687" s="14"/>
      <c r="I687" s="13" t="s">
        <v>71</v>
      </c>
      <c r="J687" s="14"/>
      <c r="K687" s="13">
        <v>20.100000000000001</v>
      </c>
      <c r="L687" s="14"/>
      <c r="M687" s="14"/>
      <c r="N687" s="14"/>
      <c r="O687" s="14"/>
      <c r="P687" s="14"/>
      <c r="Q687" s="14"/>
      <c r="R687" s="14"/>
      <c r="S687" s="14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3.2">
      <c r="A688" s="14"/>
      <c r="B688" s="14"/>
      <c r="C688" s="5">
        <v>156</v>
      </c>
      <c r="D688" s="20">
        <v>43155</v>
      </c>
      <c r="E688" s="12"/>
      <c r="F688" s="12"/>
      <c r="G688" s="14"/>
      <c r="H688" s="14"/>
      <c r="I688" s="13">
        <v>62.4</v>
      </c>
      <c r="J688" s="14"/>
      <c r="K688" s="13">
        <v>19.899999999999999</v>
      </c>
      <c r="L688" s="14"/>
      <c r="M688" s="14"/>
      <c r="N688" s="14"/>
      <c r="O688" s="14"/>
      <c r="P688" s="14"/>
      <c r="Q688" s="14"/>
      <c r="R688" s="14"/>
      <c r="S688" s="14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3.2">
      <c r="A689" s="14"/>
      <c r="B689" s="14"/>
      <c r="C689" s="5">
        <v>157</v>
      </c>
      <c r="D689" s="20">
        <v>43156</v>
      </c>
      <c r="E689" s="12"/>
      <c r="F689" s="12"/>
      <c r="G689" s="14"/>
      <c r="H689" s="14"/>
      <c r="I689" s="13">
        <v>58.7</v>
      </c>
      <c r="J689" s="14"/>
      <c r="K689" s="13">
        <v>21.7</v>
      </c>
      <c r="L689" s="14"/>
      <c r="M689" s="14"/>
      <c r="N689" s="14"/>
      <c r="O689" s="14"/>
      <c r="P689" s="14"/>
      <c r="Q689" s="14"/>
      <c r="R689" s="14"/>
      <c r="S689" s="14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3.2">
      <c r="A690" s="14"/>
      <c r="B690" s="14"/>
      <c r="C690" s="5">
        <v>158</v>
      </c>
      <c r="D690" s="20">
        <v>43157</v>
      </c>
      <c r="E690" s="12"/>
      <c r="F690" s="12"/>
      <c r="G690" s="14"/>
      <c r="H690" s="14"/>
      <c r="I690" s="13">
        <v>54.9</v>
      </c>
      <c r="J690" s="14"/>
      <c r="K690" s="13">
        <v>22.6</v>
      </c>
      <c r="L690" s="14"/>
      <c r="M690" s="14"/>
      <c r="N690" s="14"/>
      <c r="O690" s="14"/>
      <c r="P690" s="14"/>
      <c r="Q690" s="14"/>
      <c r="R690" s="14"/>
      <c r="S690" s="14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3.2">
      <c r="A691" s="14"/>
      <c r="B691" s="14"/>
      <c r="C691" s="5">
        <v>159</v>
      </c>
      <c r="D691" s="20">
        <v>43158</v>
      </c>
      <c r="E691" s="12"/>
      <c r="F691" s="12"/>
      <c r="G691" s="14"/>
      <c r="H691" s="14"/>
      <c r="I691" s="13">
        <v>51.4</v>
      </c>
      <c r="J691" s="14"/>
      <c r="K691" s="13">
        <v>23.4</v>
      </c>
      <c r="L691" s="14"/>
      <c r="M691" s="14"/>
      <c r="N691" s="14"/>
      <c r="O691" s="14"/>
      <c r="P691" s="14"/>
      <c r="Q691" s="14"/>
      <c r="R691" s="14"/>
      <c r="S691" s="14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3.2">
      <c r="A692" s="14"/>
      <c r="B692" s="14"/>
      <c r="C692" s="5">
        <v>166</v>
      </c>
      <c r="D692" s="20">
        <v>43165</v>
      </c>
      <c r="E692" s="12"/>
      <c r="F692" s="12"/>
      <c r="G692" s="14"/>
      <c r="H692" s="14"/>
      <c r="I692" s="13" t="s">
        <v>71</v>
      </c>
      <c r="J692" s="14"/>
      <c r="K692" s="13">
        <v>22.7</v>
      </c>
      <c r="L692" s="14"/>
      <c r="M692" s="14"/>
      <c r="N692" s="14"/>
      <c r="O692" s="14"/>
      <c r="P692" s="14"/>
      <c r="Q692" s="14"/>
      <c r="R692" s="14"/>
      <c r="S692" s="14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3.2">
      <c r="A693" s="14"/>
      <c r="B693" s="14"/>
      <c r="C693" s="5">
        <v>173</v>
      </c>
      <c r="D693" s="20">
        <v>43172</v>
      </c>
      <c r="E693" s="12"/>
      <c r="F693" s="12"/>
      <c r="G693" s="14"/>
      <c r="H693" s="14"/>
      <c r="I693" s="13">
        <v>18.600000000000001</v>
      </c>
      <c r="J693" s="14"/>
      <c r="K693" s="13">
        <v>25.1</v>
      </c>
      <c r="L693" s="14"/>
      <c r="M693" s="14"/>
      <c r="N693" s="14"/>
      <c r="O693" s="14"/>
      <c r="P693" s="14"/>
      <c r="Q693" s="14"/>
      <c r="R693" s="14"/>
      <c r="S693" s="14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3.2">
      <c r="A694" s="14"/>
      <c r="B694" s="14"/>
      <c r="C694" s="14"/>
      <c r="D694" s="14"/>
      <c r="E694" s="12"/>
      <c r="F694" s="12"/>
      <c r="G694" s="14"/>
      <c r="H694" s="14"/>
      <c r="I694" s="15"/>
      <c r="J694" s="14"/>
      <c r="K694" s="15"/>
      <c r="L694" s="14"/>
      <c r="M694" s="14"/>
      <c r="N694" s="14"/>
      <c r="O694" s="14"/>
      <c r="P694" s="14"/>
      <c r="Q694" s="14"/>
      <c r="R694" s="14"/>
      <c r="S694" s="14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3.2">
      <c r="A695" s="14"/>
      <c r="B695" s="14"/>
      <c r="C695" s="14"/>
      <c r="D695" s="14"/>
      <c r="E695" s="12"/>
      <c r="F695" s="12"/>
      <c r="G695" s="14"/>
      <c r="H695" s="14"/>
      <c r="I695" s="15"/>
      <c r="J695" s="14"/>
      <c r="K695" s="15"/>
      <c r="L695" s="14"/>
      <c r="M695" s="14"/>
      <c r="N695" s="14"/>
      <c r="O695" s="14"/>
      <c r="P695" s="14"/>
      <c r="Q695" s="14"/>
      <c r="R695" s="14"/>
      <c r="S695" s="14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3.2">
      <c r="A696" s="14"/>
      <c r="B696" s="14"/>
      <c r="C696" s="14"/>
      <c r="D696" s="14"/>
      <c r="E696" s="12"/>
      <c r="F696" s="12"/>
      <c r="G696" s="14"/>
      <c r="H696" s="14"/>
      <c r="I696" s="15"/>
      <c r="J696" s="14"/>
      <c r="K696" s="15"/>
      <c r="L696" s="14"/>
      <c r="M696" s="14"/>
      <c r="N696" s="14"/>
      <c r="O696" s="14"/>
      <c r="P696" s="14"/>
      <c r="Q696" s="14"/>
      <c r="R696" s="14"/>
      <c r="S696" s="14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3.2">
      <c r="A697" s="14"/>
      <c r="B697" s="14"/>
      <c r="C697" s="14"/>
      <c r="D697" s="14"/>
      <c r="E697" s="12"/>
      <c r="F697" s="12"/>
      <c r="G697" s="14"/>
      <c r="H697" s="14"/>
      <c r="I697" s="15"/>
      <c r="J697" s="14"/>
      <c r="K697" s="15"/>
      <c r="L697" s="14"/>
      <c r="M697" s="14"/>
      <c r="N697" s="14"/>
      <c r="O697" s="14"/>
      <c r="P697" s="14"/>
      <c r="Q697" s="14"/>
      <c r="R697" s="14"/>
      <c r="S697" s="14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3.2">
      <c r="A698" s="14"/>
      <c r="B698" s="14"/>
      <c r="C698" s="14"/>
      <c r="D698" s="14"/>
      <c r="E698" s="12"/>
      <c r="F698" s="12"/>
      <c r="G698" s="14"/>
      <c r="H698" s="14"/>
      <c r="I698" s="15"/>
      <c r="J698" s="14"/>
      <c r="K698" s="15"/>
      <c r="L698" s="14"/>
      <c r="M698" s="14"/>
      <c r="N698" s="14"/>
      <c r="O698" s="14"/>
      <c r="P698" s="14"/>
      <c r="Q698" s="14"/>
      <c r="R698" s="14"/>
      <c r="S698" s="14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3.2">
      <c r="A699" s="14"/>
      <c r="B699" s="14"/>
      <c r="C699" s="14"/>
      <c r="D699" s="14"/>
      <c r="E699" s="12"/>
      <c r="F699" s="12"/>
      <c r="G699" s="14"/>
      <c r="H699" s="14"/>
      <c r="I699" s="15"/>
      <c r="J699" s="14"/>
      <c r="K699" s="15"/>
      <c r="L699" s="14"/>
      <c r="M699" s="14"/>
      <c r="N699" s="14"/>
      <c r="O699" s="14"/>
      <c r="P699" s="14"/>
      <c r="Q699" s="14"/>
      <c r="R699" s="14"/>
      <c r="S699" s="14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3.2">
      <c r="A700" s="14"/>
      <c r="B700" s="14"/>
      <c r="C700" s="14"/>
      <c r="D700" s="14"/>
      <c r="E700" s="12"/>
      <c r="F700" s="12"/>
      <c r="G700" s="14"/>
      <c r="H700" s="14"/>
      <c r="I700" s="15"/>
      <c r="J700" s="14"/>
      <c r="K700" s="15"/>
      <c r="L700" s="14"/>
      <c r="M700" s="14"/>
      <c r="N700" s="14"/>
      <c r="O700" s="14"/>
      <c r="P700" s="14"/>
      <c r="Q700" s="14"/>
      <c r="R700" s="14"/>
      <c r="S700" s="14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3.2">
      <c r="A701" s="14"/>
      <c r="B701" s="14"/>
      <c r="C701" s="14"/>
      <c r="D701" s="14"/>
      <c r="E701" s="12"/>
      <c r="F701" s="12"/>
      <c r="G701" s="14"/>
      <c r="H701" s="14"/>
      <c r="I701" s="15"/>
      <c r="J701" s="14"/>
      <c r="K701" s="15"/>
      <c r="L701" s="14"/>
      <c r="M701" s="14"/>
      <c r="N701" s="14"/>
      <c r="O701" s="14"/>
      <c r="P701" s="14"/>
      <c r="Q701" s="14"/>
      <c r="R701" s="14"/>
      <c r="S701" s="14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26.4">
      <c r="A702" s="8" t="s">
        <v>83</v>
      </c>
      <c r="B702" s="5">
        <v>0</v>
      </c>
      <c r="C702" s="5">
        <v>0</v>
      </c>
      <c r="D702" s="9">
        <v>42992</v>
      </c>
      <c r="E702" s="10">
        <v>388.3</v>
      </c>
      <c r="F702" s="11" t="s">
        <v>21</v>
      </c>
      <c r="G702" s="12">
        <f>AVERAGE(F703:F720)</f>
        <v>5.1644444444444462</v>
      </c>
      <c r="H702" s="14"/>
      <c r="I702" s="13">
        <v>79.900000000000006</v>
      </c>
      <c r="J702" s="14"/>
      <c r="K702" s="13">
        <v>18.600000000000001</v>
      </c>
      <c r="L702" s="14"/>
      <c r="M702" s="14"/>
      <c r="N702" s="14"/>
      <c r="O702" s="14"/>
      <c r="P702" s="14">
        <f>SUM(O702:O712)-104.4</f>
        <v>266.10000000000002</v>
      </c>
      <c r="Q702" s="14"/>
      <c r="R702" s="14"/>
      <c r="S702" s="15">
        <f>I707-I713</f>
        <v>35.199999999999996</v>
      </c>
      <c r="T702" s="7">
        <f>SUM(S702:S707)*5.24</f>
        <v>1252.8840000000002</v>
      </c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3.2">
      <c r="A703" s="5" t="s">
        <v>30</v>
      </c>
      <c r="B703" s="5">
        <v>0</v>
      </c>
      <c r="C703" s="5">
        <v>0</v>
      </c>
      <c r="D703" s="9">
        <v>42993</v>
      </c>
      <c r="E703" s="10">
        <v>381.9</v>
      </c>
      <c r="F703" s="12">
        <f>E702-E703</f>
        <v>6.4000000000000341</v>
      </c>
      <c r="G703" s="14"/>
      <c r="H703" s="14"/>
      <c r="I703" s="13">
        <v>76.099999999999994</v>
      </c>
      <c r="J703" s="14">
        <f t="shared" ref="J703:J706" si="158">(I702-I703)/(D703-D702)</f>
        <v>3.8000000000000114</v>
      </c>
      <c r="K703" s="13">
        <v>19.100000000000001</v>
      </c>
      <c r="L703" s="14"/>
      <c r="M703" s="14"/>
      <c r="N703" s="14"/>
      <c r="O703" s="12">
        <f>E707-E713</f>
        <v>64.5</v>
      </c>
      <c r="P703" s="14"/>
      <c r="Q703" s="14"/>
      <c r="R703" s="14"/>
      <c r="S703" s="15">
        <f>39.1-I715</f>
        <v>5.8000000000000043</v>
      </c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3.2">
      <c r="A704" s="14"/>
      <c r="B704" s="5">
        <v>0</v>
      </c>
      <c r="C704" s="5">
        <v>0</v>
      </c>
      <c r="D704" s="9">
        <v>42996</v>
      </c>
      <c r="E704" s="10">
        <v>368.9</v>
      </c>
      <c r="F704" s="12">
        <f t="shared" ref="F704:F706" si="159">(E703-E704)/(D704-D703)</f>
        <v>4.333333333333333</v>
      </c>
      <c r="G704" s="14"/>
      <c r="H704" s="14"/>
      <c r="I704" s="13">
        <v>66.2</v>
      </c>
      <c r="J704" s="14">
        <f t="shared" si="158"/>
        <v>3.2999999999999972</v>
      </c>
      <c r="K704" s="13">
        <v>19</v>
      </c>
      <c r="L704" s="14"/>
      <c r="M704" s="14"/>
      <c r="N704" s="14"/>
      <c r="O704" s="12">
        <f>E714-E717</f>
        <v>28.400000000000034</v>
      </c>
      <c r="P704" s="14"/>
      <c r="Q704" s="14"/>
      <c r="R704" s="14"/>
      <c r="S704" s="15">
        <f>54.3-I719</f>
        <v>18.599999999999994</v>
      </c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3.2">
      <c r="A705" s="14"/>
      <c r="B705" s="5">
        <v>0</v>
      </c>
      <c r="C705" s="5">
        <v>0</v>
      </c>
      <c r="D705" s="9">
        <v>42998</v>
      </c>
      <c r="E705" s="10">
        <v>360</v>
      </c>
      <c r="F705" s="12">
        <f t="shared" si="159"/>
        <v>4.4499999999999886</v>
      </c>
      <c r="G705" s="14"/>
      <c r="H705" s="14"/>
      <c r="I705" s="13">
        <v>59.1</v>
      </c>
      <c r="J705" s="14">
        <f t="shared" si="158"/>
        <v>3.5500000000000007</v>
      </c>
      <c r="K705" s="13">
        <v>19.600000000000001</v>
      </c>
      <c r="L705" s="14"/>
      <c r="M705" s="14"/>
      <c r="N705" s="14"/>
      <c r="O705" s="12">
        <f>E718-E721</f>
        <v>33.199999999999989</v>
      </c>
      <c r="P705" s="14"/>
      <c r="Q705" s="14"/>
      <c r="R705" s="14"/>
      <c r="S705" s="15">
        <f>71-I728</f>
        <v>49.6</v>
      </c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3.2">
      <c r="A706" s="14"/>
      <c r="B706" s="5">
        <v>0</v>
      </c>
      <c r="C706" s="5">
        <v>0</v>
      </c>
      <c r="D706" s="17">
        <v>42999</v>
      </c>
      <c r="E706" s="10">
        <v>353.3</v>
      </c>
      <c r="F706" s="12">
        <f t="shared" si="159"/>
        <v>6.6999999999999886</v>
      </c>
      <c r="G706" s="14"/>
      <c r="H706" s="14"/>
      <c r="I706" s="13">
        <v>55.8</v>
      </c>
      <c r="J706" s="14">
        <f t="shared" si="158"/>
        <v>3.3000000000000043</v>
      </c>
      <c r="K706" s="13">
        <v>20.3</v>
      </c>
      <c r="L706" s="14"/>
      <c r="M706" s="14"/>
      <c r="N706" s="14"/>
      <c r="O706" s="12">
        <f>E722-E725</f>
        <v>36.199999999999989</v>
      </c>
      <c r="P706" s="14"/>
      <c r="Q706" s="14"/>
      <c r="R706" s="14"/>
      <c r="S706" s="15">
        <f>89-I740</f>
        <v>62.3</v>
      </c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3.2">
      <c r="A707" s="14"/>
      <c r="B707" s="5">
        <v>0.5</v>
      </c>
      <c r="C707" s="5">
        <v>0</v>
      </c>
      <c r="D707" s="17">
        <v>42999</v>
      </c>
      <c r="E707" s="10">
        <v>388.1</v>
      </c>
      <c r="F707" s="12"/>
      <c r="G707" s="14"/>
      <c r="H707" s="14"/>
      <c r="I707" s="13">
        <v>68.8</v>
      </c>
      <c r="J707" s="14"/>
      <c r="K707" s="13"/>
      <c r="L707" s="14"/>
      <c r="M707" s="14"/>
      <c r="N707" s="14"/>
      <c r="O707" s="12">
        <f>E726-E729</f>
        <v>33.300000000000011</v>
      </c>
      <c r="P707" s="14"/>
      <c r="Q707" s="14"/>
      <c r="R707" s="14"/>
      <c r="S707" s="15">
        <f>127.4-I754</f>
        <v>67.600000000000009</v>
      </c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3.2">
      <c r="A708" s="14"/>
      <c r="B708" s="5">
        <v>0.5</v>
      </c>
      <c r="C708" s="5">
        <f t="shared" ref="C708:C761" si="160">D708-$D$7</f>
        <v>1</v>
      </c>
      <c r="D708" s="17">
        <v>43000</v>
      </c>
      <c r="E708" s="10">
        <v>384.5</v>
      </c>
      <c r="F708" s="12">
        <f t="shared" ref="F708:F713" si="161">(E707-E708)/(D708-D707)</f>
        <v>3.6000000000000227</v>
      </c>
      <c r="G708" s="14"/>
      <c r="H708" s="14"/>
      <c r="I708" s="13">
        <v>65.2</v>
      </c>
      <c r="J708" s="14">
        <f t="shared" ref="J708:J713" si="162">(I707-I708)/(D708-D707)</f>
        <v>3.5999999999999943</v>
      </c>
      <c r="K708" s="13">
        <v>20.3</v>
      </c>
      <c r="L708" s="14"/>
      <c r="M708" s="14"/>
      <c r="N708" s="14"/>
      <c r="O708" s="12">
        <f>E730-E733</f>
        <v>28.699999999999989</v>
      </c>
      <c r="P708" s="14"/>
      <c r="Q708" s="14"/>
      <c r="R708" s="14"/>
      <c r="S708" s="14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3.2">
      <c r="A709" s="14"/>
      <c r="B709" s="5">
        <v>0.5</v>
      </c>
      <c r="C709" s="5">
        <f t="shared" si="160"/>
        <v>4</v>
      </c>
      <c r="D709" s="9">
        <v>43003</v>
      </c>
      <c r="E709" s="10">
        <v>370.8</v>
      </c>
      <c r="F709" s="12">
        <f t="shared" si="161"/>
        <v>4.5666666666666629</v>
      </c>
      <c r="G709" s="14"/>
      <c r="H709" s="14"/>
      <c r="I709" s="13">
        <v>56.3</v>
      </c>
      <c r="J709" s="16">
        <f t="shared" si="162"/>
        <v>2.9666666666666686</v>
      </c>
      <c r="K709" s="13">
        <v>22.2</v>
      </c>
      <c r="L709" s="14"/>
      <c r="M709" s="14"/>
      <c r="N709" s="14"/>
      <c r="O709" s="12">
        <f>E734-E737</f>
        <v>41</v>
      </c>
      <c r="P709" s="14"/>
      <c r="Q709" s="14"/>
      <c r="R709" s="14"/>
      <c r="S709" s="14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3.2">
      <c r="A710" s="14"/>
      <c r="B710" s="5">
        <v>1</v>
      </c>
      <c r="C710" s="5">
        <f t="shared" si="160"/>
        <v>6</v>
      </c>
      <c r="D710" s="9">
        <v>43005</v>
      </c>
      <c r="E710" s="10">
        <v>363.7</v>
      </c>
      <c r="F710" s="12">
        <f t="shared" si="161"/>
        <v>3.5500000000000114</v>
      </c>
      <c r="G710" s="14"/>
      <c r="H710" s="14"/>
      <c r="I710" s="13">
        <v>51.9</v>
      </c>
      <c r="J710" s="14">
        <f t="shared" si="162"/>
        <v>2.1999999999999993</v>
      </c>
      <c r="K710" s="18">
        <v>22.3</v>
      </c>
      <c r="L710" s="14"/>
      <c r="M710" s="14"/>
      <c r="N710" s="14"/>
      <c r="O710" s="12">
        <f>E738-E746</f>
        <v>50.699999999999989</v>
      </c>
      <c r="P710" s="14"/>
      <c r="Q710" s="14"/>
      <c r="R710" s="14"/>
      <c r="S710" s="14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3.2">
      <c r="A711" s="14"/>
      <c r="B711" s="5">
        <v>1</v>
      </c>
      <c r="C711" s="5">
        <f t="shared" si="160"/>
        <v>8</v>
      </c>
      <c r="D711" s="9">
        <v>43007</v>
      </c>
      <c r="E711" s="10">
        <v>354</v>
      </c>
      <c r="F711" s="12">
        <f t="shared" si="161"/>
        <v>4.8499999999999943</v>
      </c>
      <c r="G711" s="14"/>
      <c r="H711" s="14"/>
      <c r="I711" s="13">
        <v>46.1</v>
      </c>
      <c r="J711" s="14">
        <f t="shared" si="162"/>
        <v>2.8999999999999986</v>
      </c>
      <c r="K711" s="13">
        <v>23.7</v>
      </c>
      <c r="L711" s="14"/>
      <c r="M711" s="14"/>
      <c r="N711" s="14"/>
      <c r="O711" s="12">
        <f>E747-E750</f>
        <v>28.100000000000023</v>
      </c>
      <c r="P711" s="14"/>
      <c r="Q711" s="14"/>
      <c r="R711" s="14"/>
      <c r="S711" s="14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3.2">
      <c r="A712" s="14"/>
      <c r="B712" s="5">
        <v>1</v>
      </c>
      <c r="C712" s="5">
        <f t="shared" si="160"/>
        <v>11</v>
      </c>
      <c r="D712" s="19">
        <v>43010</v>
      </c>
      <c r="E712" s="11">
        <v>339.4</v>
      </c>
      <c r="F712" s="12">
        <f t="shared" si="161"/>
        <v>4.8666666666666742</v>
      </c>
      <c r="G712" s="14"/>
      <c r="H712" s="14"/>
      <c r="I712" s="13">
        <v>38.6</v>
      </c>
      <c r="J712" s="14">
        <f t="shared" si="162"/>
        <v>2.5</v>
      </c>
      <c r="K712" s="13">
        <v>24.1</v>
      </c>
      <c r="L712" s="14"/>
      <c r="M712" s="14"/>
      <c r="N712" s="14"/>
      <c r="O712" s="12">
        <f>E751-E754</f>
        <v>26.400000000000034</v>
      </c>
      <c r="P712" s="14"/>
      <c r="Q712" s="14"/>
      <c r="R712" s="14"/>
      <c r="S712" s="14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3.2">
      <c r="A713" s="14"/>
      <c r="B713" s="5">
        <v>1</v>
      </c>
      <c r="C713" s="5">
        <f t="shared" si="160"/>
        <v>13</v>
      </c>
      <c r="D713" s="19">
        <v>43012</v>
      </c>
      <c r="E713" s="11">
        <v>323.60000000000002</v>
      </c>
      <c r="F713" s="12">
        <f t="shared" si="161"/>
        <v>7.8999999999999773</v>
      </c>
      <c r="G713" s="14"/>
      <c r="H713" s="14"/>
      <c r="I713" s="13">
        <v>33.6</v>
      </c>
      <c r="J713" s="14">
        <f t="shared" si="162"/>
        <v>2.5</v>
      </c>
      <c r="K713" s="13">
        <v>24.8</v>
      </c>
      <c r="L713" s="14"/>
      <c r="M713" s="14"/>
      <c r="N713" s="14"/>
      <c r="O713" s="14"/>
      <c r="P713" s="14"/>
      <c r="Q713" s="14"/>
      <c r="R713" s="14"/>
      <c r="S713" s="14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3.2">
      <c r="A714" s="14"/>
      <c r="B714" s="5">
        <v>2</v>
      </c>
      <c r="C714" s="5">
        <f t="shared" si="160"/>
        <v>14</v>
      </c>
      <c r="D714" s="20">
        <v>43013</v>
      </c>
      <c r="E714" s="11">
        <v>404.3</v>
      </c>
      <c r="F714" s="11"/>
      <c r="G714" s="14"/>
      <c r="H714" s="14"/>
      <c r="I714" s="13" t="s">
        <v>24</v>
      </c>
      <c r="J714" s="14"/>
      <c r="K714" s="13"/>
      <c r="L714" s="14"/>
      <c r="M714" s="14"/>
      <c r="N714" s="14"/>
      <c r="O714" s="14"/>
      <c r="P714" s="14"/>
      <c r="Q714" s="14"/>
      <c r="R714" s="14"/>
      <c r="S714" s="14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3.2">
      <c r="A715" s="14"/>
      <c r="B715" s="5">
        <v>2</v>
      </c>
      <c r="C715" s="5">
        <f t="shared" si="160"/>
        <v>15</v>
      </c>
      <c r="D715" s="20">
        <v>43014</v>
      </c>
      <c r="E715" s="11">
        <v>400.3</v>
      </c>
      <c r="F715" s="12">
        <f t="shared" ref="F715:F717" si="163">(E714-E715)/(D715-D714)</f>
        <v>4</v>
      </c>
      <c r="G715" s="14"/>
      <c r="H715" s="14"/>
      <c r="I715" s="13">
        <v>33.299999999999997</v>
      </c>
      <c r="J715" s="14">
        <f>(39.1-I715)/(D715-D714)</f>
        <v>5.8000000000000043</v>
      </c>
      <c r="K715" s="13">
        <v>25.6</v>
      </c>
      <c r="L715" s="14"/>
      <c r="M715" s="14"/>
      <c r="N715" s="14"/>
      <c r="O715" s="14"/>
      <c r="P715" s="14"/>
      <c r="Q715" s="14"/>
      <c r="R715" s="14"/>
      <c r="S715" s="14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3.2">
      <c r="A716" s="14"/>
      <c r="B716" s="5">
        <v>2</v>
      </c>
      <c r="C716" s="5">
        <f t="shared" si="160"/>
        <v>18</v>
      </c>
      <c r="D716" s="20">
        <v>43017</v>
      </c>
      <c r="E716" s="11">
        <v>388.6</v>
      </c>
      <c r="F716" s="12">
        <f t="shared" si="163"/>
        <v>3.8999999999999964</v>
      </c>
      <c r="G716" s="14"/>
      <c r="H716" s="14"/>
      <c r="I716" s="13">
        <v>46.1</v>
      </c>
      <c r="J716" s="16">
        <f>(54.3-I716)/(D716-D715)</f>
        <v>2.7333333333333321</v>
      </c>
      <c r="K716" s="13">
        <v>26.5</v>
      </c>
      <c r="L716" s="14"/>
      <c r="M716" s="14"/>
      <c r="N716" s="14"/>
      <c r="O716" s="14"/>
      <c r="P716" s="14"/>
      <c r="Q716" s="14"/>
      <c r="R716" s="14"/>
      <c r="S716" s="14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3.2">
      <c r="A717" s="14"/>
      <c r="B717" s="5">
        <v>2</v>
      </c>
      <c r="C717" s="5">
        <f t="shared" si="160"/>
        <v>20</v>
      </c>
      <c r="D717" s="20">
        <v>43019</v>
      </c>
      <c r="E717" s="50">
        <v>375.9</v>
      </c>
      <c r="F717" s="12">
        <f t="shared" si="163"/>
        <v>6.3500000000000227</v>
      </c>
      <c r="G717" s="14"/>
      <c r="H717" s="14"/>
      <c r="I717" s="13">
        <v>40.6</v>
      </c>
      <c r="J717" s="14">
        <f>(I716-I717)/(D717-D716)</f>
        <v>2.75</v>
      </c>
      <c r="K717" s="13">
        <v>27</v>
      </c>
      <c r="L717" s="14"/>
      <c r="M717" s="14"/>
      <c r="N717" s="14"/>
      <c r="O717" s="14"/>
      <c r="P717" s="14"/>
      <c r="Q717" s="14"/>
      <c r="R717" s="14"/>
      <c r="S717" s="14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3.2">
      <c r="A718" s="14"/>
      <c r="B718" s="5">
        <v>3</v>
      </c>
      <c r="C718" s="5">
        <f t="shared" si="160"/>
        <v>21</v>
      </c>
      <c r="D718" s="20">
        <v>43020</v>
      </c>
      <c r="E718" s="11">
        <v>403.5</v>
      </c>
      <c r="F718" s="12"/>
      <c r="G718" s="14"/>
      <c r="H718" s="14"/>
      <c r="I718" s="15"/>
      <c r="J718" s="14"/>
      <c r="K718" s="15"/>
      <c r="L718" s="14"/>
      <c r="M718" s="14"/>
      <c r="N718" s="14"/>
      <c r="O718" s="14"/>
      <c r="P718" s="14"/>
      <c r="Q718" s="14"/>
      <c r="R718" s="14"/>
      <c r="S718" s="14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3.2">
      <c r="A719" s="14"/>
      <c r="B719" s="5">
        <v>3</v>
      </c>
      <c r="C719" s="5">
        <f t="shared" si="160"/>
        <v>22</v>
      </c>
      <c r="D719" s="20">
        <f>D717+2</f>
        <v>43021</v>
      </c>
      <c r="E719" s="11">
        <v>396</v>
      </c>
      <c r="F719" s="12">
        <f t="shared" ref="F719:F721" si="164">(E718-E719)/(D719-D718)</f>
        <v>7.5</v>
      </c>
      <c r="G719" s="14"/>
      <c r="H719" s="14"/>
      <c r="I719" s="13">
        <v>35.700000000000003</v>
      </c>
      <c r="J719" s="14">
        <f>(I717-I719)/(D719-D717)</f>
        <v>2.4499999999999993</v>
      </c>
      <c r="K719" s="13">
        <v>27</v>
      </c>
      <c r="L719" s="14"/>
      <c r="M719" s="14"/>
      <c r="N719" s="14"/>
      <c r="O719" s="14"/>
      <c r="P719" s="14"/>
      <c r="Q719" s="14"/>
      <c r="R719" s="14"/>
      <c r="S719" s="14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3.2">
      <c r="A720" s="14"/>
      <c r="B720" s="5">
        <v>3</v>
      </c>
      <c r="C720" s="5">
        <f t="shared" si="160"/>
        <v>25</v>
      </c>
      <c r="D720" s="20">
        <f>D719+3</f>
        <v>43024</v>
      </c>
      <c r="E720" s="50">
        <v>382.5</v>
      </c>
      <c r="F720" s="12">
        <f t="shared" si="164"/>
        <v>4.5</v>
      </c>
      <c r="G720" s="14"/>
      <c r="H720" s="14"/>
      <c r="I720" s="13">
        <v>62.8</v>
      </c>
      <c r="J720" s="16">
        <f>(71-I720)/(D720-D719)</f>
        <v>2.7333333333333343</v>
      </c>
      <c r="K720" s="13">
        <v>27.5</v>
      </c>
      <c r="L720" s="14"/>
      <c r="M720" s="14"/>
      <c r="N720" s="14"/>
      <c r="O720" s="14"/>
      <c r="P720" s="14"/>
      <c r="Q720" s="14"/>
      <c r="R720" s="14"/>
      <c r="S720" s="14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3.2">
      <c r="A721" s="14"/>
      <c r="B721" s="5">
        <v>3</v>
      </c>
      <c r="C721" s="5">
        <f t="shared" si="160"/>
        <v>27</v>
      </c>
      <c r="D721" s="20">
        <f>D720+2</f>
        <v>43026</v>
      </c>
      <c r="E721" s="11">
        <v>370.3</v>
      </c>
      <c r="F721" s="12">
        <f t="shared" si="164"/>
        <v>6.0999999999999943</v>
      </c>
      <c r="G721" s="14"/>
      <c r="H721" s="14"/>
      <c r="I721" s="13">
        <v>56.5</v>
      </c>
      <c r="J721" s="14">
        <f>(I720-I721)/(D721-D720)</f>
        <v>3.1499999999999986</v>
      </c>
      <c r="K721" s="13">
        <v>27.9</v>
      </c>
      <c r="L721" s="14"/>
      <c r="M721" s="14"/>
      <c r="N721" s="14"/>
      <c r="O721" s="14"/>
      <c r="P721" s="14"/>
      <c r="Q721" s="14"/>
      <c r="R721" s="14"/>
      <c r="S721" s="14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3.2">
      <c r="A722" s="14"/>
      <c r="B722" s="5">
        <v>4</v>
      </c>
      <c r="C722" s="5">
        <f t="shared" si="160"/>
        <v>28</v>
      </c>
      <c r="D722" s="20">
        <v>43027</v>
      </c>
      <c r="E722" s="11">
        <v>381.9</v>
      </c>
      <c r="F722" s="12"/>
      <c r="G722" s="14"/>
      <c r="H722" s="14"/>
      <c r="I722" s="15"/>
      <c r="J722" s="15"/>
      <c r="K722" s="15"/>
      <c r="L722" s="14"/>
      <c r="M722" s="14"/>
      <c r="N722" s="14"/>
      <c r="O722" s="14"/>
      <c r="P722" s="14"/>
      <c r="Q722" s="14"/>
      <c r="R722" s="14"/>
      <c r="S722" s="14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3.2">
      <c r="A723" s="14"/>
      <c r="B723" s="5">
        <v>4</v>
      </c>
      <c r="C723" s="5">
        <f t="shared" si="160"/>
        <v>29</v>
      </c>
      <c r="D723" s="20">
        <f>D721+2</f>
        <v>43028</v>
      </c>
      <c r="E723" s="11">
        <v>374.2</v>
      </c>
      <c r="F723" s="12">
        <f t="shared" ref="F723:F725" si="165">(E722-E723)/(D723-D722)</f>
        <v>7.6999999999999886</v>
      </c>
      <c r="G723" s="14"/>
      <c r="H723" s="14"/>
      <c r="I723" s="13">
        <v>51.3</v>
      </c>
      <c r="J723" s="15">
        <f>(I721-I723)/(D723-D721)</f>
        <v>2.6000000000000014</v>
      </c>
      <c r="K723" s="13">
        <v>27.1</v>
      </c>
      <c r="L723" s="14"/>
      <c r="M723" s="14"/>
      <c r="N723" s="14"/>
      <c r="O723" s="14"/>
      <c r="P723" s="14"/>
      <c r="Q723" s="14"/>
      <c r="R723" s="14"/>
      <c r="S723" s="14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3.2">
      <c r="A724" s="14"/>
      <c r="B724" s="5">
        <v>4</v>
      </c>
      <c r="C724" s="5">
        <f t="shared" si="160"/>
        <v>32</v>
      </c>
      <c r="D724" s="20">
        <v>43031</v>
      </c>
      <c r="E724" s="11">
        <v>357.1</v>
      </c>
      <c r="F724" s="12">
        <f t="shared" si="165"/>
        <v>5.6999999999999886</v>
      </c>
      <c r="G724" s="14"/>
      <c r="H724" s="14"/>
      <c r="I724" s="13">
        <v>42</v>
      </c>
      <c r="J724" s="15">
        <f t="shared" ref="J724:J725" si="166">(I723-I724)/(D724-D723)</f>
        <v>3.0999999999999992</v>
      </c>
      <c r="K724" s="13">
        <v>28.3</v>
      </c>
      <c r="L724" s="14"/>
      <c r="M724" s="14"/>
      <c r="N724" s="14"/>
      <c r="O724" s="14"/>
      <c r="P724" s="14"/>
      <c r="Q724" s="14"/>
      <c r="R724" s="14"/>
      <c r="S724" s="14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3.2">
      <c r="A725" s="14"/>
      <c r="B725" s="5">
        <v>4</v>
      </c>
      <c r="C725" s="5">
        <f t="shared" si="160"/>
        <v>34</v>
      </c>
      <c r="D725" s="20">
        <v>43033</v>
      </c>
      <c r="E725" s="11">
        <v>345.7</v>
      </c>
      <c r="F725" s="12">
        <f t="shared" si="165"/>
        <v>5.7000000000000171</v>
      </c>
      <c r="G725" s="14"/>
      <c r="H725" s="14"/>
      <c r="I725" s="13">
        <v>36.6</v>
      </c>
      <c r="J725" s="15">
        <f t="shared" si="166"/>
        <v>2.6999999999999993</v>
      </c>
      <c r="K725" s="13">
        <v>27.9</v>
      </c>
      <c r="L725" s="14"/>
      <c r="M725" s="14"/>
      <c r="N725" s="14"/>
      <c r="O725" s="14"/>
      <c r="P725" s="14"/>
      <c r="Q725" s="14"/>
      <c r="R725" s="14"/>
      <c r="S725" s="14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3.2">
      <c r="A726" s="14"/>
      <c r="B726" s="5">
        <v>5</v>
      </c>
      <c r="C726" s="5">
        <f t="shared" si="160"/>
        <v>35</v>
      </c>
      <c r="D726" s="20">
        <v>43034</v>
      </c>
      <c r="E726" s="11">
        <v>362.8</v>
      </c>
      <c r="F726" s="12"/>
      <c r="G726" s="14"/>
      <c r="H726" s="14"/>
      <c r="I726" s="15"/>
      <c r="J726" s="15"/>
      <c r="K726" s="15"/>
      <c r="L726" s="14"/>
      <c r="M726" s="14"/>
      <c r="N726" s="14"/>
      <c r="O726" s="14"/>
      <c r="P726" s="14"/>
      <c r="Q726" s="14"/>
      <c r="R726" s="14"/>
      <c r="S726" s="14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3.2">
      <c r="A727" s="14"/>
      <c r="B727" s="5">
        <v>5</v>
      </c>
      <c r="C727" s="5">
        <f t="shared" si="160"/>
        <v>36</v>
      </c>
      <c r="D727" s="20">
        <v>43035</v>
      </c>
      <c r="E727" s="11">
        <v>357.2</v>
      </c>
      <c r="F727" s="12">
        <f t="shared" ref="F727:F729" si="167">(E726-E727)/(D727-D726)</f>
        <v>5.6000000000000227</v>
      </c>
      <c r="G727" s="14"/>
      <c r="H727" s="14"/>
      <c r="I727" s="13">
        <v>29.6</v>
      </c>
      <c r="J727" s="15">
        <f>(I725-I727)/(D727-D725)</f>
        <v>3.5</v>
      </c>
      <c r="K727" s="13">
        <v>29</v>
      </c>
      <c r="L727" s="14"/>
      <c r="M727" s="14"/>
      <c r="N727" s="14"/>
      <c r="O727" s="14"/>
      <c r="P727" s="14"/>
      <c r="Q727" s="14"/>
      <c r="R727" s="14"/>
      <c r="S727" s="14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3.2">
      <c r="A728" s="14"/>
      <c r="B728" s="5">
        <v>5</v>
      </c>
      <c r="C728" s="5">
        <f t="shared" si="160"/>
        <v>39</v>
      </c>
      <c r="D728" s="20">
        <v>43038</v>
      </c>
      <c r="E728" s="11">
        <v>339.5</v>
      </c>
      <c r="F728" s="12">
        <f t="shared" si="167"/>
        <v>5.8999999999999959</v>
      </c>
      <c r="G728" s="14"/>
      <c r="H728" s="14"/>
      <c r="I728" s="13">
        <v>21.4</v>
      </c>
      <c r="J728" s="15">
        <f>(I727-I728)/(D728-D727)</f>
        <v>2.7333333333333343</v>
      </c>
      <c r="K728" s="13">
        <v>29.1</v>
      </c>
      <c r="L728" s="14"/>
      <c r="M728" s="14"/>
      <c r="N728" s="14"/>
      <c r="O728" s="14"/>
      <c r="P728" s="14"/>
      <c r="Q728" s="14"/>
      <c r="R728" s="14"/>
      <c r="S728" s="14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3.2">
      <c r="A729" s="14"/>
      <c r="B729" s="5">
        <v>5</v>
      </c>
      <c r="C729" s="5">
        <f t="shared" si="160"/>
        <v>41</v>
      </c>
      <c r="D729" s="20">
        <v>43040</v>
      </c>
      <c r="E729" s="11">
        <v>329.5</v>
      </c>
      <c r="F729" s="12">
        <f t="shared" si="167"/>
        <v>5</v>
      </c>
      <c r="G729" s="14"/>
      <c r="H729" s="14"/>
      <c r="I729" s="13">
        <v>81.8</v>
      </c>
      <c r="J729" s="14">
        <f>(89-I729)/(D729-D728)</f>
        <v>3.6000000000000014</v>
      </c>
      <c r="K729" s="13">
        <v>30.9</v>
      </c>
      <c r="L729" s="14"/>
      <c r="M729" s="14"/>
      <c r="N729" s="14"/>
      <c r="O729" s="14"/>
      <c r="P729" s="14"/>
      <c r="Q729" s="14"/>
      <c r="R729" s="14"/>
      <c r="S729" s="14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3.2">
      <c r="A730" s="14"/>
      <c r="B730" s="5">
        <v>6</v>
      </c>
      <c r="C730" s="5">
        <f t="shared" si="160"/>
        <v>42</v>
      </c>
      <c r="D730" s="20">
        <v>43041</v>
      </c>
      <c r="E730" s="11">
        <v>379.4</v>
      </c>
      <c r="F730" s="12"/>
      <c r="G730" s="14"/>
      <c r="H730" s="14"/>
      <c r="I730" s="15"/>
      <c r="J730" s="14"/>
      <c r="K730" s="15"/>
      <c r="L730" s="14"/>
      <c r="M730" s="14"/>
      <c r="N730" s="14"/>
      <c r="O730" s="14"/>
      <c r="P730" s="14"/>
      <c r="Q730" s="14"/>
      <c r="R730" s="14"/>
      <c r="S730" s="14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3.2">
      <c r="A731" s="14"/>
      <c r="B731" s="5">
        <v>6</v>
      </c>
      <c r="C731" s="5">
        <f t="shared" si="160"/>
        <v>43</v>
      </c>
      <c r="D731" s="20">
        <v>43042</v>
      </c>
      <c r="E731" s="11">
        <v>373.6</v>
      </c>
      <c r="F731" s="12">
        <f t="shared" ref="F731:F733" si="168">(E730-E731)/(D731-D730)</f>
        <v>5.7999999999999545</v>
      </c>
      <c r="G731" s="14"/>
      <c r="H731" s="14"/>
      <c r="I731" s="13">
        <v>77</v>
      </c>
      <c r="J731" s="15">
        <f>(I729-I731)/(D731-D729)</f>
        <v>2.3999999999999986</v>
      </c>
      <c r="K731" s="13">
        <v>30.9</v>
      </c>
      <c r="L731" s="14"/>
      <c r="M731" s="14"/>
      <c r="N731" s="14"/>
      <c r="O731" s="14"/>
      <c r="P731" s="14"/>
      <c r="Q731" s="14"/>
      <c r="R731" s="14"/>
      <c r="S731" s="14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3.2">
      <c r="A732" s="14"/>
      <c r="B732" s="5">
        <v>6</v>
      </c>
      <c r="C732" s="5">
        <f t="shared" si="160"/>
        <v>46</v>
      </c>
      <c r="D732" s="20">
        <v>43045</v>
      </c>
      <c r="E732" s="11">
        <v>359.1</v>
      </c>
      <c r="F732" s="12">
        <f t="shared" si="168"/>
        <v>4.833333333333333</v>
      </c>
      <c r="G732" s="14"/>
      <c r="H732" s="14"/>
      <c r="I732" s="13">
        <v>67.5</v>
      </c>
      <c r="J732" s="15">
        <f t="shared" ref="J732:J733" si="169">(I731-I732)/(D732-D731)</f>
        <v>3.1666666666666665</v>
      </c>
      <c r="K732" s="13">
        <v>32.4</v>
      </c>
      <c r="L732" s="14"/>
      <c r="M732" s="14"/>
      <c r="N732" s="14"/>
      <c r="O732" s="14"/>
      <c r="P732" s="14"/>
      <c r="Q732" s="14"/>
      <c r="R732" s="14"/>
      <c r="S732" s="14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3.2">
      <c r="A733" s="14"/>
      <c r="B733" s="5">
        <v>6</v>
      </c>
      <c r="C733" s="5">
        <f t="shared" si="160"/>
        <v>48</v>
      </c>
      <c r="D733" s="20">
        <v>43047</v>
      </c>
      <c r="E733" s="11">
        <v>350.7</v>
      </c>
      <c r="F733" s="12">
        <f t="shared" si="168"/>
        <v>4.2000000000000171</v>
      </c>
      <c r="G733" s="14"/>
      <c r="H733" s="14"/>
      <c r="I733" s="13">
        <v>63.4</v>
      </c>
      <c r="J733" s="15">
        <f t="shared" si="169"/>
        <v>2.0500000000000007</v>
      </c>
      <c r="K733" s="13">
        <v>32.299999999999997</v>
      </c>
      <c r="L733" s="14"/>
      <c r="M733" s="14"/>
      <c r="N733" s="14"/>
      <c r="O733" s="14"/>
      <c r="P733" s="14"/>
      <c r="Q733" s="14"/>
      <c r="R733" s="14"/>
      <c r="S733" s="14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3.2">
      <c r="A734" s="14"/>
      <c r="B734" s="5">
        <v>7</v>
      </c>
      <c r="C734" s="5">
        <f t="shared" si="160"/>
        <v>49</v>
      </c>
      <c r="D734" s="20">
        <v>43048</v>
      </c>
      <c r="E734" s="11">
        <v>386.1</v>
      </c>
      <c r="F734" s="12"/>
      <c r="G734" s="14"/>
      <c r="H734" s="14"/>
      <c r="I734" s="15"/>
      <c r="J734" s="14"/>
      <c r="K734" s="15"/>
      <c r="L734" s="14"/>
      <c r="M734" s="14"/>
      <c r="N734" s="14"/>
      <c r="O734" s="14"/>
      <c r="P734" s="14"/>
      <c r="Q734" s="14"/>
      <c r="R734" s="14"/>
      <c r="S734" s="14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3.2">
      <c r="A735" s="14"/>
      <c r="B735" s="5">
        <v>7</v>
      </c>
      <c r="C735" s="5">
        <f t="shared" si="160"/>
        <v>50</v>
      </c>
      <c r="D735" s="20">
        <v>43049</v>
      </c>
      <c r="E735" s="11">
        <v>377.7</v>
      </c>
      <c r="F735" s="12">
        <f t="shared" ref="F735:F737" si="170">(E734-E735)/(D735-D734)</f>
        <v>8.4000000000000341</v>
      </c>
      <c r="G735" s="14"/>
      <c r="H735" s="14"/>
      <c r="I735" s="13">
        <v>56.8</v>
      </c>
      <c r="J735" s="15">
        <f>(I733-I735)/(D735-D733)</f>
        <v>3.3000000000000007</v>
      </c>
      <c r="K735" s="13">
        <v>33.200000000000003</v>
      </c>
      <c r="L735" s="14"/>
      <c r="M735" s="14"/>
      <c r="N735" s="14"/>
      <c r="O735" s="14"/>
      <c r="P735" s="14"/>
      <c r="Q735" s="14"/>
      <c r="R735" s="14"/>
      <c r="S735" s="14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3.2">
      <c r="A736" s="14"/>
      <c r="B736" s="5">
        <v>7</v>
      </c>
      <c r="C736" s="5">
        <f t="shared" si="160"/>
        <v>53</v>
      </c>
      <c r="D736" s="20">
        <v>43052</v>
      </c>
      <c r="E736" s="11">
        <v>364.2</v>
      </c>
      <c r="F736" s="12">
        <f t="shared" si="170"/>
        <v>4.5</v>
      </c>
      <c r="G736" s="14"/>
      <c r="H736" s="14"/>
      <c r="I736" s="13">
        <v>49.4</v>
      </c>
      <c r="J736" s="15">
        <f t="shared" ref="J736:J737" si="171">(I735-I736)/(D736-D735)</f>
        <v>2.4666666666666663</v>
      </c>
      <c r="K736" s="13">
        <v>33.799999999999997</v>
      </c>
      <c r="L736" s="14"/>
      <c r="M736" s="14"/>
      <c r="N736" s="14"/>
      <c r="O736" s="14"/>
      <c r="P736" s="14"/>
      <c r="Q736" s="14"/>
      <c r="R736" s="14"/>
      <c r="S736" s="14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3.2">
      <c r="A737" s="14"/>
      <c r="B737" s="5">
        <v>7</v>
      </c>
      <c r="C737" s="5">
        <f t="shared" si="160"/>
        <v>55</v>
      </c>
      <c r="D737" s="20">
        <v>43054</v>
      </c>
      <c r="E737" s="11">
        <v>345.1</v>
      </c>
      <c r="F737" s="12">
        <f t="shared" si="170"/>
        <v>9.5499999999999829</v>
      </c>
      <c r="G737" s="14"/>
      <c r="H737" s="14"/>
      <c r="I737" s="13">
        <v>40.4</v>
      </c>
      <c r="J737" s="15">
        <f t="shared" si="171"/>
        <v>4.5</v>
      </c>
      <c r="K737" s="13">
        <v>34.299999999999997</v>
      </c>
      <c r="L737" s="14"/>
      <c r="M737" s="14"/>
      <c r="N737" s="14"/>
      <c r="O737" s="14"/>
      <c r="P737" s="14"/>
      <c r="Q737" s="14"/>
      <c r="R737" s="14"/>
      <c r="S737" s="14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3.2">
      <c r="A738" s="14"/>
      <c r="B738" s="5">
        <v>8</v>
      </c>
      <c r="C738" s="5">
        <f t="shared" si="160"/>
        <v>56</v>
      </c>
      <c r="D738" s="20">
        <v>43055</v>
      </c>
      <c r="E738" s="11">
        <v>389.3</v>
      </c>
      <c r="F738" s="12"/>
      <c r="G738" s="14"/>
      <c r="H738" s="14"/>
      <c r="I738" s="15"/>
      <c r="J738" s="14"/>
      <c r="K738" s="15"/>
      <c r="L738" s="14"/>
      <c r="M738" s="14"/>
      <c r="N738" s="14"/>
      <c r="O738" s="14"/>
      <c r="P738" s="14"/>
      <c r="Q738" s="14"/>
      <c r="R738" s="14"/>
      <c r="S738" s="14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3.2">
      <c r="A739" s="14"/>
      <c r="B739" s="5">
        <v>8</v>
      </c>
      <c r="C739" s="5">
        <f t="shared" si="160"/>
        <v>57</v>
      </c>
      <c r="D739" s="20">
        <v>43056</v>
      </c>
      <c r="E739" s="11">
        <v>382.6</v>
      </c>
      <c r="F739" s="12">
        <f t="shared" ref="F739:F740" si="172">(E738-E739)/(D739-D738)</f>
        <v>6.6999999999999886</v>
      </c>
      <c r="G739" s="14"/>
      <c r="H739" s="14"/>
      <c r="I739" s="13">
        <v>34.6</v>
      </c>
      <c r="J739" s="15">
        <f>(I737-I739)/(D739-D737)</f>
        <v>2.8999999999999986</v>
      </c>
      <c r="K739" s="13">
        <v>35</v>
      </c>
      <c r="L739" s="14"/>
      <c r="M739" s="14"/>
      <c r="N739" s="14"/>
      <c r="O739" s="14"/>
      <c r="P739" s="14"/>
      <c r="Q739" s="14"/>
      <c r="R739" s="14"/>
      <c r="S739" s="14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3.2">
      <c r="A740" s="14"/>
      <c r="B740" s="5">
        <v>8</v>
      </c>
      <c r="C740" s="5">
        <f t="shared" si="160"/>
        <v>60</v>
      </c>
      <c r="D740" s="20">
        <v>43059</v>
      </c>
      <c r="E740" s="11">
        <v>370.5</v>
      </c>
      <c r="F740" s="12">
        <f t="shared" si="172"/>
        <v>4.0333333333333412</v>
      </c>
      <c r="G740" s="14"/>
      <c r="H740" s="14"/>
      <c r="I740" s="13">
        <v>26.7</v>
      </c>
      <c r="J740" s="15">
        <f>(I739-I740)/(D740-D739)</f>
        <v>2.6333333333333342</v>
      </c>
      <c r="K740" s="13">
        <v>35.5</v>
      </c>
      <c r="L740" s="14"/>
      <c r="M740" s="14"/>
      <c r="N740" s="14"/>
      <c r="O740" s="14"/>
      <c r="P740" s="14"/>
      <c r="Q740" s="14"/>
      <c r="R740" s="14"/>
      <c r="S740" s="14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3.2">
      <c r="A741" s="14"/>
      <c r="B741" s="5">
        <v>8</v>
      </c>
      <c r="C741" s="5">
        <f t="shared" si="160"/>
        <v>61</v>
      </c>
      <c r="D741" s="20">
        <v>43060</v>
      </c>
      <c r="E741" s="11">
        <v>372.8</v>
      </c>
      <c r="F741" s="12"/>
      <c r="G741" s="14"/>
      <c r="H741" s="14"/>
      <c r="I741" s="15"/>
      <c r="J741" s="14"/>
      <c r="K741" s="15"/>
      <c r="L741" s="14"/>
      <c r="M741" s="14"/>
      <c r="N741" s="14"/>
      <c r="O741" s="14"/>
      <c r="P741" s="14"/>
      <c r="Q741" s="14"/>
      <c r="R741" s="14"/>
      <c r="S741" s="14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3.2">
      <c r="A742" s="14"/>
      <c r="B742" s="5">
        <v>8</v>
      </c>
      <c r="C742" s="5">
        <f t="shared" si="160"/>
        <v>62</v>
      </c>
      <c r="D742" s="20">
        <v>43061</v>
      </c>
      <c r="E742" s="11">
        <v>368.1</v>
      </c>
      <c r="F742" s="12">
        <f>(E741-E742)/(D742-D741)</f>
        <v>4.6999999999999886</v>
      </c>
      <c r="G742" s="14"/>
      <c r="H742" s="14"/>
      <c r="I742" s="13">
        <v>119.4</v>
      </c>
      <c r="J742" s="14">
        <f>(127.5-I742)/(D742-D741)</f>
        <v>8.0999999999999943</v>
      </c>
      <c r="K742" s="13">
        <v>36.4</v>
      </c>
      <c r="L742" s="14"/>
      <c r="M742" s="14"/>
      <c r="N742" s="14"/>
      <c r="O742" s="14"/>
      <c r="P742" s="14"/>
      <c r="Q742" s="14"/>
      <c r="R742" s="14"/>
      <c r="S742" s="14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3.2">
      <c r="A743" s="14"/>
      <c r="B743" s="5">
        <v>9</v>
      </c>
      <c r="C743" s="5">
        <f t="shared" si="160"/>
        <v>63</v>
      </c>
      <c r="D743" s="20">
        <v>43062</v>
      </c>
      <c r="E743" s="11"/>
      <c r="F743" s="12"/>
      <c r="G743" s="14"/>
      <c r="H743" s="14"/>
      <c r="I743" s="13"/>
      <c r="J743" s="15"/>
      <c r="K743" s="13"/>
      <c r="L743" s="14"/>
      <c r="M743" s="14"/>
      <c r="N743" s="14"/>
      <c r="O743" s="14"/>
      <c r="P743" s="14"/>
      <c r="Q743" s="14"/>
      <c r="R743" s="14"/>
      <c r="S743" s="14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3.2">
      <c r="A744" s="14"/>
      <c r="B744" s="5">
        <v>9</v>
      </c>
      <c r="C744" s="5">
        <f t="shared" si="160"/>
        <v>64</v>
      </c>
      <c r="D744" s="20">
        <v>43063</v>
      </c>
      <c r="E744" s="11">
        <v>359.3</v>
      </c>
      <c r="F744" s="12">
        <f>(E742-E744)/(D744-D742)</f>
        <v>4.4000000000000057</v>
      </c>
      <c r="G744" s="14"/>
      <c r="H744" s="14"/>
      <c r="I744" s="13">
        <v>113.8</v>
      </c>
      <c r="J744" s="15">
        <f>(I742-I744)/(D744-D742)</f>
        <v>2.8000000000000043</v>
      </c>
      <c r="K744" s="13">
        <v>36.6</v>
      </c>
      <c r="L744" s="14"/>
      <c r="M744" s="14"/>
      <c r="N744" s="14"/>
      <c r="O744" s="14"/>
      <c r="P744" s="14"/>
      <c r="Q744" s="14"/>
      <c r="R744" s="14"/>
      <c r="S744" s="14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3.2">
      <c r="A745" s="14"/>
      <c r="B745" s="5">
        <v>9</v>
      </c>
      <c r="C745" s="5">
        <f t="shared" si="160"/>
        <v>67</v>
      </c>
      <c r="D745" s="23">
        <v>43066</v>
      </c>
      <c r="E745" s="11">
        <v>347.7</v>
      </c>
      <c r="F745" s="12">
        <f t="shared" ref="F745:F746" si="173">(E744-E745)/(D745-D744)</f>
        <v>3.8666666666666742</v>
      </c>
      <c r="G745" s="14"/>
      <c r="H745" s="14"/>
      <c r="I745" s="13">
        <v>103.1</v>
      </c>
      <c r="J745" s="15">
        <f t="shared" ref="J745:J746" si="174">(I744-I745)/(D745-D744)</f>
        <v>3.5666666666666678</v>
      </c>
      <c r="K745" s="13">
        <v>38.200000000000003</v>
      </c>
      <c r="L745" s="14"/>
      <c r="M745" s="14"/>
      <c r="N745" s="14"/>
      <c r="O745" s="14"/>
      <c r="P745" s="14"/>
      <c r="Q745" s="14"/>
      <c r="R745" s="14"/>
      <c r="S745" s="14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3.2">
      <c r="A746" s="14"/>
      <c r="B746" s="5">
        <v>9</v>
      </c>
      <c r="C746" s="5">
        <f t="shared" si="160"/>
        <v>69</v>
      </c>
      <c r="D746" s="23">
        <v>43068</v>
      </c>
      <c r="E746" s="11">
        <v>338.6</v>
      </c>
      <c r="F746" s="12">
        <f t="shared" si="173"/>
        <v>4.5499999999999829</v>
      </c>
      <c r="G746" s="14"/>
      <c r="H746" s="14"/>
      <c r="I746" s="13">
        <v>99.2</v>
      </c>
      <c r="J746" s="15">
        <f t="shared" si="174"/>
        <v>1.9499999999999957</v>
      </c>
      <c r="K746" s="13">
        <v>38.200000000000003</v>
      </c>
      <c r="L746" s="14"/>
      <c r="M746" s="14"/>
      <c r="N746" s="14"/>
      <c r="O746" s="14"/>
      <c r="P746" s="14"/>
      <c r="Q746" s="14"/>
      <c r="R746" s="14"/>
      <c r="S746" s="14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3.2">
      <c r="A747" s="14"/>
      <c r="B747" s="5">
        <v>10</v>
      </c>
      <c r="C747" s="5">
        <f t="shared" si="160"/>
        <v>70</v>
      </c>
      <c r="D747" s="23">
        <v>43069</v>
      </c>
      <c r="E747" s="11">
        <v>389.8</v>
      </c>
      <c r="F747" s="12"/>
      <c r="G747" s="14"/>
      <c r="H747" s="14"/>
      <c r="I747" s="15"/>
      <c r="J747" s="14"/>
      <c r="K747" s="15"/>
      <c r="L747" s="14"/>
      <c r="M747" s="14"/>
      <c r="N747" s="14"/>
      <c r="O747" s="14"/>
      <c r="P747" s="14"/>
      <c r="Q747" s="14"/>
      <c r="R747" s="14"/>
      <c r="S747" s="14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3.2">
      <c r="A748" s="14"/>
      <c r="B748" s="5">
        <v>10</v>
      </c>
      <c r="C748" s="5">
        <f t="shared" si="160"/>
        <v>71</v>
      </c>
      <c r="D748" s="23">
        <v>43070</v>
      </c>
      <c r="E748" s="11">
        <v>381.8</v>
      </c>
      <c r="F748" s="12">
        <f t="shared" ref="F748:F750" si="175">(E747-E748)/(D748-D747)</f>
        <v>8</v>
      </c>
      <c r="G748" s="14"/>
      <c r="H748" s="14"/>
      <c r="I748" s="13">
        <v>93</v>
      </c>
      <c r="J748" s="15">
        <f>(I746-I748)/(D748-D746)</f>
        <v>3.1000000000000014</v>
      </c>
      <c r="K748" s="13">
        <v>38.6</v>
      </c>
      <c r="L748" s="14"/>
      <c r="M748" s="14"/>
      <c r="N748" s="14"/>
      <c r="O748" s="14"/>
      <c r="P748" s="14"/>
      <c r="Q748" s="14"/>
      <c r="R748" s="14"/>
      <c r="S748" s="14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3.2">
      <c r="A749" s="14"/>
      <c r="B749" s="5">
        <v>10</v>
      </c>
      <c r="C749" s="5">
        <f t="shared" si="160"/>
        <v>74</v>
      </c>
      <c r="D749" s="23">
        <v>43073</v>
      </c>
      <c r="E749" s="11">
        <v>372.5</v>
      </c>
      <c r="F749" s="12">
        <f t="shared" si="175"/>
        <v>3.1000000000000036</v>
      </c>
      <c r="G749" s="14"/>
      <c r="H749" s="14"/>
      <c r="I749" s="13">
        <v>85</v>
      </c>
      <c r="J749" s="15">
        <f t="shared" ref="J749:J750" si="176">(I748-I749)/(D749-D748)</f>
        <v>2.6666666666666665</v>
      </c>
      <c r="K749" s="13">
        <v>38.700000000000003</v>
      </c>
      <c r="L749" s="14"/>
      <c r="M749" s="14"/>
      <c r="N749" s="14"/>
      <c r="O749" s="14"/>
      <c r="P749" s="14"/>
      <c r="Q749" s="14"/>
      <c r="R749" s="14"/>
      <c r="S749" s="14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3.2">
      <c r="A750" s="14"/>
      <c r="B750" s="5">
        <v>10</v>
      </c>
      <c r="C750" s="5">
        <f t="shared" si="160"/>
        <v>76</v>
      </c>
      <c r="D750" s="23">
        <v>43075</v>
      </c>
      <c r="E750" s="11">
        <v>361.7</v>
      </c>
      <c r="F750" s="12">
        <f t="shared" si="175"/>
        <v>5.4000000000000057</v>
      </c>
      <c r="G750" s="14"/>
      <c r="H750" s="14"/>
      <c r="I750" s="13">
        <v>78.599999999999994</v>
      </c>
      <c r="J750" s="15">
        <f t="shared" si="176"/>
        <v>3.2000000000000028</v>
      </c>
      <c r="K750" s="13">
        <v>39.700000000000003</v>
      </c>
      <c r="L750" s="14"/>
      <c r="M750" s="14"/>
      <c r="N750" s="14"/>
      <c r="O750" s="14"/>
      <c r="P750" s="14"/>
      <c r="Q750" s="14"/>
      <c r="R750" s="14"/>
      <c r="S750" s="14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3.2">
      <c r="A751" s="14"/>
      <c r="B751" s="5">
        <v>11</v>
      </c>
      <c r="C751" s="5">
        <f t="shared" si="160"/>
        <v>77</v>
      </c>
      <c r="D751" s="24">
        <v>43076</v>
      </c>
      <c r="E751" s="11">
        <v>377.6</v>
      </c>
      <c r="F751" s="12"/>
      <c r="G751" s="14"/>
      <c r="H751" s="14"/>
      <c r="I751" s="15"/>
      <c r="J751" s="14"/>
      <c r="K751" s="15"/>
      <c r="L751" s="14"/>
      <c r="M751" s="14"/>
      <c r="N751" s="14"/>
      <c r="O751" s="14"/>
      <c r="P751" s="14"/>
      <c r="Q751" s="14"/>
      <c r="R751" s="14"/>
      <c r="S751" s="14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3.2">
      <c r="A752" s="14"/>
      <c r="B752" s="5">
        <v>11</v>
      </c>
      <c r="C752" s="5">
        <f t="shared" si="160"/>
        <v>78</v>
      </c>
      <c r="D752" s="24">
        <v>43077</v>
      </c>
      <c r="E752" s="11">
        <v>371.9</v>
      </c>
      <c r="F752" s="12">
        <f t="shared" ref="F752:F754" si="177">(E751-E752)/(D752-D751)</f>
        <v>5.7000000000000455</v>
      </c>
      <c r="G752" s="14"/>
      <c r="H752" s="14"/>
      <c r="I752" s="13">
        <v>72.900000000000006</v>
      </c>
      <c r="J752" s="15">
        <f>(I750-I752)/(D752-D750)</f>
        <v>2.8499999999999943</v>
      </c>
      <c r="K752" s="13">
        <v>40</v>
      </c>
      <c r="L752" s="14"/>
      <c r="M752" s="14"/>
      <c r="N752" s="14"/>
      <c r="O752" s="14"/>
      <c r="P752" s="14"/>
      <c r="Q752" s="14"/>
      <c r="R752" s="14"/>
      <c r="S752" s="14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3.2">
      <c r="A753" s="14"/>
      <c r="B753" s="5">
        <v>11</v>
      </c>
      <c r="C753" s="5">
        <f t="shared" si="160"/>
        <v>81</v>
      </c>
      <c r="D753" s="24">
        <v>43080</v>
      </c>
      <c r="E753" s="11">
        <v>361.9</v>
      </c>
      <c r="F753" s="12">
        <f t="shared" si="177"/>
        <v>3.3333333333333335</v>
      </c>
      <c r="G753" s="14"/>
      <c r="H753" s="14"/>
      <c r="I753" s="13">
        <v>63.5</v>
      </c>
      <c r="J753" s="15">
        <f t="shared" ref="J753:J754" si="178">(I752-I753)/(D753-D752)</f>
        <v>3.1333333333333351</v>
      </c>
      <c r="K753" s="13">
        <v>41.5</v>
      </c>
      <c r="L753" s="14"/>
      <c r="M753" s="14"/>
      <c r="N753" s="14"/>
      <c r="O753" s="14"/>
      <c r="P753" s="14"/>
      <c r="Q753" s="14"/>
      <c r="R753" s="14"/>
      <c r="S753" s="14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26.4">
      <c r="A754" s="5" t="s">
        <v>45</v>
      </c>
      <c r="B754" s="5">
        <v>11</v>
      </c>
      <c r="C754" s="5">
        <f t="shared" si="160"/>
        <v>83</v>
      </c>
      <c r="D754" s="25">
        <v>43082</v>
      </c>
      <c r="E754" s="11">
        <v>351.2</v>
      </c>
      <c r="F754" s="12">
        <f t="shared" si="177"/>
        <v>5.3499999999999943</v>
      </c>
      <c r="G754" s="14"/>
      <c r="H754" s="14"/>
      <c r="I754" s="13">
        <v>59.8</v>
      </c>
      <c r="J754" s="15">
        <f t="shared" si="178"/>
        <v>1.8500000000000014</v>
      </c>
      <c r="K754" s="13">
        <v>41.9</v>
      </c>
      <c r="L754" s="14"/>
      <c r="M754" s="14"/>
      <c r="N754" s="14"/>
      <c r="O754" s="14"/>
      <c r="P754" s="14"/>
      <c r="Q754" s="14"/>
      <c r="R754" s="14"/>
      <c r="S754" s="14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3.2">
      <c r="A755" s="14"/>
      <c r="B755" s="5">
        <v>12</v>
      </c>
      <c r="C755" s="5">
        <f t="shared" si="160"/>
        <v>84</v>
      </c>
      <c r="D755" s="24">
        <v>43083</v>
      </c>
      <c r="E755" s="12"/>
      <c r="F755" s="12"/>
      <c r="G755" s="14"/>
      <c r="H755" s="14"/>
      <c r="I755" s="15"/>
      <c r="J755" s="14"/>
      <c r="K755" s="13"/>
      <c r="L755" s="14"/>
      <c r="M755" s="14"/>
      <c r="N755" s="14"/>
      <c r="O755" s="14"/>
      <c r="P755" s="14"/>
      <c r="Q755" s="14"/>
      <c r="R755" s="14"/>
      <c r="S755" s="14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3.2">
      <c r="A756" s="26" t="s">
        <v>28</v>
      </c>
      <c r="B756" s="26">
        <v>12</v>
      </c>
      <c r="C756" s="26">
        <f t="shared" si="160"/>
        <v>85</v>
      </c>
      <c r="D756" s="27">
        <v>43084</v>
      </c>
      <c r="E756" s="28"/>
      <c r="F756" s="28"/>
      <c r="G756" s="29"/>
      <c r="H756" s="29"/>
      <c r="I756" s="30"/>
      <c r="J756" s="29"/>
      <c r="K756" s="31">
        <v>42.1</v>
      </c>
      <c r="L756" s="29"/>
      <c r="M756" s="29"/>
      <c r="N756" s="29"/>
      <c r="O756" s="29"/>
      <c r="P756" s="29"/>
      <c r="Q756" s="29"/>
      <c r="R756" s="29"/>
      <c r="S756" s="14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3.2">
      <c r="A757" s="14"/>
      <c r="B757" s="5">
        <v>12</v>
      </c>
      <c r="C757" s="5">
        <f t="shared" si="160"/>
        <v>98</v>
      </c>
      <c r="D757" s="32">
        <v>43097</v>
      </c>
      <c r="E757" s="12"/>
      <c r="F757" s="12"/>
      <c r="G757" s="14"/>
      <c r="H757" s="14"/>
      <c r="I757" s="33">
        <v>73.5</v>
      </c>
      <c r="J757" s="14"/>
      <c r="K757" s="33">
        <v>46.5</v>
      </c>
      <c r="L757" s="14"/>
      <c r="M757" s="14"/>
      <c r="N757" s="14"/>
      <c r="O757" s="14"/>
      <c r="P757" s="14"/>
      <c r="Q757" s="14"/>
      <c r="R757" s="14"/>
      <c r="S757" s="14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3.2">
      <c r="A758" s="14"/>
      <c r="B758" s="5">
        <v>12</v>
      </c>
      <c r="C758" s="5">
        <f t="shared" si="160"/>
        <v>105</v>
      </c>
      <c r="D758" s="32">
        <v>43104</v>
      </c>
      <c r="E758" s="12"/>
      <c r="F758" s="12"/>
      <c r="G758" s="14"/>
      <c r="H758" s="14"/>
      <c r="I758" s="33">
        <v>50.7</v>
      </c>
      <c r="J758" s="14"/>
      <c r="K758" s="33">
        <v>47.4</v>
      </c>
      <c r="L758" s="14"/>
      <c r="M758" s="14"/>
      <c r="N758" s="14"/>
      <c r="O758" s="14"/>
      <c r="P758" s="14"/>
      <c r="Q758" s="14"/>
      <c r="R758" s="14"/>
      <c r="S758" s="14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3.2">
      <c r="A759" s="14"/>
      <c r="B759" s="14"/>
      <c r="C759" s="5">
        <f t="shared" si="160"/>
        <v>112</v>
      </c>
      <c r="D759" s="32">
        <v>43111</v>
      </c>
      <c r="E759" s="12"/>
      <c r="F759" s="12"/>
      <c r="G759" s="14"/>
      <c r="H759" s="14"/>
      <c r="I759" s="33">
        <v>28.4</v>
      </c>
      <c r="J759" s="14"/>
      <c r="K759" s="33">
        <v>48.5</v>
      </c>
      <c r="L759" s="14"/>
      <c r="M759" s="14"/>
      <c r="N759" s="14"/>
      <c r="O759" s="14"/>
      <c r="P759" s="14"/>
      <c r="Q759" s="14"/>
      <c r="R759" s="14"/>
      <c r="S759" s="14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3.2">
      <c r="A760" s="14"/>
      <c r="B760" s="14"/>
      <c r="C760" s="5">
        <f t="shared" si="160"/>
        <v>116</v>
      </c>
      <c r="D760" s="34">
        <v>43115</v>
      </c>
      <c r="E760" s="12"/>
      <c r="F760" s="12"/>
      <c r="G760" s="14"/>
      <c r="H760" s="14"/>
      <c r="I760" s="33"/>
      <c r="J760" s="14"/>
      <c r="K760" s="33"/>
      <c r="L760" s="14"/>
      <c r="M760" s="14"/>
      <c r="N760" s="14"/>
      <c r="O760" s="14"/>
      <c r="P760" s="14"/>
      <c r="Q760" s="14"/>
      <c r="R760" s="14"/>
      <c r="S760" s="14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3.2">
      <c r="A761" s="14"/>
      <c r="B761" s="14"/>
      <c r="C761" s="5">
        <f t="shared" si="160"/>
        <v>117</v>
      </c>
      <c r="D761" s="20">
        <v>43116</v>
      </c>
      <c r="E761" s="12"/>
      <c r="F761" s="12"/>
      <c r="G761" s="14"/>
      <c r="H761" s="14"/>
      <c r="I761" s="33">
        <v>26.6</v>
      </c>
      <c r="J761" s="14"/>
      <c r="K761" s="33">
        <v>48.6</v>
      </c>
      <c r="L761" s="14"/>
      <c r="M761" s="14"/>
      <c r="N761" s="14"/>
      <c r="O761" s="14"/>
      <c r="P761" s="14"/>
      <c r="Q761" s="14"/>
      <c r="R761" s="14"/>
      <c r="S761" s="14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3.2">
      <c r="A762" s="14"/>
      <c r="B762" s="5"/>
      <c r="C762" s="5">
        <v>118</v>
      </c>
      <c r="D762" s="32">
        <v>43117</v>
      </c>
      <c r="E762" s="12"/>
      <c r="F762" s="12"/>
      <c r="G762" s="14"/>
      <c r="H762" s="14"/>
      <c r="I762" s="33">
        <v>57.4</v>
      </c>
      <c r="J762" s="14"/>
      <c r="K762" s="33">
        <v>49.7</v>
      </c>
      <c r="L762" s="14"/>
      <c r="M762" s="14"/>
      <c r="N762" s="14"/>
      <c r="O762" s="14"/>
      <c r="P762" s="14"/>
      <c r="Q762" s="14"/>
      <c r="R762" s="14"/>
      <c r="S762" s="14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3.2">
      <c r="A763" s="14"/>
      <c r="B763" s="5"/>
      <c r="C763" s="5">
        <v>119</v>
      </c>
      <c r="D763" s="32">
        <v>43118</v>
      </c>
      <c r="E763" s="12"/>
      <c r="F763" s="12"/>
      <c r="G763" s="14"/>
      <c r="H763" s="14"/>
      <c r="I763" s="33">
        <v>54</v>
      </c>
      <c r="J763" s="14"/>
      <c r="K763" s="33">
        <v>50</v>
      </c>
      <c r="L763" s="14"/>
      <c r="M763" s="14"/>
      <c r="N763" s="14"/>
      <c r="O763" s="14"/>
      <c r="P763" s="14"/>
      <c r="Q763" s="14"/>
      <c r="R763" s="14"/>
      <c r="S763" s="14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3.2">
      <c r="A764" s="14"/>
      <c r="B764" s="5"/>
      <c r="C764" s="5">
        <v>120</v>
      </c>
      <c r="D764" s="32">
        <v>43119</v>
      </c>
      <c r="E764" s="12"/>
      <c r="F764" s="12"/>
      <c r="G764" s="14"/>
      <c r="H764" s="14"/>
      <c r="I764" s="33">
        <v>51.3</v>
      </c>
      <c r="J764" s="14"/>
      <c r="K764" s="33">
        <v>50.1</v>
      </c>
      <c r="L764" s="14"/>
      <c r="M764" s="14"/>
      <c r="N764" s="14"/>
      <c r="O764" s="14"/>
      <c r="P764" s="14"/>
      <c r="Q764" s="14"/>
      <c r="R764" s="14"/>
      <c r="S764" s="14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3.2">
      <c r="A765" s="14"/>
      <c r="B765" s="5"/>
      <c r="C765" s="5">
        <v>121</v>
      </c>
      <c r="D765" s="32">
        <v>43120</v>
      </c>
      <c r="E765" s="12"/>
      <c r="F765" s="12"/>
      <c r="G765" s="14"/>
      <c r="H765" s="14"/>
      <c r="I765" s="33">
        <v>47.9</v>
      </c>
      <c r="J765" s="14"/>
      <c r="K765" s="33">
        <v>50.6</v>
      </c>
      <c r="L765" s="14"/>
      <c r="M765" s="14"/>
      <c r="N765" s="14"/>
      <c r="O765" s="14"/>
      <c r="P765" s="14"/>
      <c r="Q765" s="14"/>
      <c r="R765" s="14"/>
      <c r="S765" s="14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3.2">
      <c r="A766" s="14"/>
      <c r="B766" s="5"/>
      <c r="C766" s="5">
        <v>122</v>
      </c>
      <c r="D766" s="32">
        <v>43121</v>
      </c>
      <c r="E766" s="12"/>
      <c r="F766" s="12"/>
      <c r="G766" s="14"/>
      <c r="H766" s="14"/>
      <c r="I766" s="33">
        <v>44.9</v>
      </c>
      <c r="J766" s="14"/>
      <c r="K766" s="33">
        <v>50.6</v>
      </c>
      <c r="L766" s="14"/>
      <c r="M766" s="14"/>
      <c r="N766" s="14"/>
      <c r="O766" s="14"/>
      <c r="P766" s="14"/>
      <c r="Q766" s="14"/>
      <c r="R766" s="14"/>
      <c r="S766" s="14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3.2">
      <c r="A767" s="14"/>
      <c r="B767" s="5"/>
      <c r="C767" s="5">
        <v>123</v>
      </c>
      <c r="D767" s="32">
        <v>43122</v>
      </c>
      <c r="E767" s="12"/>
      <c r="F767" s="12"/>
      <c r="G767" s="14"/>
      <c r="H767" s="14"/>
      <c r="I767" s="33">
        <v>41.7</v>
      </c>
      <c r="J767" s="14"/>
      <c r="K767" s="33">
        <v>50.8</v>
      </c>
      <c r="L767" s="14"/>
      <c r="M767" s="14"/>
      <c r="N767" s="14"/>
      <c r="O767" s="14"/>
      <c r="P767" s="14"/>
      <c r="Q767" s="14"/>
      <c r="R767" s="14"/>
      <c r="S767" s="14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3.2">
      <c r="A768" s="14"/>
      <c r="B768" s="5"/>
      <c r="C768" s="5">
        <v>124</v>
      </c>
      <c r="D768" s="32">
        <v>43123</v>
      </c>
      <c r="E768" s="12"/>
      <c r="F768" s="12"/>
      <c r="G768" s="14"/>
      <c r="H768" s="14"/>
      <c r="I768" s="33">
        <v>38.9</v>
      </c>
      <c r="J768" s="14"/>
      <c r="K768" s="33">
        <v>50.8</v>
      </c>
      <c r="L768" s="14"/>
      <c r="M768" s="14"/>
      <c r="N768" s="14"/>
      <c r="O768" s="14"/>
      <c r="P768" s="14"/>
      <c r="Q768" s="14"/>
      <c r="R768" s="14"/>
      <c r="S768" s="14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3.2">
      <c r="A769" s="14"/>
      <c r="B769" s="5"/>
      <c r="C769" s="5">
        <v>125</v>
      </c>
      <c r="D769" s="52">
        <v>43124</v>
      </c>
      <c r="E769" s="12"/>
      <c r="F769" s="12"/>
      <c r="G769" s="14"/>
      <c r="H769" s="14"/>
      <c r="I769" s="33">
        <v>70.400000000000006</v>
      </c>
      <c r="J769" s="14"/>
      <c r="K769" s="33">
        <v>50.6</v>
      </c>
      <c r="L769" s="14"/>
      <c r="M769" s="14"/>
      <c r="N769" s="14"/>
      <c r="O769" s="14"/>
      <c r="P769" s="14"/>
      <c r="Q769" s="14"/>
      <c r="R769" s="14"/>
      <c r="S769" s="14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3.2">
      <c r="A770" s="14"/>
      <c r="B770" s="5"/>
      <c r="C770" s="5">
        <v>126</v>
      </c>
      <c r="D770" s="52">
        <v>43125</v>
      </c>
      <c r="E770" s="12"/>
      <c r="F770" s="12"/>
      <c r="G770" s="14"/>
      <c r="H770" s="14"/>
      <c r="I770" s="33">
        <v>66.7</v>
      </c>
      <c r="J770" s="14"/>
      <c r="K770" s="33">
        <v>50.9</v>
      </c>
      <c r="L770" s="14"/>
      <c r="M770" s="14"/>
      <c r="N770" s="14"/>
      <c r="O770" s="14"/>
      <c r="P770" s="14"/>
      <c r="Q770" s="14"/>
      <c r="R770" s="14"/>
      <c r="S770" s="14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3.2">
      <c r="A771" s="14"/>
      <c r="B771" s="5"/>
      <c r="C771" s="5">
        <v>127</v>
      </c>
      <c r="D771" s="52">
        <v>43126</v>
      </c>
      <c r="E771" s="12"/>
      <c r="F771" s="12"/>
      <c r="G771" s="14"/>
      <c r="H771" s="14"/>
      <c r="I771" s="33">
        <v>63.6</v>
      </c>
      <c r="J771" s="14"/>
      <c r="K771" s="33">
        <v>51</v>
      </c>
      <c r="L771" s="14"/>
      <c r="M771" s="14"/>
      <c r="N771" s="14"/>
      <c r="O771" s="14"/>
      <c r="P771" s="14"/>
      <c r="Q771" s="14"/>
      <c r="R771" s="14"/>
      <c r="S771" s="14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3.2">
      <c r="A772" s="14"/>
      <c r="B772" s="5"/>
      <c r="C772" s="5">
        <v>128</v>
      </c>
      <c r="D772" s="52">
        <v>43127</v>
      </c>
      <c r="E772" s="12"/>
      <c r="F772" s="12"/>
      <c r="G772" s="14"/>
      <c r="H772" s="14"/>
      <c r="I772" s="33">
        <v>60</v>
      </c>
      <c r="J772" s="14"/>
      <c r="K772" s="33">
        <v>51.7</v>
      </c>
      <c r="L772" s="14"/>
      <c r="M772" s="14"/>
      <c r="N772" s="14"/>
      <c r="O772" s="14"/>
      <c r="P772" s="14"/>
      <c r="Q772" s="14"/>
      <c r="R772" s="14"/>
      <c r="S772" s="14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3.2">
      <c r="A773" s="14"/>
      <c r="B773" s="5"/>
      <c r="C773" s="5">
        <v>129</v>
      </c>
      <c r="D773" s="52">
        <v>43128</v>
      </c>
      <c r="E773" s="12"/>
      <c r="F773" s="12"/>
      <c r="G773" s="14"/>
      <c r="H773" s="14"/>
      <c r="I773" s="33">
        <v>57</v>
      </c>
      <c r="J773" s="14"/>
      <c r="K773" s="33">
        <v>51.6</v>
      </c>
      <c r="L773" s="14"/>
      <c r="M773" s="14"/>
      <c r="N773" s="14"/>
      <c r="O773" s="14"/>
      <c r="P773" s="14"/>
      <c r="Q773" s="14"/>
      <c r="R773" s="14"/>
      <c r="S773" s="14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3.2">
      <c r="A774" s="14"/>
      <c r="B774" s="5"/>
      <c r="C774" s="5">
        <v>130</v>
      </c>
      <c r="D774" s="52">
        <v>43129</v>
      </c>
      <c r="E774" s="12"/>
      <c r="F774" s="12"/>
      <c r="G774" s="14"/>
      <c r="H774" s="14"/>
      <c r="I774" s="33">
        <v>54.3</v>
      </c>
      <c r="J774" s="14"/>
      <c r="K774" s="33">
        <v>51.4</v>
      </c>
      <c r="L774" s="14"/>
      <c r="M774" s="14"/>
      <c r="N774" s="14"/>
      <c r="O774" s="14"/>
      <c r="P774" s="14"/>
      <c r="Q774" s="14"/>
      <c r="R774" s="14"/>
      <c r="S774" s="14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3.2">
      <c r="A775" s="14"/>
      <c r="B775" s="5"/>
      <c r="C775" s="5">
        <v>131</v>
      </c>
      <c r="D775" s="52">
        <v>43130</v>
      </c>
      <c r="E775" s="12"/>
      <c r="F775" s="12"/>
      <c r="G775" s="14"/>
      <c r="H775" s="14"/>
      <c r="I775" s="33">
        <v>51.7</v>
      </c>
      <c r="J775" s="14"/>
      <c r="K775" s="33">
        <v>51.7</v>
      </c>
      <c r="L775" s="14"/>
      <c r="M775" s="14"/>
      <c r="N775" s="14"/>
      <c r="O775" s="14"/>
      <c r="P775" s="14"/>
      <c r="Q775" s="14"/>
      <c r="R775" s="14"/>
      <c r="S775" s="14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3.2">
      <c r="A776" s="14"/>
      <c r="B776" s="5"/>
      <c r="C776" s="5">
        <v>132</v>
      </c>
      <c r="D776" s="53">
        <v>43131</v>
      </c>
      <c r="E776" s="12"/>
      <c r="F776" s="12"/>
      <c r="G776" s="14"/>
      <c r="H776" s="14"/>
      <c r="I776" s="33">
        <v>48.9</v>
      </c>
      <c r="J776" s="14"/>
      <c r="K776" s="33">
        <v>51.7</v>
      </c>
      <c r="L776" s="14"/>
      <c r="M776" s="14"/>
      <c r="N776" s="14"/>
      <c r="O776" s="14"/>
      <c r="P776" s="14"/>
      <c r="Q776" s="14"/>
      <c r="R776" s="14"/>
      <c r="S776" s="14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3.2">
      <c r="A777" s="14"/>
      <c r="B777" s="5"/>
      <c r="C777" s="5">
        <v>133</v>
      </c>
      <c r="D777" s="122">
        <v>43132</v>
      </c>
      <c r="E777" s="12"/>
      <c r="F777" s="12"/>
      <c r="G777" s="14"/>
      <c r="H777" s="14"/>
      <c r="I777" s="33">
        <v>46.8</v>
      </c>
      <c r="J777" s="37"/>
      <c r="K777" s="33">
        <v>51</v>
      </c>
      <c r="L777" s="14"/>
      <c r="M777" s="14"/>
      <c r="N777" s="14"/>
      <c r="O777" s="14"/>
      <c r="P777" s="14"/>
      <c r="Q777" s="14"/>
      <c r="R777" s="14"/>
      <c r="S777" s="14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3.2">
      <c r="A778" s="14"/>
      <c r="B778" s="5"/>
      <c r="C778" s="5">
        <v>134</v>
      </c>
      <c r="D778" s="122">
        <v>43133</v>
      </c>
      <c r="E778" s="12"/>
      <c r="F778" s="12"/>
      <c r="G778" s="14"/>
      <c r="H778" s="14"/>
      <c r="I778" s="33">
        <v>44.1</v>
      </c>
      <c r="J778" s="37"/>
      <c r="K778" s="33">
        <v>50.8</v>
      </c>
      <c r="L778" s="14"/>
      <c r="M778" s="14"/>
      <c r="N778" s="14"/>
      <c r="O778" s="14"/>
      <c r="P778" s="14"/>
      <c r="Q778" s="14"/>
      <c r="R778" s="14"/>
      <c r="S778" s="14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3.2">
      <c r="A779" s="14"/>
      <c r="B779" s="5"/>
      <c r="C779" s="5">
        <v>135</v>
      </c>
      <c r="D779" s="122">
        <v>43134</v>
      </c>
      <c r="E779" s="12"/>
      <c r="F779" s="12"/>
      <c r="G779" s="14"/>
      <c r="H779" s="14"/>
      <c r="I779" s="33">
        <v>41.1</v>
      </c>
      <c r="J779" s="37"/>
      <c r="K779" s="33">
        <v>50.7</v>
      </c>
      <c r="L779" s="14"/>
      <c r="M779" s="14"/>
      <c r="N779" s="14"/>
      <c r="O779" s="14"/>
      <c r="P779" s="14"/>
      <c r="Q779" s="14"/>
      <c r="R779" s="14"/>
      <c r="S779" s="14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3.2">
      <c r="A780" s="14"/>
      <c r="B780" s="5"/>
      <c r="C780" s="5">
        <v>136</v>
      </c>
      <c r="D780" s="122">
        <v>43135</v>
      </c>
      <c r="E780" s="12"/>
      <c r="F780" s="12"/>
      <c r="G780" s="14"/>
      <c r="H780" s="14"/>
      <c r="I780" s="33">
        <v>38</v>
      </c>
      <c r="J780" s="37"/>
      <c r="K780" s="33">
        <v>51</v>
      </c>
      <c r="L780" s="14"/>
      <c r="M780" s="14"/>
      <c r="N780" s="14"/>
      <c r="O780" s="14"/>
      <c r="P780" s="14"/>
      <c r="Q780" s="14"/>
      <c r="R780" s="14"/>
      <c r="S780" s="14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3.2">
      <c r="A781" s="14"/>
      <c r="B781" s="5"/>
      <c r="C781" s="5">
        <v>137</v>
      </c>
      <c r="D781" s="122">
        <v>43136</v>
      </c>
      <c r="E781" s="12"/>
      <c r="F781" s="12"/>
      <c r="G781" s="14"/>
      <c r="H781" s="14"/>
      <c r="I781" s="33">
        <v>35.200000000000003</v>
      </c>
      <c r="J781" s="37"/>
      <c r="K781" s="33">
        <v>51.3</v>
      </c>
      <c r="L781" s="14"/>
      <c r="M781" s="14"/>
      <c r="N781" s="14"/>
      <c r="O781" s="14"/>
      <c r="P781" s="14"/>
      <c r="Q781" s="14"/>
      <c r="R781" s="14"/>
      <c r="S781" s="14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3.2">
      <c r="A782" s="14"/>
      <c r="B782" s="5"/>
      <c r="C782" s="5">
        <v>138</v>
      </c>
      <c r="D782" s="122">
        <v>43137</v>
      </c>
      <c r="E782" s="12"/>
      <c r="F782" s="12"/>
      <c r="G782" s="14"/>
      <c r="H782" s="14"/>
      <c r="I782" s="33">
        <v>57.6</v>
      </c>
      <c r="J782" s="37"/>
      <c r="K782" s="33">
        <v>51.8</v>
      </c>
      <c r="L782" s="14"/>
      <c r="M782" s="14"/>
      <c r="N782" s="14"/>
      <c r="O782" s="14"/>
      <c r="P782" s="14"/>
      <c r="Q782" s="14"/>
      <c r="R782" s="14"/>
      <c r="S782" s="14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3.2">
      <c r="A783" s="14"/>
      <c r="B783" s="5"/>
      <c r="C783" s="5">
        <v>139</v>
      </c>
      <c r="D783" s="20">
        <v>43138</v>
      </c>
      <c r="E783" s="12"/>
      <c r="F783" s="12"/>
      <c r="G783" s="14"/>
      <c r="H783" s="14"/>
      <c r="I783" s="13">
        <v>54</v>
      </c>
      <c r="J783" s="14"/>
      <c r="K783" s="13">
        <v>52.1</v>
      </c>
      <c r="L783" s="14"/>
      <c r="M783" s="14"/>
      <c r="N783" s="14"/>
      <c r="O783" s="14"/>
      <c r="P783" s="14"/>
      <c r="Q783" s="14"/>
      <c r="R783" s="14"/>
      <c r="S783" s="14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3.2">
      <c r="A784" s="14"/>
      <c r="B784" s="5"/>
      <c r="C784" s="5">
        <v>140</v>
      </c>
      <c r="D784" s="20">
        <v>43139</v>
      </c>
      <c r="E784" s="12"/>
      <c r="F784" s="12"/>
      <c r="G784" s="14"/>
      <c r="H784" s="14"/>
      <c r="I784" s="13">
        <v>50.8</v>
      </c>
      <c r="J784" s="14"/>
      <c r="K784" s="13">
        <v>51.9</v>
      </c>
      <c r="L784" s="14"/>
      <c r="M784" s="14"/>
      <c r="N784" s="14"/>
      <c r="O784" s="14"/>
      <c r="P784" s="14"/>
      <c r="Q784" s="14"/>
      <c r="R784" s="14"/>
      <c r="S784" s="14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3.2">
      <c r="A785" s="14"/>
      <c r="B785" s="5"/>
      <c r="C785" s="5">
        <v>141</v>
      </c>
      <c r="D785" s="20">
        <v>43140</v>
      </c>
      <c r="E785" s="12"/>
      <c r="F785" s="12"/>
      <c r="G785" s="14"/>
      <c r="H785" s="14"/>
      <c r="I785" s="13">
        <v>46.9</v>
      </c>
      <c r="J785" s="14"/>
      <c r="K785" s="13">
        <v>52</v>
      </c>
      <c r="L785" s="14"/>
      <c r="M785" s="14"/>
      <c r="N785" s="14"/>
      <c r="O785" s="14"/>
      <c r="P785" s="14"/>
      <c r="Q785" s="14"/>
      <c r="R785" s="14"/>
      <c r="S785" s="14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3.2">
      <c r="A786" s="14"/>
      <c r="B786" s="5"/>
      <c r="C786" s="5">
        <v>142</v>
      </c>
      <c r="D786" s="20">
        <v>43141</v>
      </c>
      <c r="E786" s="12"/>
      <c r="F786" s="12"/>
      <c r="G786" s="14"/>
      <c r="H786" s="14"/>
      <c r="I786" s="13">
        <v>44.1</v>
      </c>
      <c r="J786" s="14"/>
      <c r="K786" s="13">
        <v>52</v>
      </c>
      <c r="L786" s="14"/>
      <c r="M786" s="14"/>
      <c r="N786" s="14"/>
      <c r="O786" s="14"/>
      <c r="P786" s="14"/>
      <c r="Q786" s="14"/>
      <c r="R786" s="14"/>
      <c r="S786" s="14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3.2">
      <c r="A787" s="14"/>
      <c r="B787" s="5"/>
      <c r="C787" s="5">
        <v>143</v>
      </c>
      <c r="D787" s="20">
        <v>43142</v>
      </c>
      <c r="E787" s="12"/>
      <c r="F787" s="12"/>
      <c r="G787" s="14"/>
      <c r="H787" s="14"/>
      <c r="I787" s="13">
        <v>41</v>
      </c>
      <c r="J787" s="14"/>
      <c r="K787" s="13">
        <v>52.2</v>
      </c>
      <c r="L787" s="14"/>
      <c r="M787" s="14"/>
      <c r="N787" s="14"/>
      <c r="O787" s="14"/>
      <c r="P787" s="14"/>
      <c r="Q787" s="14"/>
      <c r="R787" s="14"/>
      <c r="S787" s="14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3.2">
      <c r="A788" s="14"/>
      <c r="B788" s="5"/>
      <c r="C788" s="5">
        <v>144</v>
      </c>
      <c r="D788" s="20">
        <v>43143</v>
      </c>
      <c r="E788" s="12"/>
      <c r="F788" s="12"/>
      <c r="G788" s="14"/>
      <c r="H788" s="14"/>
      <c r="I788" s="13">
        <v>37.1</v>
      </c>
      <c r="J788" s="14"/>
      <c r="K788" s="13">
        <v>52.6</v>
      </c>
      <c r="L788" s="14"/>
      <c r="M788" s="14"/>
      <c r="N788" s="14"/>
      <c r="O788" s="14"/>
      <c r="P788" s="14"/>
      <c r="Q788" s="14"/>
      <c r="R788" s="14"/>
      <c r="S788" s="14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3.2">
      <c r="A789" s="14"/>
      <c r="B789" s="5"/>
      <c r="C789" s="5">
        <v>145</v>
      </c>
      <c r="D789" s="20">
        <v>43144</v>
      </c>
      <c r="E789" s="12"/>
      <c r="F789" s="12"/>
      <c r="G789" s="14"/>
      <c r="H789" s="14"/>
      <c r="I789" s="13">
        <v>66.599999999999994</v>
      </c>
      <c r="J789" s="14"/>
      <c r="K789" s="13">
        <v>53.3</v>
      </c>
      <c r="L789" s="14"/>
      <c r="M789" s="14"/>
      <c r="N789" s="14"/>
      <c r="O789" s="14"/>
      <c r="P789" s="14"/>
      <c r="Q789" s="14"/>
      <c r="R789" s="14"/>
      <c r="S789" s="14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3.2">
      <c r="A790" s="14"/>
      <c r="B790" s="5"/>
      <c r="C790" s="5">
        <v>146</v>
      </c>
      <c r="D790" s="20">
        <v>43145</v>
      </c>
      <c r="E790" s="12"/>
      <c r="F790" s="12"/>
      <c r="G790" s="14"/>
      <c r="H790" s="14"/>
      <c r="I790" s="13">
        <v>62.1</v>
      </c>
      <c r="J790" s="14"/>
      <c r="K790" s="13">
        <v>54</v>
      </c>
      <c r="L790" s="14"/>
      <c r="M790" s="14"/>
      <c r="N790" s="14"/>
      <c r="O790" s="14"/>
      <c r="P790" s="14"/>
      <c r="Q790" s="14"/>
      <c r="R790" s="14"/>
      <c r="S790" s="14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3.2">
      <c r="A791" s="14"/>
      <c r="B791" s="5"/>
      <c r="C791" s="5">
        <v>147</v>
      </c>
      <c r="D791" s="20">
        <v>43146</v>
      </c>
      <c r="E791" s="12"/>
      <c r="F791" s="12"/>
      <c r="G791" s="14"/>
      <c r="H791" s="14"/>
      <c r="I791" s="13">
        <v>58.6</v>
      </c>
      <c r="J791" s="14"/>
      <c r="K791" s="13">
        <v>54</v>
      </c>
      <c r="L791" s="14"/>
      <c r="M791" s="14"/>
      <c r="N791" s="14"/>
      <c r="O791" s="14"/>
      <c r="P791" s="14"/>
      <c r="Q791" s="14"/>
      <c r="R791" s="14"/>
      <c r="S791" s="14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3.2">
      <c r="A792" s="14"/>
      <c r="B792" s="5"/>
      <c r="C792" s="5">
        <v>148</v>
      </c>
      <c r="D792" s="20">
        <v>43147</v>
      </c>
      <c r="E792" s="12"/>
      <c r="F792" s="12"/>
      <c r="G792" s="14"/>
      <c r="H792" s="14"/>
      <c r="I792" s="13">
        <v>55.2</v>
      </c>
      <c r="J792" s="14"/>
      <c r="K792" s="13">
        <v>54.1</v>
      </c>
      <c r="L792" s="14"/>
      <c r="M792" s="14"/>
      <c r="N792" s="14"/>
      <c r="O792" s="14"/>
      <c r="P792" s="14"/>
      <c r="Q792" s="14"/>
      <c r="R792" s="14"/>
      <c r="S792" s="14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3.2">
      <c r="A793" s="14"/>
      <c r="B793" s="5"/>
      <c r="C793" s="5">
        <v>149</v>
      </c>
      <c r="D793" s="20">
        <v>43148</v>
      </c>
      <c r="E793" s="12"/>
      <c r="F793" s="12"/>
      <c r="G793" s="14"/>
      <c r="H793" s="14"/>
      <c r="I793" s="13">
        <v>52.1</v>
      </c>
      <c r="J793" s="14"/>
      <c r="K793" s="13">
        <v>54.7</v>
      </c>
      <c r="L793" s="14"/>
      <c r="M793" s="14"/>
      <c r="N793" s="14"/>
      <c r="O793" s="14"/>
      <c r="P793" s="14"/>
      <c r="Q793" s="14"/>
      <c r="R793" s="14"/>
      <c r="S793" s="14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3.2">
      <c r="A794" s="14"/>
      <c r="B794" s="5"/>
      <c r="C794" s="14">
        <f t="shared" ref="C794:C798" si="179">C793+1</f>
        <v>150</v>
      </c>
      <c r="D794" s="20">
        <v>43149</v>
      </c>
      <c r="E794" s="12"/>
      <c r="F794" s="12"/>
      <c r="G794" s="14"/>
      <c r="H794" s="14"/>
      <c r="I794" s="13">
        <v>48.6</v>
      </c>
      <c r="J794" s="14"/>
      <c r="K794" s="13">
        <v>54.6</v>
      </c>
      <c r="L794" s="14"/>
      <c r="M794" s="14"/>
      <c r="N794" s="14"/>
      <c r="O794" s="14"/>
      <c r="P794" s="14"/>
      <c r="Q794" s="14"/>
      <c r="R794" s="14"/>
      <c r="S794" s="14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3.2">
      <c r="A795" s="14"/>
      <c r="B795" s="5"/>
      <c r="C795" s="14">
        <f t="shared" si="179"/>
        <v>151</v>
      </c>
      <c r="D795" s="20">
        <v>43150</v>
      </c>
      <c r="E795" s="12"/>
      <c r="F795" s="12"/>
      <c r="G795" s="14"/>
      <c r="H795" s="14"/>
      <c r="I795" s="13">
        <v>45.6</v>
      </c>
      <c r="J795" s="14"/>
      <c r="K795" s="13">
        <v>55</v>
      </c>
      <c r="L795" s="14"/>
      <c r="M795" s="14"/>
      <c r="N795" s="14"/>
      <c r="O795" s="14"/>
      <c r="P795" s="14"/>
      <c r="Q795" s="14"/>
      <c r="R795" s="14"/>
      <c r="S795" s="14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3.2">
      <c r="A796" s="14"/>
      <c r="B796" s="5"/>
      <c r="C796" s="14">
        <f t="shared" si="179"/>
        <v>152</v>
      </c>
      <c r="D796" s="20">
        <v>43151</v>
      </c>
      <c r="E796" s="12"/>
      <c r="F796" s="12"/>
      <c r="G796" s="14"/>
      <c r="H796" s="14"/>
      <c r="I796" s="13">
        <v>42.5</v>
      </c>
      <c r="J796" s="14"/>
      <c r="K796" s="13">
        <v>55.1</v>
      </c>
      <c r="L796" s="14"/>
      <c r="M796" s="14"/>
      <c r="N796" s="14"/>
      <c r="O796" s="14"/>
      <c r="P796" s="14"/>
      <c r="Q796" s="14"/>
      <c r="R796" s="14"/>
      <c r="S796" s="14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3.2">
      <c r="A797" s="14"/>
      <c r="B797" s="5"/>
      <c r="C797" s="14">
        <f t="shared" si="179"/>
        <v>153</v>
      </c>
      <c r="D797" s="20">
        <v>43152</v>
      </c>
      <c r="E797" s="12"/>
      <c r="F797" s="12"/>
      <c r="G797" s="14"/>
      <c r="H797" s="14"/>
      <c r="I797" s="13">
        <v>38.9</v>
      </c>
      <c r="J797" s="14"/>
      <c r="K797" s="13">
        <v>56</v>
      </c>
      <c r="L797" s="14"/>
      <c r="M797" s="14"/>
      <c r="N797" s="14"/>
      <c r="O797" s="14"/>
      <c r="P797" s="14"/>
      <c r="Q797" s="14"/>
      <c r="R797" s="14"/>
      <c r="S797" s="14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3.2">
      <c r="A798" s="14"/>
      <c r="B798" s="5"/>
      <c r="C798" s="14">
        <f t="shared" si="179"/>
        <v>154</v>
      </c>
      <c r="D798" s="20">
        <v>43153</v>
      </c>
      <c r="E798" s="12"/>
      <c r="F798" s="12"/>
      <c r="G798" s="14"/>
      <c r="H798" s="14"/>
      <c r="I798" s="13">
        <v>35.4</v>
      </c>
      <c r="J798" s="14"/>
      <c r="K798" s="13">
        <v>56</v>
      </c>
      <c r="L798" s="14"/>
      <c r="M798" s="14"/>
      <c r="N798" s="14"/>
      <c r="O798" s="14"/>
      <c r="P798" s="14"/>
      <c r="Q798" s="14"/>
      <c r="R798" s="14"/>
      <c r="S798" s="14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3.2">
      <c r="A799" s="14"/>
      <c r="B799" s="5"/>
      <c r="C799" s="5">
        <v>155</v>
      </c>
      <c r="D799" s="56">
        <v>43154</v>
      </c>
      <c r="E799" s="12"/>
      <c r="F799" s="12"/>
      <c r="G799" s="14"/>
      <c r="H799" s="14"/>
      <c r="I799" s="13">
        <v>63.7</v>
      </c>
      <c r="J799" s="14"/>
      <c r="K799" s="13">
        <v>56.7</v>
      </c>
      <c r="L799" s="14"/>
      <c r="M799" s="14"/>
      <c r="N799" s="14"/>
      <c r="O799" s="14"/>
      <c r="P799" s="14"/>
      <c r="Q799" s="14"/>
      <c r="R799" s="14"/>
      <c r="S799" s="14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3.2">
      <c r="A800" s="14"/>
      <c r="B800" s="5"/>
      <c r="C800" s="5">
        <v>156</v>
      </c>
      <c r="D800" s="20">
        <v>43155</v>
      </c>
      <c r="E800" s="12"/>
      <c r="F800" s="12"/>
      <c r="G800" s="14"/>
      <c r="H800" s="14"/>
      <c r="I800" s="13">
        <v>59.5</v>
      </c>
      <c r="J800" s="14"/>
      <c r="K800" s="13">
        <v>56.8</v>
      </c>
      <c r="L800" s="14"/>
      <c r="M800" s="14"/>
      <c r="N800" s="14"/>
      <c r="O800" s="14"/>
      <c r="P800" s="14"/>
      <c r="Q800" s="14"/>
      <c r="R800" s="14"/>
      <c r="S800" s="14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3.2">
      <c r="A801" s="14"/>
      <c r="B801" s="5"/>
      <c r="C801" s="5">
        <v>157</v>
      </c>
      <c r="D801" s="20">
        <v>43156</v>
      </c>
      <c r="E801" s="12"/>
      <c r="F801" s="12"/>
      <c r="G801" s="14"/>
      <c r="H801" s="14"/>
      <c r="I801" s="13">
        <v>56.4</v>
      </c>
      <c r="J801" s="14"/>
      <c r="K801" s="13">
        <v>56.6</v>
      </c>
      <c r="L801" s="14"/>
      <c r="M801" s="14"/>
      <c r="N801" s="14"/>
      <c r="O801" s="14"/>
      <c r="P801" s="14"/>
      <c r="Q801" s="14"/>
      <c r="R801" s="14"/>
      <c r="S801" s="14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3.2">
      <c r="A802" s="14"/>
      <c r="B802" s="5"/>
      <c r="C802" s="5">
        <v>158</v>
      </c>
      <c r="D802" s="20">
        <v>43157</v>
      </c>
      <c r="E802" s="12"/>
      <c r="F802" s="12"/>
      <c r="G802" s="14"/>
      <c r="H802" s="14"/>
      <c r="I802" s="13">
        <v>53</v>
      </c>
      <c r="J802" s="14"/>
      <c r="K802" s="13">
        <v>57</v>
      </c>
      <c r="L802" s="14"/>
      <c r="M802" s="14"/>
      <c r="N802" s="14"/>
      <c r="O802" s="14"/>
      <c r="P802" s="14"/>
      <c r="Q802" s="14"/>
      <c r="R802" s="14"/>
      <c r="S802" s="14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3.2">
      <c r="A803" s="14"/>
      <c r="B803" s="5"/>
      <c r="C803" s="5">
        <v>159</v>
      </c>
      <c r="D803" s="20">
        <v>43158</v>
      </c>
      <c r="E803" s="12"/>
      <c r="F803" s="12"/>
      <c r="G803" s="14"/>
      <c r="H803" s="14"/>
      <c r="I803" s="13">
        <v>49.4</v>
      </c>
      <c r="J803" s="14"/>
      <c r="K803" s="13">
        <v>57</v>
      </c>
      <c r="L803" s="14"/>
      <c r="M803" s="14"/>
      <c r="N803" s="14"/>
      <c r="O803" s="14"/>
      <c r="P803" s="14"/>
      <c r="Q803" s="14"/>
      <c r="R803" s="14"/>
      <c r="S803" s="14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3.2">
      <c r="A804" s="14"/>
      <c r="B804" s="5"/>
      <c r="C804" s="5">
        <v>166</v>
      </c>
      <c r="D804" s="20">
        <v>43165</v>
      </c>
      <c r="E804" s="12"/>
      <c r="F804" s="12"/>
      <c r="G804" s="14"/>
      <c r="H804" s="14"/>
      <c r="I804" s="13">
        <v>73.099999999999994</v>
      </c>
      <c r="J804" s="14"/>
      <c r="K804" s="13">
        <v>47.8</v>
      </c>
      <c r="L804" s="14"/>
      <c r="M804" s="14"/>
      <c r="N804" s="14"/>
      <c r="O804" s="14"/>
      <c r="P804" s="14"/>
      <c r="Q804" s="14"/>
      <c r="R804" s="14"/>
      <c r="S804" s="14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3.2">
      <c r="A805" s="14"/>
      <c r="B805" s="5"/>
      <c r="C805" s="5">
        <v>173</v>
      </c>
      <c r="D805" s="20">
        <v>43172</v>
      </c>
      <c r="E805" s="12"/>
      <c r="F805" s="12"/>
      <c r="G805" s="14"/>
      <c r="H805" s="14"/>
      <c r="I805" s="13">
        <v>58.9</v>
      </c>
      <c r="J805" s="14"/>
      <c r="K805" s="13">
        <v>42.7</v>
      </c>
      <c r="L805" s="14"/>
      <c r="M805" s="14"/>
      <c r="N805" s="14"/>
      <c r="O805" s="14"/>
      <c r="P805" s="14"/>
      <c r="Q805" s="14"/>
      <c r="R805" s="14"/>
      <c r="S805" s="14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3.2">
      <c r="A806" s="14"/>
      <c r="B806" s="5"/>
      <c r="C806" s="5"/>
      <c r="D806" s="14"/>
      <c r="E806" s="12"/>
      <c r="F806" s="12"/>
      <c r="G806" s="14"/>
      <c r="H806" s="14"/>
      <c r="I806" s="15"/>
      <c r="J806" s="14"/>
      <c r="K806" s="15"/>
      <c r="L806" s="14"/>
      <c r="M806" s="14"/>
      <c r="N806" s="14"/>
      <c r="O806" s="14"/>
      <c r="P806" s="14"/>
      <c r="Q806" s="14"/>
      <c r="R806" s="14"/>
      <c r="S806" s="14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3.2">
      <c r="A807" s="14"/>
      <c r="B807" s="5"/>
      <c r="C807" s="5"/>
      <c r="D807" s="14"/>
      <c r="E807" s="12"/>
      <c r="F807" s="12"/>
      <c r="G807" s="14"/>
      <c r="H807" s="14"/>
      <c r="I807" s="15"/>
      <c r="J807" s="14"/>
      <c r="K807" s="15"/>
      <c r="L807" s="14"/>
      <c r="M807" s="14"/>
      <c r="N807" s="14"/>
      <c r="O807" s="14"/>
      <c r="P807" s="14"/>
      <c r="Q807" s="14"/>
      <c r="R807" s="14"/>
      <c r="S807" s="14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3.2">
      <c r="A808" s="14"/>
      <c r="B808" s="5"/>
      <c r="C808" s="5"/>
      <c r="D808" s="14"/>
      <c r="E808" s="12"/>
      <c r="F808" s="12"/>
      <c r="G808" s="14"/>
      <c r="H808" s="14"/>
      <c r="I808" s="15"/>
      <c r="J808" s="14"/>
      <c r="K808" s="15"/>
      <c r="L808" s="14"/>
      <c r="M808" s="14"/>
      <c r="N808" s="14"/>
      <c r="O808" s="14"/>
      <c r="P808" s="14"/>
      <c r="Q808" s="14"/>
      <c r="R808" s="14"/>
      <c r="S808" s="14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3.2">
      <c r="A809" s="14"/>
      <c r="B809" s="5"/>
      <c r="C809" s="5"/>
      <c r="D809" s="14"/>
      <c r="E809" s="12"/>
      <c r="F809" s="12"/>
      <c r="G809" s="14"/>
      <c r="H809" s="14"/>
      <c r="I809" s="15"/>
      <c r="J809" s="14"/>
      <c r="K809" s="15"/>
      <c r="L809" s="14"/>
      <c r="M809" s="14"/>
      <c r="N809" s="14"/>
      <c r="O809" s="14"/>
      <c r="P809" s="14"/>
      <c r="Q809" s="14"/>
      <c r="R809" s="14"/>
      <c r="S809" s="14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3.2">
      <c r="A810" s="14"/>
      <c r="B810" s="5"/>
      <c r="C810" s="5"/>
      <c r="D810" s="14"/>
      <c r="E810" s="12"/>
      <c r="F810" s="12"/>
      <c r="G810" s="14"/>
      <c r="H810" s="14"/>
      <c r="I810" s="15"/>
      <c r="J810" s="14"/>
      <c r="K810" s="15"/>
      <c r="L810" s="14"/>
      <c r="M810" s="14"/>
      <c r="N810" s="14"/>
      <c r="O810" s="14"/>
      <c r="P810" s="14"/>
      <c r="Q810" s="14"/>
      <c r="R810" s="14"/>
      <c r="S810" s="14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3.2">
      <c r="A811" s="14"/>
      <c r="B811" s="5"/>
      <c r="C811" s="5"/>
      <c r="D811" s="14"/>
      <c r="E811" s="12"/>
      <c r="F811" s="12"/>
      <c r="G811" s="14"/>
      <c r="H811" s="14"/>
      <c r="I811" s="15"/>
      <c r="J811" s="14"/>
      <c r="K811" s="15"/>
      <c r="L811" s="14"/>
      <c r="M811" s="14"/>
      <c r="N811" s="14"/>
      <c r="O811" s="14"/>
      <c r="P811" s="14"/>
      <c r="Q811" s="14"/>
      <c r="R811" s="14"/>
      <c r="S811" s="14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26.4">
      <c r="A812" s="8" t="s">
        <v>90</v>
      </c>
      <c r="B812" s="5">
        <v>0</v>
      </c>
      <c r="C812" s="5">
        <v>0</v>
      </c>
      <c r="D812" s="9">
        <v>42992</v>
      </c>
      <c r="E812" s="10">
        <v>388</v>
      </c>
      <c r="F812" s="11" t="s">
        <v>21</v>
      </c>
      <c r="G812" s="12">
        <f>AVERAGE(F813:F829)</f>
        <v>7.0833333333333321</v>
      </c>
      <c r="H812" s="14"/>
      <c r="I812" s="13">
        <v>51.5</v>
      </c>
      <c r="J812" s="14"/>
      <c r="K812" s="13">
        <v>23.8</v>
      </c>
      <c r="L812" s="14"/>
      <c r="M812" s="14"/>
      <c r="N812" s="14"/>
      <c r="O812" s="14"/>
      <c r="P812" s="14">
        <f>SUM(O812:O823)-104.4</f>
        <v>311.0999999999998</v>
      </c>
      <c r="Q812" s="14"/>
      <c r="R812" s="14"/>
      <c r="S812" s="15">
        <f>I812-I816</f>
        <v>30</v>
      </c>
      <c r="T812" s="7"/>
      <c r="U812" s="7">
        <f>SUM(T812:T813)</f>
        <v>1336.2</v>
      </c>
      <c r="V812" s="7"/>
      <c r="W812" s="7"/>
      <c r="X812" s="7"/>
      <c r="Y812" s="7"/>
      <c r="Z812" s="7"/>
      <c r="AA812" s="7"/>
      <c r="AB812" s="7"/>
      <c r="AC812" s="7"/>
    </row>
    <row r="813" spans="1:29" ht="13.2">
      <c r="A813" s="5" t="s">
        <v>23</v>
      </c>
      <c r="B813" s="5">
        <v>0</v>
      </c>
      <c r="C813" s="5">
        <v>0</v>
      </c>
      <c r="D813" s="9">
        <v>42993</v>
      </c>
      <c r="E813" s="10">
        <v>380.1</v>
      </c>
      <c r="F813" s="12">
        <f>E812-E813</f>
        <v>7.8999999999999773</v>
      </c>
      <c r="G813" s="14"/>
      <c r="H813" s="14"/>
      <c r="I813" s="13">
        <v>47</v>
      </c>
      <c r="J813" s="14">
        <f t="shared" ref="J813:J816" si="180">(I812-I813)/(D813-D812)</f>
        <v>4.5</v>
      </c>
      <c r="K813" s="13">
        <v>23.8</v>
      </c>
      <c r="L813" s="14"/>
      <c r="M813" s="14"/>
      <c r="N813" s="14"/>
      <c r="O813" s="12">
        <f>E817-E824</f>
        <v>95.699999999999989</v>
      </c>
      <c r="P813" s="14"/>
      <c r="Q813" s="14"/>
      <c r="R813" s="14"/>
      <c r="S813" s="15">
        <f>I817-I825</f>
        <v>49.5</v>
      </c>
      <c r="T813" s="7">
        <f>SUM(S813:S819)*5.24</f>
        <v>1336.2</v>
      </c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3.2">
      <c r="A814" s="14"/>
      <c r="B814" s="5">
        <v>0</v>
      </c>
      <c r="C814" s="5">
        <v>0</v>
      </c>
      <c r="D814" s="9">
        <v>42996</v>
      </c>
      <c r="E814" s="10">
        <v>363.5</v>
      </c>
      <c r="F814" s="12">
        <f t="shared" ref="F814:F816" si="181">(E813-E814)/(D814-D813)</f>
        <v>5.5333333333333412</v>
      </c>
      <c r="G814" s="14"/>
      <c r="H814" s="14"/>
      <c r="I814" s="13">
        <v>34.1</v>
      </c>
      <c r="J814" s="14">
        <f t="shared" si="180"/>
        <v>4.3</v>
      </c>
      <c r="K814" s="13">
        <v>24.4</v>
      </c>
      <c r="L814" s="14"/>
      <c r="M814" s="14"/>
      <c r="N814" s="14"/>
      <c r="O814" s="12">
        <f>E825-E827</f>
        <v>27.399999999999977</v>
      </c>
      <c r="P814" s="14"/>
      <c r="Q814" s="14"/>
      <c r="R814" s="14"/>
      <c r="S814" s="15">
        <f>54.1-I827</f>
        <v>15.300000000000004</v>
      </c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3.2">
      <c r="A815" s="14"/>
      <c r="B815" s="5">
        <v>0</v>
      </c>
      <c r="C815" s="5">
        <v>0</v>
      </c>
      <c r="D815" s="9">
        <v>42998</v>
      </c>
      <c r="E815" s="10">
        <v>353.1</v>
      </c>
      <c r="F815" s="12">
        <f t="shared" si="181"/>
        <v>5.1999999999999886</v>
      </c>
      <c r="G815" s="14"/>
      <c r="H815" s="14"/>
      <c r="I815" s="13">
        <v>25.2</v>
      </c>
      <c r="J815" s="14">
        <f t="shared" si="180"/>
        <v>4.4500000000000011</v>
      </c>
      <c r="K815" s="13">
        <v>24.1</v>
      </c>
      <c r="L815" s="14"/>
      <c r="M815" s="14"/>
      <c r="N815" s="14"/>
      <c r="O815" s="12">
        <f>E828-E831</f>
        <v>34.099999999999966</v>
      </c>
      <c r="P815" s="14"/>
      <c r="Q815" s="14"/>
      <c r="R815" s="14"/>
      <c r="S815" s="14">
        <f>47.2-I830</f>
        <v>15.600000000000001</v>
      </c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3.2">
      <c r="A816" s="14"/>
      <c r="B816" s="5">
        <v>0</v>
      </c>
      <c r="C816" s="5">
        <v>0</v>
      </c>
      <c r="D816" s="17">
        <v>42999</v>
      </c>
      <c r="E816" s="10">
        <v>344.9</v>
      </c>
      <c r="F816" s="12">
        <f t="shared" si="181"/>
        <v>8.2000000000000455</v>
      </c>
      <c r="G816" s="14"/>
      <c r="H816" s="14"/>
      <c r="I816" s="13">
        <v>21.5</v>
      </c>
      <c r="J816" s="14">
        <f t="shared" si="180"/>
        <v>3.6999999999999993</v>
      </c>
      <c r="K816" s="13">
        <v>24.4</v>
      </c>
      <c r="L816" s="14"/>
      <c r="M816" s="14"/>
      <c r="N816" s="14"/>
      <c r="O816" s="12">
        <f>E832-E835</f>
        <v>33.5</v>
      </c>
      <c r="P816" s="14"/>
      <c r="Q816" s="14"/>
      <c r="R816" s="14"/>
      <c r="S816" s="15">
        <f>77.4-I838</f>
        <v>45.400000000000006</v>
      </c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3.2">
      <c r="A817" s="14"/>
      <c r="B817" s="5">
        <v>0.5</v>
      </c>
      <c r="C817" s="5">
        <v>0</v>
      </c>
      <c r="D817" s="17">
        <v>42999</v>
      </c>
      <c r="E817" s="10">
        <v>369.2</v>
      </c>
      <c r="F817" s="12"/>
      <c r="G817" s="14"/>
      <c r="H817" s="14"/>
      <c r="I817" s="13">
        <v>83</v>
      </c>
      <c r="J817" s="14"/>
      <c r="K817" s="13"/>
      <c r="L817" s="14"/>
      <c r="M817" s="14"/>
      <c r="N817" s="14"/>
      <c r="O817" s="12">
        <f>E836-E839</f>
        <v>34.800000000000011</v>
      </c>
      <c r="P817" s="14"/>
      <c r="Q817" s="14"/>
      <c r="R817" s="14"/>
      <c r="S817" s="15">
        <f>87.5-I850</f>
        <v>63.6</v>
      </c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3.2">
      <c r="A818" s="14"/>
      <c r="B818" s="5">
        <v>0.5</v>
      </c>
      <c r="C818" s="5">
        <f t="shared" ref="C818:C871" si="182">D818-$D$7</f>
        <v>1</v>
      </c>
      <c r="D818" s="17">
        <v>43000</v>
      </c>
      <c r="E818" s="10">
        <v>360.9</v>
      </c>
      <c r="F818" s="12">
        <f t="shared" ref="F818:F824" si="183">(E817-E818)/(D818-D817)</f>
        <v>8.3000000000000114</v>
      </c>
      <c r="G818" s="14"/>
      <c r="H818" s="14"/>
      <c r="I818" s="13">
        <v>77.8</v>
      </c>
      <c r="J818" s="14">
        <f t="shared" ref="J818:J823" si="184">(I817-I818)/(D818-D817)</f>
        <v>5.2000000000000028</v>
      </c>
      <c r="K818" s="13">
        <v>26</v>
      </c>
      <c r="L818" s="14"/>
      <c r="M818" s="14"/>
      <c r="N818" s="14"/>
      <c r="O818" s="12">
        <f>E840-E843</f>
        <v>32.099999999999966</v>
      </c>
      <c r="P818" s="14"/>
      <c r="Q818" s="14"/>
      <c r="R818" s="14"/>
      <c r="S818" s="15">
        <f>91.5-I860</f>
        <v>50.9</v>
      </c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3.2">
      <c r="A819" s="14"/>
      <c r="B819" s="5">
        <v>0.5</v>
      </c>
      <c r="C819" s="5">
        <f t="shared" si="182"/>
        <v>4</v>
      </c>
      <c r="D819" s="9">
        <v>43003</v>
      </c>
      <c r="E819" s="10">
        <v>343.8</v>
      </c>
      <c r="F819" s="12">
        <f t="shared" si="183"/>
        <v>5.6999999999999886</v>
      </c>
      <c r="G819" s="14"/>
      <c r="H819" s="14"/>
      <c r="I819" s="13">
        <v>67.3</v>
      </c>
      <c r="J819" s="14">
        <f t="shared" si="184"/>
        <v>3.5</v>
      </c>
      <c r="K819" s="13">
        <v>27.7</v>
      </c>
      <c r="L819" s="14"/>
      <c r="M819" s="14"/>
      <c r="N819" s="14"/>
      <c r="O819" s="12">
        <f>E844-E847</f>
        <v>37.799999999999955</v>
      </c>
      <c r="P819" s="14"/>
      <c r="Q819" s="14"/>
      <c r="R819" s="14"/>
      <c r="S819" s="15">
        <f>I862-I864</f>
        <v>14.700000000000003</v>
      </c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3.2">
      <c r="A820" s="14"/>
      <c r="B820" s="5">
        <v>1</v>
      </c>
      <c r="C820" s="5">
        <f t="shared" si="182"/>
        <v>6</v>
      </c>
      <c r="D820" s="9">
        <v>43005</v>
      </c>
      <c r="E820" s="10">
        <v>333.7</v>
      </c>
      <c r="F820" s="12">
        <f t="shared" si="183"/>
        <v>5.0500000000000114</v>
      </c>
      <c r="G820" s="14"/>
      <c r="H820" s="14"/>
      <c r="I820" s="13">
        <v>60.6</v>
      </c>
      <c r="J820" s="14">
        <f t="shared" si="184"/>
        <v>3.3499999999999979</v>
      </c>
      <c r="K820" s="18">
        <v>28.9</v>
      </c>
      <c r="L820" s="14"/>
      <c r="M820" s="14"/>
      <c r="N820" s="14"/>
      <c r="O820" s="12">
        <f>E848-E850</f>
        <v>19.299999999999955</v>
      </c>
      <c r="P820" s="14"/>
      <c r="Q820" s="14"/>
      <c r="R820" s="14"/>
      <c r="S820" s="14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3.2">
      <c r="A821" s="14"/>
      <c r="B821" s="5">
        <v>1</v>
      </c>
      <c r="C821" s="5">
        <f t="shared" si="182"/>
        <v>8</v>
      </c>
      <c r="D821" s="9">
        <v>43007</v>
      </c>
      <c r="E821" s="10">
        <v>322.60000000000002</v>
      </c>
      <c r="F821" s="12">
        <f t="shared" si="183"/>
        <v>5.5499999999999829</v>
      </c>
      <c r="G821" s="14"/>
      <c r="H821" s="14"/>
      <c r="I821" s="13">
        <v>54.8</v>
      </c>
      <c r="J821" s="14">
        <f t="shared" si="184"/>
        <v>2.9000000000000021</v>
      </c>
      <c r="K821" s="13">
        <v>29.4</v>
      </c>
      <c r="L821" s="14"/>
      <c r="M821" s="14"/>
      <c r="N821" s="14"/>
      <c r="O821" s="12">
        <f>E851-E856</f>
        <v>37.199999999999989</v>
      </c>
      <c r="P821" s="14"/>
      <c r="Q821" s="14"/>
      <c r="R821" s="14"/>
      <c r="S821" s="14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3.2">
      <c r="A822" s="14"/>
      <c r="B822" s="5">
        <v>1</v>
      </c>
      <c r="C822" s="5">
        <f t="shared" si="182"/>
        <v>11</v>
      </c>
      <c r="D822" s="19">
        <v>43010</v>
      </c>
      <c r="E822" s="11">
        <v>304.5</v>
      </c>
      <c r="F822" s="12">
        <f t="shared" si="183"/>
        <v>6.0333333333333412</v>
      </c>
      <c r="G822" s="14"/>
      <c r="H822" s="14"/>
      <c r="I822" s="13">
        <v>45.5</v>
      </c>
      <c r="J822" s="14">
        <f t="shared" si="184"/>
        <v>3.0999999999999992</v>
      </c>
      <c r="K822" s="13">
        <v>30.2</v>
      </c>
      <c r="L822" s="14"/>
      <c r="M822" s="14"/>
      <c r="N822" s="14"/>
      <c r="O822" s="12">
        <f>E857-E860</f>
        <v>31.199999999999989</v>
      </c>
      <c r="P822" s="14"/>
      <c r="Q822" s="14"/>
      <c r="R822" s="14"/>
      <c r="S822" s="14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3.2">
      <c r="A823" s="14"/>
      <c r="B823" s="5">
        <v>1</v>
      </c>
      <c r="C823" s="5">
        <f t="shared" si="182"/>
        <v>13</v>
      </c>
      <c r="D823" s="19">
        <v>43012</v>
      </c>
      <c r="E823" s="11">
        <v>285.7</v>
      </c>
      <c r="F823" s="12">
        <f t="shared" si="183"/>
        <v>9.4000000000000057</v>
      </c>
      <c r="G823" s="14"/>
      <c r="H823" s="14"/>
      <c r="I823" s="13">
        <v>39.700000000000003</v>
      </c>
      <c r="J823" s="14">
        <f t="shared" si="184"/>
        <v>2.8999999999999986</v>
      </c>
      <c r="K823" s="13">
        <v>30.6</v>
      </c>
      <c r="L823" s="14"/>
      <c r="M823" s="14"/>
      <c r="N823" s="14"/>
      <c r="O823" s="12">
        <f>E861-E864</f>
        <v>32.399999999999977</v>
      </c>
      <c r="P823" s="14"/>
      <c r="Q823" s="14"/>
      <c r="R823" s="14"/>
      <c r="S823" s="14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3.2">
      <c r="A824" s="14"/>
      <c r="B824" s="5">
        <v>2</v>
      </c>
      <c r="C824" s="5">
        <f t="shared" si="182"/>
        <v>14</v>
      </c>
      <c r="D824" s="20">
        <v>43013</v>
      </c>
      <c r="E824" s="11">
        <v>273.5</v>
      </c>
      <c r="F824" s="12">
        <f t="shared" si="183"/>
        <v>12.199999999999989</v>
      </c>
      <c r="G824" s="14"/>
      <c r="H824" s="14"/>
      <c r="I824" s="13" t="s">
        <v>24</v>
      </c>
      <c r="J824" s="14"/>
      <c r="K824" s="13"/>
      <c r="L824" s="14"/>
      <c r="M824" s="14"/>
      <c r="N824" s="14"/>
      <c r="O824" s="14"/>
      <c r="P824" s="14"/>
      <c r="Q824" s="14"/>
      <c r="R824" s="14"/>
      <c r="S824" s="14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3.2">
      <c r="A825" s="14"/>
      <c r="B825" s="5">
        <v>2</v>
      </c>
      <c r="C825" s="5">
        <f t="shared" si="182"/>
        <v>15</v>
      </c>
      <c r="D825" s="20">
        <v>43014</v>
      </c>
      <c r="E825" s="11">
        <v>385.5</v>
      </c>
      <c r="F825" s="12">
        <f>(393.2-E825)/(D825-D824)</f>
        <v>7.6999999999999886</v>
      </c>
      <c r="G825" s="14"/>
      <c r="H825" s="14"/>
      <c r="I825" s="13">
        <v>33.5</v>
      </c>
      <c r="J825" s="14">
        <f>(I823-I825)/(D825-D823)</f>
        <v>3.1000000000000014</v>
      </c>
      <c r="K825" s="13">
        <v>31.6</v>
      </c>
      <c r="L825" s="14"/>
      <c r="M825" s="14"/>
      <c r="N825" s="14"/>
      <c r="O825" s="14"/>
      <c r="P825" s="14"/>
      <c r="Q825" s="14"/>
      <c r="R825" s="14"/>
      <c r="S825" s="14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3.2">
      <c r="A826" s="14"/>
      <c r="B826" s="5">
        <v>2</v>
      </c>
      <c r="C826" s="5">
        <f t="shared" si="182"/>
        <v>18</v>
      </c>
      <c r="D826" s="20">
        <v>43017</v>
      </c>
      <c r="E826" s="11">
        <v>372.8</v>
      </c>
      <c r="F826" s="12">
        <f t="shared" ref="F826:F827" si="185">(E825-E826)/(D826-D825)</f>
        <v>4.2333333333333298</v>
      </c>
      <c r="G826" s="14"/>
      <c r="H826" s="14"/>
      <c r="I826" s="13">
        <v>44.6</v>
      </c>
      <c r="J826" s="16">
        <f>(54.1-I826)/(D826-D825)</f>
        <v>3.1666666666666665</v>
      </c>
      <c r="K826" s="13">
        <v>33</v>
      </c>
      <c r="L826" s="14"/>
      <c r="M826" s="14"/>
      <c r="N826" s="14"/>
      <c r="O826" s="14"/>
      <c r="P826" s="14"/>
      <c r="Q826" s="14"/>
      <c r="R826" s="14"/>
      <c r="S826" s="14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3.2">
      <c r="A827" s="14"/>
      <c r="B827" s="5">
        <v>2</v>
      </c>
      <c r="C827" s="5">
        <f t="shared" si="182"/>
        <v>20</v>
      </c>
      <c r="D827" s="20">
        <v>43019</v>
      </c>
      <c r="E827" s="11">
        <v>358.1</v>
      </c>
      <c r="F827" s="12">
        <f t="shared" si="185"/>
        <v>7.3499999999999943</v>
      </c>
      <c r="G827" s="14"/>
      <c r="H827" s="14"/>
      <c r="I827" s="13">
        <v>38.799999999999997</v>
      </c>
      <c r="J827" s="14">
        <f>(I826-I827)/(D827-D826)</f>
        <v>2.9000000000000021</v>
      </c>
      <c r="K827" s="13">
        <v>33.700000000000003</v>
      </c>
      <c r="L827" s="14"/>
      <c r="M827" s="14"/>
      <c r="N827" s="14"/>
      <c r="O827" s="14"/>
      <c r="P827" s="14"/>
      <c r="Q827" s="14"/>
      <c r="R827" s="14"/>
      <c r="S827" s="14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3.2">
      <c r="A828" s="14"/>
      <c r="B828" s="5">
        <v>3</v>
      </c>
      <c r="C828" s="5">
        <f t="shared" si="182"/>
        <v>21</v>
      </c>
      <c r="D828" s="20">
        <v>43020</v>
      </c>
      <c r="E828" s="11">
        <v>397.7</v>
      </c>
      <c r="F828" s="12"/>
      <c r="G828" s="14"/>
      <c r="H828" s="14"/>
      <c r="I828" s="13"/>
      <c r="J828" s="14"/>
      <c r="K828" s="47"/>
      <c r="L828" s="14"/>
      <c r="M828" s="14"/>
      <c r="N828" s="14"/>
      <c r="O828" s="14"/>
      <c r="P828" s="14"/>
      <c r="Q828" s="14"/>
      <c r="R828" s="14"/>
      <c r="S828" s="14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3.2">
      <c r="A829" s="14"/>
      <c r="B829" s="5">
        <v>3</v>
      </c>
      <c r="C829" s="5">
        <f t="shared" si="182"/>
        <v>22</v>
      </c>
      <c r="D829" s="20">
        <f>D827+2</f>
        <v>43021</v>
      </c>
      <c r="E829" s="11">
        <v>389.8</v>
      </c>
      <c r="F829" s="12">
        <f t="shared" ref="F829:F831" si="186">(E828-E829)/(D829-D828)</f>
        <v>7.8999999999999773</v>
      </c>
      <c r="G829" s="14"/>
      <c r="H829" s="14"/>
      <c r="I829" s="13">
        <v>40.799999999999997</v>
      </c>
      <c r="J829" s="14">
        <f t="shared" ref="J829:J830" si="187">(47.2-I829)/(D829-D827)</f>
        <v>3.2000000000000028</v>
      </c>
      <c r="K829" s="13">
        <v>34.5</v>
      </c>
      <c r="L829" s="14"/>
      <c r="M829" s="14"/>
      <c r="N829" s="14"/>
      <c r="O829" s="14"/>
      <c r="P829" s="14"/>
      <c r="Q829" s="14"/>
      <c r="R829" s="14"/>
      <c r="S829" s="14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3.2">
      <c r="A830" s="14"/>
      <c r="B830" s="5">
        <v>3</v>
      </c>
      <c r="C830" s="5">
        <f t="shared" si="182"/>
        <v>25</v>
      </c>
      <c r="D830" s="20">
        <f>D829+3</f>
        <v>43024</v>
      </c>
      <c r="E830" s="11">
        <v>375</v>
      </c>
      <c r="F830" s="12">
        <f t="shared" si="186"/>
        <v>4.9333333333333371</v>
      </c>
      <c r="G830" s="14"/>
      <c r="H830" s="14"/>
      <c r="I830" s="50">
        <v>31.6</v>
      </c>
      <c r="J830" s="14">
        <f t="shared" si="187"/>
        <v>3.9000000000000004</v>
      </c>
      <c r="K830" s="13">
        <v>35.4</v>
      </c>
      <c r="L830" s="14"/>
      <c r="M830" s="14"/>
      <c r="N830" s="14"/>
      <c r="O830" s="14"/>
      <c r="P830" s="14"/>
      <c r="Q830" s="14"/>
      <c r="R830" s="14"/>
      <c r="S830" s="14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3.2">
      <c r="A831" s="14"/>
      <c r="B831" s="5">
        <v>3</v>
      </c>
      <c r="C831" s="5">
        <f t="shared" si="182"/>
        <v>27</v>
      </c>
      <c r="D831" s="20">
        <f>D830+2</f>
        <v>43026</v>
      </c>
      <c r="E831" s="11">
        <v>363.6</v>
      </c>
      <c r="F831" s="12">
        <f t="shared" si="186"/>
        <v>5.6999999999999886</v>
      </c>
      <c r="G831" s="14"/>
      <c r="H831" s="14"/>
      <c r="I831" s="13">
        <v>69.099999999999994</v>
      </c>
      <c r="J831" s="14">
        <f>(77.4-I831)/(D831-D830)</f>
        <v>4.1500000000000057</v>
      </c>
      <c r="K831" s="13">
        <v>37</v>
      </c>
      <c r="L831" s="14"/>
      <c r="M831" s="14"/>
      <c r="N831" s="14"/>
      <c r="O831" s="14"/>
      <c r="P831" s="14"/>
      <c r="Q831" s="14"/>
      <c r="R831" s="14"/>
      <c r="S831" s="14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3.2">
      <c r="A832" s="14"/>
      <c r="B832" s="5">
        <v>4</v>
      </c>
      <c r="C832" s="5">
        <f t="shared" si="182"/>
        <v>28</v>
      </c>
      <c r="D832" s="20">
        <v>43027</v>
      </c>
      <c r="E832" s="11">
        <v>390.3</v>
      </c>
      <c r="F832" s="12"/>
      <c r="G832" s="14"/>
      <c r="H832" s="14"/>
      <c r="I832" s="15"/>
      <c r="J832" s="14"/>
      <c r="K832" s="15"/>
      <c r="L832" s="14"/>
      <c r="M832" s="14"/>
      <c r="N832" s="14"/>
      <c r="O832" s="14"/>
      <c r="P832" s="14"/>
      <c r="Q832" s="14"/>
      <c r="R832" s="14"/>
      <c r="S832" s="14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3.2">
      <c r="A833" s="14"/>
      <c r="B833" s="5">
        <v>4</v>
      </c>
      <c r="C833" s="5">
        <f t="shared" si="182"/>
        <v>29</v>
      </c>
      <c r="D833" s="20">
        <f>D831+2</f>
        <v>43028</v>
      </c>
      <c r="E833" s="11">
        <v>380.6</v>
      </c>
      <c r="F833" s="12">
        <f t="shared" ref="F833:F835" si="188">(E832-E833)/(D833-D832)</f>
        <v>9.6999999999999886</v>
      </c>
      <c r="G833" s="14"/>
      <c r="H833" s="14"/>
      <c r="I833" s="13">
        <v>61.7</v>
      </c>
      <c r="J833" s="15">
        <f>(I831-I833)/(D833-D831)</f>
        <v>3.6999999999999957</v>
      </c>
      <c r="K833" s="13">
        <v>37.6</v>
      </c>
      <c r="L833" s="14"/>
      <c r="M833" s="14"/>
      <c r="N833" s="14"/>
      <c r="O833" s="14"/>
      <c r="P833" s="14"/>
      <c r="Q833" s="14"/>
      <c r="R833" s="14"/>
      <c r="S833" s="14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3.2">
      <c r="A834" s="14"/>
      <c r="B834" s="5">
        <v>4</v>
      </c>
      <c r="C834" s="5">
        <f t="shared" si="182"/>
        <v>32</v>
      </c>
      <c r="D834" s="20">
        <v>43031</v>
      </c>
      <c r="E834" s="11">
        <v>367.9</v>
      </c>
      <c r="F834" s="12">
        <f t="shared" si="188"/>
        <v>4.2333333333333485</v>
      </c>
      <c r="G834" s="14"/>
      <c r="H834" s="14"/>
      <c r="I834" s="13">
        <v>52.5</v>
      </c>
      <c r="J834" s="15">
        <f t="shared" ref="J834:J835" si="189">(I833-I834)/(D834-D833)</f>
        <v>3.0666666666666678</v>
      </c>
      <c r="K834" s="13">
        <v>39</v>
      </c>
      <c r="L834" s="14"/>
      <c r="M834" s="14"/>
      <c r="N834" s="14"/>
      <c r="O834" s="14"/>
      <c r="P834" s="14"/>
      <c r="Q834" s="14"/>
      <c r="R834" s="14"/>
      <c r="S834" s="14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3.2">
      <c r="A835" s="14"/>
      <c r="B835" s="5">
        <v>4</v>
      </c>
      <c r="C835" s="5">
        <f t="shared" si="182"/>
        <v>34</v>
      </c>
      <c r="D835" s="20">
        <v>43033</v>
      </c>
      <c r="E835" s="11">
        <v>356.8</v>
      </c>
      <c r="F835" s="12">
        <f t="shared" si="188"/>
        <v>5.5499999999999829</v>
      </c>
      <c r="G835" s="14"/>
      <c r="H835" s="14"/>
      <c r="I835" s="13">
        <v>47.3</v>
      </c>
      <c r="J835" s="15">
        <f t="shared" si="189"/>
        <v>2.6000000000000014</v>
      </c>
      <c r="K835" s="13">
        <v>38.4</v>
      </c>
      <c r="L835" s="14"/>
      <c r="M835" s="14"/>
      <c r="N835" s="14"/>
      <c r="O835" s="14"/>
      <c r="P835" s="14"/>
      <c r="Q835" s="14"/>
      <c r="R835" s="14"/>
      <c r="S835" s="14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3.2">
      <c r="A836" s="14"/>
      <c r="B836" s="5">
        <v>5</v>
      </c>
      <c r="C836" s="5">
        <f t="shared" si="182"/>
        <v>35</v>
      </c>
      <c r="D836" s="20">
        <v>43034</v>
      </c>
      <c r="E836" s="11">
        <v>350.1</v>
      </c>
      <c r="F836" s="12"/>
      <c r="G836" s="14"/>
      <c r="H836" s="14"/>
      <c r="I836" s="15"/>
      <c r="J836" s="15"/>
      <c r="K836" s="15"/>
      <c r="L836" s="14"/>
      <c r="M836" s="14"/>
      <c r="N836" s="14"/>
      <c r="O836" s="14"/>
      <c r="P836" s="14"/>
      <c r="Q836" s="14"/>
      <c r="R836" s="14"/>
      <c r="S836" s="14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3.2">
      <c r="A837" s="14"/>
      <c r="B837" s="5">
        <v>5</v>
      </c>
      <c r="C837" s="5">
        <f t="shared" si="182"/>
        <v>36</v>
      </c>
      <c r="D837" s="20">
        <v>43035</v>
      </c>
      <c r="E837" s="11">
        <v>344.4</v>
      </c>
      <c r="F837" s="12">
        <f t="shared" ref="F837:F839" si="190">(E836-E837)/(D837-D836)</f>
        <v>5.7000000000000455</v>
      </c>
      <c r="G837" s="14"/>
      <c r="H837" s="14"/>
      <c r="I837" s="13">
        <v>41.1</v>
      </c>
      <c r="J837" s="15">
        <f>(I835-I837)/(D837-D835)</f>
        <v>3.0999999999999979</v>
      </c>
      <c r="K837" s="13">
        <v>39.4</v>
      </c>
      <c r="L837" s="14"/>
      <c r="M837" s="14"/>
      <c r="N837" s="14"/>
      <c r="O837" s="14"/>
      <c r="P837" s="14"/>
      <c r="Q837" s="14"/>
      <c r="R837" s="14"/>
      <c r="S837" s="14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3.2">
      <c r="A838" s="14"/>
      <c r="B838" s="5">
        <v>5</v>
      </c>
      <c r="C838" s="5">
        <f t="shared" si="182"/>
        <v>39</v>
      </c>
      <c r="D838" s="20">
        <v>43038</v>
      </c>
      <c r="E838" s="11">
        <v>326.60000000000002</v>
      </c>
      <c r="F838" s="12">
        <f t="shared" si="190"/>
        <v>5.9333333333333185</v>
      </c>
      <c r="G838" s="14"/>
      <c r="H838" s="14"/>
      <c r="I838" s="13">
        <v>32</v>
      </c>
      <c r="J838" s="15">
        <f>(I837-I838)/(D838-D837)</f>
        <v>3.0333333333333337</v>
      </c>
      <c r="K838" s="13">
        <v>40.9</v>
      </c>
      <c r="L838" s="14"/>
      <c r="M838" s="14"/>
      <c r="N838" s="14"/>
      <c r="O838" s="14"/>
      <c r="P838" s="14"/>
      <c r="Q838" s="14"/>
      <c r="R838" s="14"/>
      <c r="S838" s="14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3.2">
      <c r="A839" s="14"/>
      <c r="B839" s="5">
        <v>5</v>
      </c>
      <c r="C839" s="5">
        <f t="shared" si="182"/>
        <v>41</v>
      </c>
      <c r="D839" s="20">
        <v>43040</v>
      </c>
      <c r="E839" s="11">
        <v>315.3</v>
      </c>
      <c r="F839" s="12">
        <f t="shared" si="190"/>
        <v>5.6500000000000057</v>
      </c>
      <c r="G839" s="14"/>
      <c r="H839" s="14"/>
      <c r="I839" s="13">
        <v>80.599999999999994</v>
      </c>
      <c r="J839" s="15">
        <f>(87.5-I839)/(D839-D838)</f>
        <v>3.4500000000000028</v>
      </c>
      <c r="K839" s="13">
        <v>42</v>
      </c>
      <c r="L839" s="14"/>
      <c r="M839" s="14"/>
      <c r="N839" s="14"/>
      <c r="O839" s="14"/>
      <c r="P839" s="14"/>
      <c r="Q839" s="14"/>
      <c r="R839" s="14"/>
      <c r="S839" s="14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3.2">
      <c r="A840" s="14"/>
      <c r="B840" s="5">
        <v>6</v>
      </c>
      <c r="C840" s="5">
        <f t="shared" si="182"/>
        <v>42</v>
      </c>
      <c r="D840" s="20">
        <v>43041</v>
      </c>
      <c r="E840" s="11">
        <v>362.4</v>
      </c>
      <c r="F840" s="12"/>
      <c r="G840" s="14"/>
      <c r="H840" s="14"/>
      <c r="I840" s="15"/>
      <c r="J840" s="14"/>
      <c r="K840" s="15"/>
      <c r="L840" s="14"/>
      <c r="M840" s="14"/>
      <c r="N840" s="14"/>
      <c r="O840" s="14"/>
      <c r="P840" s="14"/>
      <c r="Q840" s="14"/>
      <c r="R840" s="14"/>
      <c r="S840" s="14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3.2">
      <c r="A841" s="14"/>
      <c r="B841" s="5">
        <v>6</v>
      </c>
      <c r="C841" s="5">
        <f t="shared" si="182"/>
        <v>43</v>
      </c>
      <c r="D841" s="20">
        <v>43042</v>
      </c>
      <c r="E841" s="11">
        <v>355.1</v>
      </c>
      <c r="F841" s="12">
        <f t="shared" ref="F841:F843" si="191">(E840-E841)/(D841-D840)</f>
        <v>7.2999999999999545</v>
      </c>
      <c r="G841" s="14"/>
      <c r="H841" s="14"/>
      <c r="I841" s="13">
        <v>74</v>
      </c>
      <c r="J841" s="15">
        <f>(I839-I841)/(D841-D839)</f>
        <v>3.2999999999999972</v>
      </c>
      <c r="K841" s="13">
        <v>43</v>
      </c>
      <c r="L841" s="14"/>
      <c r="M841" s="14"/>
      <c r="N841" s="14"/>
      <c r="O841" s="14"/>
      <c r="P841" s="14"/>
      <c r="Q841" s="14"/>
      <c r="R841" s="14"/>
      <c r="S841" s="14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3.2">
      <c r="A842" s="14"/>
      <c r="B842" s="5">
        <v>6</v>
      </c>
      <c r="C842" s="5">
        <f t="shared" si="182"/>
        <v>46</v>
      </c>
      <c r="D842" s="20">
        <v>43045</v>
      </c>
      <c r="E842" s="11">
        <v>339.7</v>
      </c>
      <c r="F842" s="12">
        <f t="shared" si="191"/>
        <v>5.1333333333333444</v>
      </c>
      <c r="G842" s="14"/>
      <c r="H842" s="14"/>
      <c r="I842" s="13">
        <v>64.400000000000006</v>
      </c>
      <c r="J842" s="15">
        <f t="shared" ref="J842:J843" si="192">(I841-I842)/(D842-D841)</f>
        <v>3.199999999999998</v>
      </c>
      <c r="K842" s="13">
        <v>44.9</v>
      </c>
      <c r="L842" s="14"/>
      <c r="M842" s="14"/>
      <c r="N842" s="14"/>
      <c r="O842" s="14"/>
      <c r="P842" s="14"/>
      <c r="Q842" s="14"/>
      <c r="R842" s="14"/>
      <c r="S842" s="14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3.2">
      <c r="A843" s="14"/>
      <c r="B843" s="5">
        <v>6</v>
      </c>
      <c r="C843" s="5">
        <f t="shared" si="182"/>
        <v>48</v>
      </c>
      <c r="D843" s="20">
        <v>43047</v>
      </c>
      <c r="E843" s="11">
        <v>330.3</v>
      </c>
      <c r="F843" s="12">
        <f t="shared" si="191"/>
        <v>4.6999999999999886</v>
      </c>
      <c r="G843" s="14"/>
      <c r="H843" s="14"/>
      <c r="I843" s="13">
        <v>58</v>
      </c>
      <c r="J843" s="15">
        <f t="shared" si="192"/>
        <v>3.2000000000000028</v>
      </c>
      <c r="K843" s="13">
        <v>45.2</v>
      </c>
      <c r="L843" s="14"/>
      <c r="M843" s="14"/>
      <c r="N843" s="14"/>
      <c r="O843" s="14"/>
      <c r="P843" s="14"/>
      <c r="Q843" s="14"/>
      <c r="R843" s="14"/>
      <c r="S843" s="14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3.2">
      <c r="A844" s="14"/>
      <c r="B844" s="5">
        <v>7</v>
      </c>
      <c r="C844" s="5">
        <f t="shared" si="182"/>
        <v>49</v>
      </c>
      <c r="D844" s="20">
        <v>43048</v>
      </c>
      <c r="E844" s="11">
        <v>393.4</v>
      </c>
      <c r="F844" s="12"/>
      <c r="G844" s="14"/>
      <c r="H844" s="14"/>
      <c r="I844" s="15"/>
      <c r="J844" s="14"/>
      <c r="K844" s="15"/>
      <c r="L844" s="14"/>
      <c r="M844" s="14"/>
      <c r="N844" s="14"/>
      <c r="O844" s="14"/>
      <c r="P844" s="14"/>
      <c r="Q844" s="14"/>
      <c r="R844" s="14"/>
      <c r="S844" s="14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3.2">
      <c r="A845" s="14"/>
      <c r="B845" s="5">
        <v>7</v>
      </c>
      <c r="C845" s="5">
        <f t="shared" si="182"/>
        <v>50</v>
      </c>
      <c r="D845" s="20">
        <v>43049</v>
      </c>
      <c r="E845" s="11">
        <v>386.6</v>
      </c>
      <c r="F845" s="12">
        <f t="shared" ref="F845:F847" si="193">(E844-E845)/(D845-D844)</f>
        <v>6.7999999999999545</v>
      </c>
      <c r="G845" s="14"/>
      <c r="H845" s="14"/>
      <c r="I845" s="13">
        <v>51.4</v>
      </c>
      <c r="J845" s="15">
        <f>(I843-I845)/(D845-D843)</f>
        <v>3.3000000000000007</v>
      </c>
      <c r="K845" s="13">
        <v>46.4</v>
      </c>
      <c r="L845" s="14"/>
      <c r="M845" s="14"/>
      <c r="N845" s="14"/>
      <c r="O845" s="14"/>
      <c r="P845" s="14"/>
      <c r="Q845" s="14"/>
      <c r="R845" s="14"/>
      <c r="S845" s="14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3.2">
      <c r="A846" s="14"/>
      <c r="B846" s="5">
        <v>7</v>
      </c>
      <c r="C846" s="5">
        <f t="shared" si="182"/>
        <v>53</v>
      </c>
      <c r="D846" s="20">
        <v>43052</v>
      </c>
      <c r="E846" s="11">
        <v>372.4</v>
      </c>
      <c r="F846" s="12">
        <f t="shared" si="193"/>
        <v>4.7333333333333485</v>
      </c>
      <c r="G846" s="14"/>
      <c r="H846" s="14"/>
      <c r="I846" s="13">
        <v>42</v>
      </c>
      <c r="J846" s="15">
        <f t="shared" ref="J846:J847" si="194">(I845-I846)/(D846-D845)</f>
        <v>3.1333333333333329</v>
      </c>
      <c r="K846" s="13">
        <v>47.4</v>
      </c>
      <c r="L846" s="14"/>
      <c r="M846" s="14"/>
      <c r="N846" s="14"/>
      <c r="O846" s="14"/>
      <c r="P846" s="14"/>
      <c r="Q846" s="14"/>
      <c r="R846" s="14"/>
      <c r="S846" s="14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3.2">
      <c r="A847" s="14"/>
      <c r="B847" s="5">
        <v>7</v>
      </c>
      <c r="C847" s="5">
        <f t="shared" si="182"/>
        <v>55</v>
      </c>
      <c r="D847" s="20">
        <v>43054</v>
      </c>
      <c r="E847" s="11">
        <v>355.6</v>
      </c>
      <c r="F847" s="12">
        <f t="shared" si="193"/>
        <v>8.3999999999999773</v>
      </c>
      <c r="G847" s="14"/>
      <c r="H847" s="14"/>
      <c r="I847" s="13">
        <v>37.200000000000003</v>
      </c>
      <c r="J847" s="15">
        <f t="shared" si="194"/>
        <v>2.3999999999999986</v>
      </c>
      <c r="K847" s="13">
        <v>46.5</v>
      </c>
      <c r="L847" s="14"/>
      <c r="M847" s="14"/>
      <c r="N847" s="14"/>
      <c r="O847" s="14"/>
      <c r="P847" s="14"/>
      <c r="Q847" s="14"/>
      <c r="R847" s="14"/>
      <c r="S847" s="14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3.2">
      <c r="A848" s="14"/>
      <c r="B848" s="5">
        <v>8</v>
      </c>
      <c r="C848" s="5">
        <f t="shared" si="182"/>
        <v>56</v>
      </c>
      <c r="D848" s="20">
        <v>43055</v>
      </c>
      <c r="E848" s="11">
        <v>384.9</v>
      </c>
      <c r="F848" s="12"/>
      <c r="G848" s="14"/>
      <c r="H848" s="14"/>
      <c r="I848" s="15"/>
      <c r="J848" s="14"/>
      <c r="K848" s="15"/>
      <c r="L848" s="14"/>
      <c r="M848" s="14"/>
      <c r="N848" s="14"/>
      <c r="O848" s="14"/>
      <c r="P848" s="14"/>
      <c r="Q848" s="14"/>
      <c r="R848" s="14"/>
      <c r="S848" s="14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3.2">
      <c r="A849" s="14"/>
      <c r="B849" s="5">
        <v>8</v>
      </c>
      <c r="C849" s="5">
        <f t="shared" si="182"/>
        <v>57</v>
      </c>
      <c r="D849" s="20">
        <v>43056</v>
      </c>
      <c r="E849" s="11">
        <v>377.5</v>
      </c>
      <c r="F849" s="12">
        <f t="shared" ref="F849:F850" si="195">(E848-E849)/(D849-D848)</f>
        <v>7.3999999999999773</v>
      </c>
      <c r="G849" s="14"/>
      <c r="H849" s="14"/>
      <c r="I849" s="13">
        <v>32.299999999999997</v>
      </c>
      <c r="J849" s="15">
        <f>(I847-I849)/(D849-D847)</f>
        <v>2.4500000000000028</v>
      </c>
      <c r="K849" s="13">
        <v>46.5</v>
      </c>
      <c r="L849" s="14"/>
      <c r="M849" s="14"/>
      <c r="N849" s="14"/>
      <c r="O849" s="14"/>
      <c r="P849" s="14"/>
      <c r="Q849" s="14"/>
      <c r="R849" s="14"/>
      <c r="S849" s="14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3.2">
      <c r="A850" s="14"/>
      <c r="B850" s="5">
        <v>8</v>
      </c>
      <c r="C850" s="5">
        <f t="shared" si="182"/>
        <v>60</v>
      </c>
      <c r="D850" s="20">
        <v>43059</v>
      </c>
      <c r="E850" s="11">
        <v>365.6</v>
      </c>
      <c r="F850" s="12">
        <f t="shared" si="195"/>
        <v>3.9666666666666592</v>
      </c>
      <c r="G850" s="14"/>
      <c r="H850" s="14"/>
      <c r="I850" s="13">
        <v>23.9</v>
      </c>
      <c r="J850" s="15">
        <f>(I849-I850)/(D850-D849)</f>
        <v>2.7999999999999994</v>
      </c>
      <c r="K850" s="13">
        <v>47.3</v>
      </c>
      <c r="L850" s="14"/>
      <c r="M850" s="14"/>
      <c r="N850" s="14"/>
      <c r="O850" s="14"/>
      <c r="P850" s="14"/>
      <c r="Q850" s="14"/>
      <c r="R850" s="14"/>
      <c r="S850" s="14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3.2">
      <c r="A851" s="14"/>
      <c r="B851" s="5">
        <v>8</v>
      </c>
      <c r="C851" s="5">
        <f t="shared" si="182"/>
        <v>61</v>
      </c>
      <c r="D851" s="20">
        <v>43060</v>
      </c>
      <c r="E851" s="11">
        <v>380.3</v>
      </c>
      <c r="F851" s="12"/>
      <c r="G851" s="14"/>
      <c r="H851" s="14"/>
      <c r="I851" s="15"/>
      <c r="J851" s="14"/>
      <c r="K851" s="15"/>
      <c r="L851" s="14"/>
      <c r="M851" s="14"/>
      <c r="N851" s="14"/>
      <c r="O851" s="14"/>
      <c r="P851" s="14"/>
      <c r="Q851" s="14"/>
      <c r="R851" s="14"/>
      <c r="S851" s="14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3.2">
      <c r="A852" s="14"/>
      <c r="B852" s="5">
        <v>8</v>
      </c>
      <c r="C852" s="5">
        <f t="shared" si="182"/>
        <v>62</v>
      </c>
      <c r="D852" s="20">
        <v>43061</v>
      </c>
      <c r="E852" s="11">
        <v>375.1</v>
      </c>
      <c r="F852" s="12">
        <f>(E851-E852)/(D852-D851)</f>
        <v>5.1999999999999886</v>
      </c>
      <c r="G852" s="14"/>
      <c r="H852" s="14"/>
      <c r="I852" s="13">
        <v>83.3</v>
      </c>
      <c r="J852" s="14">
        <f>(91.5-I852)/(D852-D851)</f>
        <v>8.2000000000000028</v>
      </c>
      <c r="K852" s="13">
        <v>48.8</v>
      </c>
      <c r="L852" s="14"/>
      <c r="M852" s="14"/>
      <c r="N852" s="14"/>
      <c r="O852" s="14"/>
      <c r="P852" s="14"/>
      <c r="Q852" s="14"/>
      <c r="R852" s="14"/>
      <c r="S852" s="14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3.2">
      <c r="A853" s="14"/>
      <c r="B853" s="5">
        <v>9</v>
      </c>
      <c r="C853" s="5">
        <f t="shared" si="182"/>
        <v>63</v>
      </c>
      <c r="D853" s="20">
        <v>43062</v>
      </c>
      <c r="E853" s="11"/>
      <c r="F853" s="12"/>
      <c r="G853" s="14"/>
      <c r="H853" s="14"/>
      <c r="I853" s="13"/>
      <c r="J853" s="15"/>
      <c r="K853" s="13"/>
      <c r="L853" s="14"/>
      <c r="M853" s="14"/>
      <c r="N853" s="14"/>
      <c r="O853" s="14"/>
      <c r="P853" s="14"/>
      <c r="Q853" s="14"/>
      <c r="R853" s="14"/>
      <c r="S853" s="14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3.2">
      <c r="A854" s="14"/>
      <c r="B854" s="5">
        <v>9</v>
      </c>
      <c r="C854" s="5">
        <f t="shared" si="182"/>
        <v>64</v>
      </c>
      <c r="D854" s="20">
        <v>43063</v>
      </c>
      <c r="E854" s="11">
        <v>365.9</v>
      </c>
      <c r="F854" s="12">
        <f>(E852-E854)/(D854-D852)</f>
        <v>4.6000000000000227</v>
      </c>
      <c r="G854" s="14"/>
      <c r="H854" s="14"/>
      <c r="I854" s="13">
        <v>76.8</v>
      </c>
      <c r="J854" s="15">
        <f>(I852-I854)/(D854-D852)</f>
        <v>3.25</v>
      </c>
      <c r="K854" s="13">
        <v>49.8</v>
      </c>
      <c r="L854" s="14"/>
      <c r="M854" s="14"/>
      <c r="N854" s="14"/>
      <c r="O854" s="14"/>
      <c r="P854" s="14"/>
      <c r="Q854" s="14"/>
      <c r="R854" s="14"/>
      <c r="S854" s="14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3.2">
      <c r="A855" s="14"/>
      <c r="B855" s="5">
        <v>9</v>
      </c>
      <c r="C855" s="5">
        <f t="shared" si="182"/>
        <v>67</v>
      </c>
      <c r="D855" s="23">
        <v>43066</v>
      </c>
      <c r="E855" s="11">
        <v>352.9</v>
      </c>
      <c r="F855" s="12">
        <f t="shared" ref="F855:F856" si="196">(E854-E855)/(D855-D854)</f>
        <v>4.333333333333333</v>
      </c>
      <c r="G855" s="14"/>
      <c r="H855" s="14"/>
      <c r="I855" s="13">
        <v>67.7</v>
      </c>
      <c r="J855" s="15">
        <f t="shared" ref="J855:J856" si="197">(I854-I855)/(D855-D854)</f>
        <v>3.0333333333333314</v>
      </c>
      <c r="K855" s="13">
        <v>50.2</v>
      </c>
      <c r="L855" s="14"/>
      <c r="M855" s="14"/>
      <c r="N855" s="14"/>
      <c r="O855" s="14"/>
      <c r="P855" s="14"/>
      <c r="Q855" s="14"/>
      <c r="R855" s="14"/>
      <c r="S855" s="14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3.2">
      <c r="A856" s="14"/>
      <c r="B856" s="5">
        <v>9</v>
      </c>
      <c r="C856" s="5">
        <f t="shared" si="182"/>
        <v>69</v>
      </c>
      <c r="D856" s="23">
        <v>43068</v>
      </c>
      <c r="E856" s="11">
        <v>343.1</v>
      </c>
      <c r="F856" s="12">
        <f t="shared" si="196"/>
        <v>4.8999999999999773</v>
      </c>
      <c r="G856" s="14"/>
      <c r="H856" s="14"/>
      <c r="I856" s="13">
        <v>62.1</v>
      </c>
      <c r="J856" s="15">
        <f t="shared" si="197"/>
        <v>2.8000000000000007</v>
      </c>
      <c r="K856" s="13">
        <v>51.2</v>
      </c>
      <c r="L856" s="14"/>
      <c r="M856" s="14"/>
      <c r="N856" s="14"/>
      <c r="O856" s="14"/>
      <c r="P856" s="14"/>
      <c r="Q856" s="14"/>
      <c r="R856" s="14"/>
      <c r="S856" s="14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3.2">
      <c r="A857" s="14"/>
      <c r="B857" s="5">
        <v>10</v>
      </c>
      <c r="C857" s="5">
        <f t="shared" si="182"/>
        <v>70</v>
      </c>
      <c r="D857" s="23">
        <v>43069</v>
      </c>
      <c r="E857" s="11">
        <v>396.7</v>
      </c>
      <c r="F857" s="12"/>
      <c r="G857" s="14"/>
      <c r="H857" s="14"/>
      <c r="I857" s="15"/>
      <c r="J857" s="14"/>
      <c r="K857" s="15"/>
      <c r="L857" s="14"/>
      <c r="M857" s="14"/>
      <c r="N857" s="14"/>
      <c r="O857" s="14"/>
      <c r="P857" s="14"/>
      <c r="Q857" s="14"/>
      <c r="R857" s="14"/>
      <c r="S857" s="14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3.2">
      <c r="A858" s="14"/>
      <c r="B858" s="5">
        <v>10</v>
      </c>
      <c r="C858" s="5">
        <f t="shared" si="182"/>
        <v>71</v>
      </c>
      <c r="D858" s="23">
        <v>43070</v>
      </c>
      <c r="E858" s="11">
        <v>388.8</v>
      </c>
      <c r="F858" s="12">
        <f t="shared" ref="F858:F860" si="198">(E857-E858)/(D858-D857)</f>
        <v>7.8999999999999773</v>
      </c>
      <c r="G858" s="14"/>
      <c r="H858" s="14"/>
      <c r="I858" s="13">
        <v>55.4</v>
      </c>
      <c r="J858" s="15">
        <f>(I856-I858)/(D858-D856)</f>
        <v>3.3500000000000014</v>
      </c>
      <c r="K858" s="13">
        <v>51.1</v>
      </c>
      <c r="L858" s="14"/>
      <c r="M858" s="14"/>
      <c r="N858" s="14"/>
      <c r="O858" s="14"/>
      <c r="P858" s="14"/>
      <c r="Q858" s="14"/>
      <c r="R858" s="14"/>
      <c r="S858" s="14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3.2">
      <c r="A859" s="14"/>
      <c r="B859" s="5">
        <v>10</v>
      </c>
      <c r="C859" s="5">
        <f t="shared" si="182"/>
        <v>74</v>
      </c>
      <c r="D859" s="23">
        <v>43073</v>
      </c>
      <c r="E859" s="11">
        <v>377.4</v>
      </c>
      <c r="F859" s="12">
        <f t="shared" si="198"/>
        <v>3.8000000000000114</v>
      </c>
      <c r="G859" s="14"/>
      <c r="H859" s="14"/>
      <c r="I859" s="13">
        <v>46.2</v>
      </c>
      <c r="J859" s="15">
        <f t="shared" ref="J859:J860" si="199">(I858-I859)/(D859-D858)</f>
        <v>3.0666666666666651</v>
      </c>
      <c r="K859" s="13">
        <v>52</v>
      </c>
      <c r="L859" s="14"/>
      <c r="M859" s="14"/>
      <c r="N859" s="14"/>
      <c r="O859" s="14"/>
      <c r="P859" s="14"/>
      <c r="Q859" s="14"/>
      <c r="R859" s="14"/>
      <c r="S859" s="14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3.2">
      <c r="A860" s="14"/>
      <c r="B860" s="5">
        <v>10</v>
      </c>
      <c r="C860" s="5">
        <f t="shared" si="182"/>
        <v>76</v>
      </c>
      <c r="D860" s="23">
        <v>43075</v>
      </c>
      <c r="E860" s="11">
        <v>365.5</v>
      </c>
      <c r="F860" s="12">
        <f t="shared" si="198"/>
        <v>5.9499999999999886</v>
      </c>
      <c r="G860" s="14"/>
      <c r="H860" s="14"/>
      <c r="I860" s="13">
        <v>40.6</v>
      </c>
      <c r="J860" s="15">
        <f t="shared" si="199"/>
        <v>2.8000000000000007</v>
      </c>
      <c r="K860" s="13">
        <v>52.4</v>
      </c>
      <c r="L860" s="14"/>
      <c r="M860" s="14"/>
      <c r="N860" s="14"/>
      <c r="O860" s="14"/>
      <c r="P860" s="14"/>
      <c r="Q860" s="14"/>
      <c r="R860" s="14"/>
      <c r="S860" s="14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3.2">
      <c r="A861" s="14"/>
      <c r="B861" s="5">
        <v>11</v>
      </c>
      <c r="C861" s="5">
        <f t="shared" si="182"/>
        <v>77</v>
      </c>
      <c r="D861" s="24">
        <v>43076</v>
      </c>
      <c r="E861" s="11">
        <v>383.9</v>
      </c>
      <c r="F861" s="12"/>
      <c r="G861" s="14"/>
      <c r="H861" s="14"/>
      <c r="I861" s="15"/>
      <c r="J861" s="14"/>
      <c r="K861" s="15"/>
      <c r="L861" s="14"/>
      <c r="M861" s="14"/>
      <c r="N861" s="14"/>
      <c r="O861" s="14"/>
      <c r="P861" s="14"/>
      <c r="Q861" s="14"/>
      <c r="R861" s="14"/>
      <c r="S861" s="14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3.2">
      <c r="A862" s="14"/>
      <c r="B862" s="5">
        <v>11</v>
      </c>
      <c r="C862" s="5">
        <f t="shared" si="182"/>
        <v>78</v>
      </c>
      <c r="D862" s="24">
        <v>43077</v>
      </c>
      <c r="E862" s="11">
        <v>376.9</v>
      </c>
      <c r="F862" s="12">
        <f t="shared" ref="F862:F864" si="200">(E861-E862)/(D862-D861)</f>
        <v>7</v>
      </c>
      <c r="G862" s="14"/>
      <c r="H862" s="14"/>
      <c r="I862" s="13">
        <v>55</v>
      </c>
      <c r="J862" s="15"/>
      <c r="K862" s="13">
        <v>52.7</v>
      </c>
      <c r="L862" s="14"/>
      <c r="M862" s="14"/>
      <c r="N862" s="14"/>
      <c r="O862" s="14"/>
      <c r="P862" s="14"/>
      <c r="Q862" s="14"/>
      <c r="R862" s="14"/>
      <c r="S862" s="14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3.2">
      <c r="A863" s="14"/>
      <c r="B863" s="5">
        <v>11</v>
      </c>
      <c r="C863" s="5">
        <f t="shared" si="182"/>
        <v>81</v>
      </c>
      <c r="D863" s="24">
        <v>43080</v>
      </c>
      <c r="E863" s="11">
        <v>364.2</v>
      </c>
      <c r="F863" s="12">
        <f t="shared" si="200"/>
        <v>4.2333333333333298</v>
      </c>
      <c r="G863" s="14"/>
      <c r="H863" s="14"/>
      <c r="I863" s="13">
        <v>46.2</v>
      </c>
      <c r="J863" s="15">
        <f t="shared" ref="J863:J864" si="201">(I862-I863)/(D863-D862)</f>
        <v>2.9333333333333322</v>
      </c>
      <c r="K863" s="13">
        <v>53.3</v>
      </c>
      <c r="L863" s="14"/>
      <c r="M863" s="14"/>
      <c r="N863" s="14"/>
      <c r="O863" s="14"/>
      <c r="P863" s="14"/>
      <c r="Q863" s="14"/>
      <c r="R863" s="14"/>
      <c r="S863" s="14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26.4">
      <c r="A864" s="5" t="s">
        <v>45</v>
      </c>
      <c r="B864" s="5">
        <v>11</v>
      </c>
      <c r="C864" s="5">
        <f t="shared" si="182"/>
        <v>83</v>
      </c>
      <c r="D864" s="25">
        <v>43082</v>
      </c>
      <c r="E864" s="11">
        <v>351.5</v>
      </c>
      <c r="F864" s="12">
        <f t="shared" si="200"/>
        <v>6.3499999999999943</v>
      </c>
      <c r="G864" s="14"/>
      <c r="H864" s="14"/>
      <c r="I864" s="13">
        <v>40.299999999999997</v>
      </c>
      <c r="J864" s="15">
        <f t="shared" si="201"/>
        <v>2.9500000000000028</v>
      </c>
      <c r="K864" s="13">
        <v>53.5</v>
      </c>
      <c r="L864" s="14"/>
      <c r="M864" s="14"/>
      <c r="N864" s="14"/>
      <c r="O864" s="14"/>
      <c r="P864" s="14"/>
      <c r="Q864" s="14"/>
      <c r="R864" s="14"/>
      <c r="S864" s="14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3.2">
      <c r="A865" s="14"/>
      <c r="B865" s="5">
        <v>12</v>
      </c>
      <c r="C865" s="5">
        <f t="shared" si="182"/>
        <v>84</v>
      </c>
      <c r="D865" s="24">
        <v>43083</v>
      </c>
      <c r="E865" s="12"/>
      <c r="F865" s="12"/>
      <c r="G865" s="14"/>
      <c r="H865" s="14"/>
      <c r="I865" s="15"/>
      <c r="J865" s="14"/>
      <c r="K865" s="13"/>
      <c r="L865" s="14"/>
      <c r="M865" s="14"/>
      <c r="N865" s="14"/>
      <c r="O865" s="14"/>
      <c r="P865" s="14"/>
      <c r="Q865" s="14"/>
      <c r="R865" s="14"/>
      <c r="S865" s="14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3.2">
      <c r="A866" s="26" t="s">
        <v>28</v>
      </c>
      <c r="B866" s="26">
        <v>12</v>
      </c>
      <c r="C866" s="26">
        <f t="shared" si="182"/>
        <v>85</v>
      </c>
      <c r="D866" s="27">
        <v>43084</v>
      </c>
      <c r="E866" s="28"/>
      <c r="F866" s="28"/>
      <c r="G866" s="29"/>
      <c r="H866" s="29"/>
      <c r="I866" s="30"/>
      <c r="J866" s="29"/>
      <c r="K866" s="31">
        <v>53.4</v>
      </c>
      <c r="L866" s="29"/>
      <c r="M866" s="29"/>
      <c r="N866" s="29"/>
      <c r="O866" s="29"/>
      <c r="P866" s="29"/>
      <c r="Q866" s="29"/>
      <c r="R866" s="29"/>
      <c r="S866" s="14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3.2">
      <c r="A867" s="14"/>
      <c r="B867" s="5">
        <v>12</v>
      </c>
      <c r="C867" s="5">
        <f t="shared" si="182"/>
        <v>98</v>
      </c>
      <c r="D867" s="32">
        <v>43097</v>
      </c>
      <c r="E867" s="12"/>
      <c r="F867" s="12"/>
      <c r="G867" s="14"/>
      <c r="H867" s="14"/>
      <c r="I867" s="33">
        <v>69.7</v>
      </c>
      <c r="J867" s="14"/>
      <c r="K867" s="33">
        <v>55</v>
      </c>
      <c r="L867" s="14"/>
      <c r="M867" s="14"/>
      <c r="N867" s="14"/>
      <c r="O867" s="14"/>
      <c r="P867" s="14"/>
      <c r="Q867" s="14"/>
      <c r="R867" s="14"/>
      <c r="S867" s="14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3.2">
      <c r="A868" s="14"/>
      <c r="B868" s="5">
        <v>12</v>
      </c>
      <c r="C868" s="5">
        <f t="shared" si="182"/>
        <v>105</v>
      </c>
      <c r="D868" s="32">
        <v>43104</v>
      </c>
      <c r="E868" s="12"/>
      <c r="F868" s="12"/>
      <c r="G868" s="14"/>
      <c r="H868" s="14"/>
      <c r="I868" s="33">
        <v>46.9</v>
      </c>
      <c r="J868" s="14"/>
      <c r="K868" s="33">
        <v>54.3</v>
      </c>
      <c r="L868" s="14"/>
      <c r="M868" s="14"/>
      <c r="N868" s="14"/>
      <c r="O868" s="14"/>
      <c r="P868" s="14"/>
      <c r="Q868" s="14"/>
      <c r="R868" s="14"/>
      <c r="S868" s="14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3.2">
      <c r="A869" s="14"/>
      <c r="B869" s="14"/>
      <c r="C869" s="5">
        <f t="shared" si="182"/>
        <v>112</v>
      </c>
      <c r="D869" s="32">
        <v>43111</v>
      </c>
      <c r="E869" s="12"/>
      <c r="F869" s="12"/>
      <c r="G869" s="14"/>
      <c r="H869" s="14"/>
      <c r="I869" s="33">
        <v>24.6</v>
      </c>
      <c r="J869" s="14"/>
      <c r="K869" s="33">
        <v>54.9</v>
      </c>
      <c r="L869" s="14"/>
      <c r="M869" s="14"/>
      <c r="N869" s="14"/>
      <c r="O869" s="14"/>
      <c r="P869" s="14"/>
      <c r="Q869" s="14"/>
      <c r="R869" s="14"/>
      <c r="S869" s="14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3.2">
      <c r="A870" s="14"/>
      <c r="B870" s="14"/>
      <c r="C870" s="5">
        <f t="shared" si="182"/>
        <v>116</v>
      </c>
      <c r="D870" s="34">
        <v>43115</v>
      </c>
      <c r="E870" s="12"/>
      <c r="F870" s="12"/>
      <c r="G870" s="14"/>
      <c r="H870" s="14"/>
      <c r="I870" s="33"/>
      <c r="J870" s="14"/>
      <c r="K870" s="33"/>
      <c r="L870" s="14"/>
      <c r="M870" s="14"/>
      <c r="N870" s="14"/>
      <c r="O870" s="14"/>
      <c r="P870" s="14"/>
      <c r="Q870" s="14"/>
      <c r="R870" s="14"/>
      <c r="S870" s="14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3.2">
      <c r="A871" s="14"/>
      <c r="B871" s="14"/>
      <c r="C871" s="5">
        <f t="shared" si="182"/>
        <v>117</v>
      </c>
      <c r="D871" s="20">
        <v>43116</v>
      </c>
      <c r="E871" s="12"/>
      <c r="F871" s="12"/>
      <c r="G871" s="14"/>
      <c r="H871" s="14"/>
      <c r="I871" s="33">
        <v>24.8</v>
      </c>
      <c r="J871" s="14"/>
      <c r="K871" s="33">
        <v>55.2</v>
      </c>
      <c r="L871" s="14"/>
      <c r="M871" s="14"/>
      <c r="N871" s="14"/>
      <c r="O871" s="14"/>
      <c r="P871" s="14"/>
      <c r="Q871" s="14"/>
      <c r="R871" s="14"/>
      <c r="S871" s="14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3.2">
      <c r="A872" s="14"/>
      <c r="B872" s="5"/>
      <c r="C872" s="5">
        <v>124</v>
      </c>
      <c r="D872" s="35">
        <v>43123</v>
      </c>
      <c r="E872" s="12"/>
      <c r="F872" s="12"/>
      <c r="G872" s="14"/>
      <c r="H872" s="14"/>
      <c r="I872" s="33">
        <v>33.4</v>
      </c>
      <c r="J872" s="14"/>
      <c r="K872" s="33">
        <v>56.4</v>
      </c>
      <c r="L872" s="14"/>
      <c r="M872" s="14"/>
      <c r="N872" s="14"/>
      <c r="O872" s="14"/>
      <c r="P872" s="14"/>
      <c r="Q872" s="14"/>
      <c r="R872" s="14"/>
      <c r="S872" s="14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3.2">
      <c r="A873" s="14"/>
      <c r="B873" s="5"/>
      <c r="C873" s="5">
        <v>131</v>
      </c>
      <c r="D873" s="20">
        <v>43130</v>
      </c>
      <c r="E873" s="12"/>
      <c r="F873" s="12"/>
      <c r="G873" s="14"/>
      <c r="H873" s="14"/>
      <c r="I873" s="36">
        <v>68.7</v>
      </c>
      <c r="J873" s="14"/>
      <c r="K873" s="36">
        <v>57.5</v>
      </c>
      <c r="L873" s="14"/>
      <c r="M873" s="14"/>
      <c r="N873" s="14"/>
      <c r="O873" s="14"/>
      <c r="P873" s="14"/>
      <c r="Q873" s="14"/>
      <c r="R873" s="14"/>
      <c r="S873" s="14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3.2">
      <c r="A874" s="14"/>
      <c r="B874" s="5"/>
      <c r="C874" s="5">
        <v>138</v>
      </c>
      <c r="D874" s="20">
        <v>43137</v>
      </c>
      <c r="E874" s="12"/>
      <c r="F874" s="12"/>
      <c r="G874" s="14"/>
      <c r="H874" s="14"/>
      <c r="I874" s="33">
        <v>46.1</v>
      </c>
      <c r="J874" s="37"/>
      <c r="K874" s="33">
        <v>58.4</v>
      </c>
      <c r="L874" s="14"/>
      <c r="M874" s="14"/>
      <c r="N874" s="14"/>
      <c r="O874" s="14"/>
      <c r="P874" s="14"/>
      <c r="Q874" s="14"/>
      <c r="R874" s="14"/>
      <c r="S874" s="14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3.2">
      <c r="A875" s="14"/>
      <c r="B875" s="5"/>
      <c r="C875" s="5">
        <v>145</v>
      </c>
      <c r="D875" s="20">
        <v>43144</v>
      </c>
      <c r="E875" s="12"/>
      <c r="F875" s="12"/>
      <c r="G875" s="14"/>
      <c r="H875" s="14"/>
      <c r="I875" s="13">
        <v>23.4</v>
      </c>
      <c r="J875" s="14"/>
      <c r="K875" s="13">
        <v>58.8</v>
      </c>
      <c r="L875" s="14"/>
      <c r="M875" s="14"/>
      <c r="N875" s="14"/>
      <c r="O875" s="14"/>
      <c r="P875" s="14"/>
      <c r="Q875" s="14"/>
      <c r="R875" s="14"/>
      <c r="S875" s="14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3.2">
      <c r="A876" s="14"/>
      <c r="B876" s="5"/>
      <c r="C876" s="5">
        <v>152</v>
      </c>
      <c r="D876" s="20">
        <v>43151</v>
      </c>
      <c r="E876" s="12"/>
      <c r="F876" s="12"/>
      <c r="G876" s="14"/>
      <c r="H876" s="14"/>
      <c r="I876" s="13">
        <v>72.400000000000006</v>
      </c>
      <c r="J876" s="14"/>
      <c r="K876" s="13">
        <v>61.5</v>
      </c>
      <c r="L876" s="14"/>
      <c r="M876" s="14"/>
      <c r="N876" s="14"/>
      <c r="O876" s="14"/>
      <c r="P876" s="14"/>
      <c r="Q876" s="14"/>
      <c r="R876" s="14"/>
      <c r="S876" s="14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3.2">
      <c r="A877" s="14"/>
      <c r="B877" s="5"/>
      <c r="C877" s="5">
        <v>159</v>
      </c>
      <c r="D877" s="20">
        <v>43158</v>
      </c>
      <c r="E877" s="12"/>
      <c r="F877" s="12"/>
      <c r="G877" s="14"/>
      <c r="H877" s="14"/>
      <c r="I877" s="13">
        <v>49.6</v>
      </c>
      <c r="J877" s="14"/>
      <c r="K877" s="13">
        <v>62</v>
      </c>
      <c r="L877" s="14"/>
      <c r="M877" s="14"/>
      <c r="N877" s="14"/>
      <c r="O877" s="14"/>
      <c r="P877" s="14"/>
      <c r="Q877" s="14"/>
      <c r="R877" s="14"/>
      <c r="S877" s="14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3.2">
      <c r="A878" s="14"/>
      <c r="B878" s="5"/>
      <c r="C878" s="5">
        <v>166</v>
      </c>
      <c r="D878" s="20">
        <v>43165</v>
      </c>
      <c r="E878" s="12"/>
      <c r="F878" s="12"/>
      <c r="G878" s="14"/>
      <c r="H878" s="14"/>
      <c r="I878" s="13">
        <v>27.9</v>
      </c>
      <c r="J878" s="14"/>
      <c r="K878" s="13">
        <v>62.8</v>
      </c>
      <c r="L878" s="14"/>
      <c r="M878" s="14"/>
      <c r="N878" s="14"/>
      <c r="O878" s="14"/>
      <c r="P878" s="14"/>
      <c r="Q878" s="14"/>
      <c r="R878" s="14"/>
      <c r="S878" s="14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3.2">
      <c r="A879" s="14"/>
      <c r="B879" s="5"/>
      <c r="C879" s="5">
        <v>173</v>
      </c>
      <c r="D879" s="20">
        <v>43172</v>
      </c>
      <c r="E879" s="12"/>
      <c r="F879" s="12"/>
      <c r="G879" s="14"/>
      <c r="H879" s="14"/>
      <c r="I879" s="13">
        <v>11.5</v>
      </c>
      <c r="J879" s="14"/>
      <c r="K879" s="13">
        <v>63.3</v>
      </c>
      <c r="L879" s="14"/>
      <c r="M879" s="14"/>
      <c r="N879" s="14"/>
      <c r="O879" s="14"/>
      <c r="P879" s="14"/>
      <c r="Q879" s="14"/>
      <c r="R879" s="14"/>
      <c r="S879" s="14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3.2">
      <c r="A880" s="14"/>
      <c r="B880" s="5"/>
      <c r="C880" s="5"/>
      <c r="D880" s="14"/>
      <c r="E880" s="12"/>
      <c r="F880" s="12"/>
      <c r="G880" s="14"/>
      <c r="H880" s="14"/>
      <c r="I880" s="15"/>
      <c r="J880" s="14"/>
      <c r="K880" s="15"/>
      <c r="L880" s="14"/>
      <c r="M880" s="14"/>
      <c r="N880" s="14"/>
      <c r="O880" s="14"/>
      <c r="P880" s="14"/>
      <c r="Q880" s="14"/>
      <c r="R880" s="14"/>
      <c r="S880" s="14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3.2">
      <c r="A881" s="14"/>
      <c r="B881" s="5"/>
      <c r="C881" s="5"/>
      <c r="D881" s="14"/>
      <c r="E881" s="12"/>
      <c r="F881" s="12"/>
      <c r="G881" s="14"/>
      <c r="H881" s="14"/>
      <c r="I881" s="15"/>
      <c r="J881" s="14"/>
      <c r="K881" s="15"/>
      <c r="L881" s="14"/>
      <c r="M881" s="14"/>
      <c r="N881" s="14"/>
      <c r="O881" s="14"/>
      <c r="P881" s="14"/>
      <c r="Q881" s="14"/>
      <c r="R881" s="14"/>
      <c r="S881" s="14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3.2">
      <c r="A882" s="14"/>
      <c r="B882" s="5"/>
      <c r="C882" s="5"/>
      <c r="D882" s="14"/>
      <c r="E882" s="12"/>
      <c r="F882" s="12"/>
      <c r="G882" s="14"/>
      <c r="H882" s="14"/>
      <c r="I882" s="15"/>
      <c r="J882" s="14"/>
      <c r="K882" s="15"/>
      <c r="L882" s="14"/>
      <c r="M882" s="14"/>
      <c r="N882" s="14"/>
      <c r="O882" s="14"/>
      <c r="P882" s="14"/>
      <c r="Q882" s="14"/>
      <c r="R882" s="14"/>
      <c r="S882" s="14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3.2">
      <c r="A883" s="14"/>
      <c r="B883" s="5"/>
      <c r="C883" s="5"/>
      <c r="D883" s="14"/>
      <c r="E883" s="12"/>
      <c r="F883" s="12"/>
      <c r="G883" s="14"/>
      <c r="H883" s="14"/>
      <c r="I883" s="15"/>
      <c r="J883" s="14"/>
      <c r="K883" s="15"/>
      <c r="L883" s="14"/>
      <c r="M883" s="14"/>
      <c r="N883" s="14"/>
      <c r="O883" s="14"/>
      <c r="P883" s="14"/>
      <c r="Q883" s="14"/>
      <c r="R883" s="14"/>
      <c r="S883" s="14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3.2">
      <c r="A884" s="14"/>
      <c r="B884" s="5"/>
      <c r="C884" s="5"/>
      <c r="D884" s="14"/>
      <c r="E884" s="12"/>
      <c r="F884" s="12"/>
      <c r="G884" s="14"/>
      <c r="H884" s="14"/>
      <c r="I884" s="15"/>
      <c r="J884" s="14"/>
      <c r="K884" s="15"/>
      <c r="L884" s="14"/>
      <c r="M884" s="14"/>
      <c r="N884" s="14"/>
      <c r="O884" s="14"/>
      <c r="P884" s="14"/>
      <c r="Q884" s="14"/>
      <c r="R884" s="14"/>
      <c r="S884" s="14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3.2">
      <c r="A885" s="14"/>
      <c r="B885" s="5"/>
      <c r="C885" s="5"/>
      <c r="D885" s="14"/>
      <c r="E885" s="12"/>
      <c r="F885" s="12"/>
      <c r="G885" s="14"/>
      <c r="H885" s="14"/>
      <c r="I885" s="15"/>
      <c r="J885" s="14"/>
      <c r="K885" s="15"/>
      <c r="L885" s="14"/>
      <c r="M885" s="14"/>
      <c r="N885" s="14"/>
      <c r="O885" s="14"/>
      <c r="P885" s="14"/>
      <c r="Q885" s="14"/>
      <c r="R885" s="14"/>
      <c r="S885" s="14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3.2">
      <c r="A886" s="14"/>
      <c r="B886" s="5"/>
      <c r="C886" s="5"/>
      <c r="D886" s="14"/>
      <c r="E886" s="12"/>
      <c r="F886" s="12"/>
      <c r="G886" s="14"/>
      <c r="H886" s="14"/>
      <c r="I886" s="15"/>
      <c r="J886" s="14"/>
      <c r="K886" s="15"/>
      <c r="L886" s="14"/>
      <c r="M886" s="14"/>
      <c r="N886" s="14"/>
      <c r="O886" s="14"/>
      <c r="P886" s="14"/>
      <c r="Q886" s="14"/>
      <c r="R886" s="14"/>
      <c r="S886" s="14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3.2">
      <c r="A887" s="14"/>
      <c r="B887" s="5"/>
      <c r="C887" s="5"/>
      <c r="D887" s="14"/>
      <c r="E887" s="12"/>
      <c r="F887" s="12"/>
      <c r="G887" s="14"/>
      <c r="H887" s="14"/>
      <c r="I887" s="15"/>
      <c r="J887" s="14"/>
      <c r="K887" s="15"/>
      <c r="L887" s="14"/>
      <c r="M887" s="14"/>
      <c r="N887" s="14"/>
      <c r="O887" s="14"/>
      <c r="P887" s="14"/>
      <c r="Q887" s="14"/>
      <c r="R887" s="14"/>
      <c r="S887" s="14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3.2">
      <c r="A888" s="14"/>
      <c r="B888" s="5"/>
      <c r="C888" s="5"/>
      <c r="D888" s="14"/>
      <c r="E888" s="12"/>
      <c r="F888" s="12"/>
      <c r="G888" s="14"/>
      <c r="H888" s="14"/>
      <c r="I888" s="15"/>
      <c r="J888" s="14"/>
      <c r="K888" s="15"/>
      <c r="L888" s="14"/>
      <c r="M888" s="14"/>
      <c r="N888" s="14"/>
      <c r="O888" s="14"/>
      <c r="P888" s="14"/>
      <c r="Q888" s="14"/>
      <c r="R888" s="14"/>
      <c r="S888" s="14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3.2">
      <c r="A889" s="14"/>
      <c r="B889" s="5"/>
      <c r="C889" s="5"/>
      <c r="D889" s="14"/>
      <c r="E889" s="12"/>
      <c r="F889" s="12"/>
      <c r="G889" s="14"/>
      <c r="H889" s="14"/>
      <c r="I889" s="15"/>
      <c r="J889" s="14"/>
      <c r="K889" s="15"/>
      <c r="L889" s="14"/>
      <c r="M889" s="14"/>
      <c r="N889" s="14"/>
      <c r="O889" s="14"/>
      <c r="P889" s="14"/>
      <c r="Q889" s="14"/>
      <c r="R889" s="14"/>
      <c r="S889" s="14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3.2">
      <c r="A890" s="14"/>
      <c r="B890" s="5"/>
      <c r="C890" s="5"/>
      <c r="D890" s="14"/>
      <c r="E890" s="12"/>
      <c r="F890" s="12"/>
      <c r="G890" s="14"/>
      <c r="H890" s="14"/>
      <c r="I890" s="15"/>
      <c r="J890" s="14"/>
      <c r="K890" s="15"/>
      <c r="L890" s="14"/>
      <c r="M890" s="14"/>
      <c r="N890" s="14"/>
      <c r="O890" s="14"/>
      <c r="P890" s="14"/>
      <c r="Q890" s="14"/>
      <c r="R890" s="14"/>
      <c r="S890" s="14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3.2">
      <c r="A891" s="14"/>
      <c r="B891" s="5"/>
      <c r="C891" s="5"/>
      <c r="D891" s="14"/>
      <c r="E891" s="12"/>
      <c r="F891" s="12"/>
      <c r="G891" s="14"/>
      <c r="H891" s="14"/>
      <c r="I891" s="15"/>
      <c r="J891" s="14"/>
      <c r="K891" s="15"/>
      <c r="L891" s="14"/>
      <c r="M891" s="14"/>
      <c r="N891" s="14"/>
      <c r="O891" s="14"/>
      <c r="P891" s="14"/>
      <c r="Q891" s="14"/>
      <c r="R891" s="14"/>
      <c r="S891" s="14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3.2">
      <c r="A892" s="14"/>
      <c r="B892" s="5"/>
      <c r="C892" s="5"/>
      <c r="D892" s="14"/>
      <c r="E892" s="12"/>
      <c r="F892" s="12"/>
      <c r="G892" s="14"/>
      <c r="H892" s="14"/>
      <c r="I892" s="15"/>
      <c r="J892" s="14"/>
      <c r="K892" s="15"/>
      <c r="L892" s="14"/>
      <c r="M892" s="14"/>
      <c r="N892" s="14"/>
      <c r="O892" s="14"/>
      <c r="P892" s="14"/>
      <c r="Q892" s="14"/>
      <c r="R892" s="14"/>
      <c r="S892" s="14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3.2">
      <c r="A893" s="14"/>
      <c r="B893" s="5"/>
      <c r="C893" s="5"/>
      <c r="D893" s="14"/>
      <c r="E893" s="12"/>
      <c r="F893" s="12"/>
      <c r="G893" s="14"/>
      <c r="H893" s="14"/>
      <c r="I893" s="15"/>
      <c r="J893" s="14"/>
      <c r="K893" s="15"/>
      <c r="L893" s="14"/>
      <c r="M893" s="14"/>
      <c r="N893" s="14"/>
      <c r="O893" s="14"/>
      <c r="P893" s="14"/>
      <c r="Q893" s="14"/>
      <c r="R893" s="14"/>
      <c r="S893" s="14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3.2">
      <c r="A894" s="14"/>
      <c r="B894" s="5"/>
      <c r="C894" s="5"/>
      <c r="D894" s="14"/>
      <c r="E894" s="12"/>
      <c r="F894" s="12"/>
      <c r="G894" s="14"/>
      <c r="H894" s="14"/>
      <c r="I894" s="15"/>
      <c r="J894" s="14"/>
      <c r="K894" s="15"/>
      <c r="L894" s="14"/>
      <c r="M894" s="14"/>
      <c r="N894" s="14"/>
      <c r="O894" s="14"/>
      <c r="P894" s="14"/>
      <c r="Q894" s="14"/>
      <c r="R894" s="14"/>
      <c r="S894" s="14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3.2">
      <c r="A895" s="14"/>
      <c r="B895" s="5"/>
      <c r="C895" s="5"/>
      <c r="D895" s="14"/>
      <c r="E895" s="12"/>
      <c r="F895" s="12"/>
      <c r="G895" s="14"/>
      <c r="H895" s="14"/>
      <c r="I895" s="15"/>
      <c r="J895" s="14"/>
      <c r="K895" s="15"/>
      <c r="L895" s="14"/>
      <c r="M895" s="14"/>
      <c r="N895" s="14"/>
      <c r="O895" s="14"/>
      <c r="P895" s="14"/>
      <c r="Q895" s="14"/>
      <c r="R895" s="14"/>
      <c r="S895" s="14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3.2">
      <c r="A896" s="14"/>
      <c r="B896" s="5"/>
      <c r="C896" s="5"/>
      <c r="D896" s="14"/>
      <c r="E896" s="12"/>
      <c r="F896" s="12"/>
      <c r="G896" s="14"/>
      <c r="H896" s="14"/>
      <c r="I896" s="15"/>
      <c r="J896" s="14"/>
      <c r="K896" s="15"/>
      <c r="L896" s="14"/>
      <c r="M896" s="14"/>
      <c r="N896" s="14"/>
      <c r="O896" s="14"/>
      <c r="P896" s="14"/>
      <c r="Q896" s="14"/>
      <c r="R896" s="14"/>
      <c r="S896" s="14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3.2">
      <c r="A897" s="14"/>
      <c r="B897" s="5"/>
      <c r="C897" s="5"/>
      <c r="D897" s="14"/>
      <c r="E897" s="12"/>
      <c r="F897" s="12"/>
      <c r="G897" s="14"/>
      <c r="H897" s="14"/>
      <c r="I897" s="15"/>
      <c r="J897" s="14"/>
      <c r="K897" s="15"/>
      <c r="L897" s="14"/>
      <c r="M897" s="14"/>
      <c r="N897" s="14"/>
      <c r="O897" s="14"/>
      <c r="P897" s="14"/>
      <c r="Q897" s="14"/>
      <c r="R897" s="14"/>
      <c r="S897" s="14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3.2">
      <c r="A898" s="14"/>
      <c r="B898" s="5"/>
      <c r="C898" s="5"/>
      <c r="D898" s="14"/>
      <c r="E898" s="12"/>
      <c r="F898" s="12"/>
      <c r="G898" s="14"/>
      <c r="H898" s="14"/>
      <c r="I898" s="15"/>
      <c r="J898" s="14"/>
      <c r="K898" s="15"/>
      <c r="L898" s="14"/>
      <c r="M898" s="14"/>
      <c r="N898" s="14"/>
      <c r="O898" s="14"/>
      <c r="P898" s="14"/>
      <c r="Q898" s="14"/>
      <c r="R898" s="14"/>
      <c r="S898" s="14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3.2">
      <c r="A899" s="14"/>
      <c r="B899" s="5"/>
      <c r="C899" s="5"/>
      <c r="D899" s="14"/>
      <c r="E899" s="12"/>
      <c r="F899" s="12"/>
      <c r="G899" s="14"/>
      <c r="H899" s="14"/>
      <c r="I899" s="15"/>
      <c r="J899" s="14"/>
      <c r="K899" s="15"/>
      <c r="L899" s="14"/>
      <c r="M899" s="14"/>
      <c r="N899" s="14"/>
      <c r="O899" s="14"/>
      <c r="P899" s="14"/>
      <c r="Q899" s="14"/>
      <c r="R899" s="14"/>
      <c r="S899" s="14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3.2">
      <c r="A900" s="14"/>
      <c r="B900" s="5"/>
      <c r="C900" s="5"/>
      <c r="D900" s="14"/>
      <c r="E900" s="12"/>
      <c r="F900" s="12"/>
      <c r="G900" s="14"/>
      <c r="H900" s="14"/>
      <c r="I900" s="15"/>
      <c r="J900" s="14"/>
      <c r="K900" s="15"/>
      <c r="L900" s="14"/>
      <c r="M900" s="14"/>
      <c r="N900" s="14"/>
      <c r="O900" s="14"/>
      <c r="P900" s="14"/>
      <c r="Q900" s="14"/>
      <c r="R900" s="14"/>
      <c r="S900" s="14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3.2">
      <c r="A901" s="14"/>
      <c r="B901" s="5"/>
      <c r="C901" s="5"/>
      <c r="D901" s="14"/>
      <c r="E901" s="12"/>
      <c r="F901" s="12"/>
      <c r="G901" s="14"/>
      <c r="H901" s="14"/>
      <c r="I901" s="15"/>
      <c r="J901" s="14"/>
      <c r="K901" s="15"/>
      <c r="L901" s="14"/>
      <c r="M901" s="14"/>
      <c r="N901" s="14"/>
      <c r="O901" s="14"/>
      <c r="P901" s="14"/>
      <c r="Q901" s="14"/>
      <c r="R901" s="14"/>
      <c r="S901" s="14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3.2">
      <c r="A902" s="14"/>
      <c r="B902" s="5"/>
      <c r="C902" s="5"/>
      <c r="D902" s="14"/>
      <c r="E902" s="12"/>
      <c r="F902" s="12"/>
      <c r="G902" s="14"/>
      <c r="H902" s="14"/>
      <c r="I902" s="15"/>
      <c r="J902" s="14"/>
      <c r="K902" s="15"/>
      <c r="L902" s="14"/>
      <c r="M902" s="14"/>
      <c r="N902" s="14"/>
      <c r="O902" s="14"/>
      <c r="P902" s="14"/>
      <c r="Q902" s="14"/>
      <c r="R902" s="14"/>
      <c r="S902" s="14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3.2">
      <c r="A903" s="14"/>
      <c r="B903" s="5"/>
      <c r="C903" s="5"/>
      <c r="D903" s="14"/>
      <c r="E903" s="12"/>
      <c r="F903" s="12"/>
      <c r="G903" s="14"/>
      <c r="H903" s="14"/>
      <c r="I903" s="15"/>
      <c r="J903" s="14"/>
      <c r="K903" s="15"/>
      <c r="L903" s="14"/>
      <c r="M903" s="14"/>
      <c r="N903" s="14"/>
      <c r="O903" s="14"/>
      <c r="P903" s="14"/>
      <c r="Q903" s="14"/>
      <c r="R903" s="14"/>
      <c r="S903" s="14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3.2">
      <c r="A904" s="14"/>
      <c r="B904" s="5"/>
      <c r="C904" s="5"/>
      <c r="D904" s="14"/>
      <c r="E904" s="12"/>
      <c r="F904" s="12"/>
      <c r="G904" s="14"/>
      <c r="H904" s="14"/>
      <c r="I904" s="15"/>
      <c r="J904" s="14"/>
      <c r="K904" s="15"/>
      <c r="L904" s="14"/>
      <c r="M904" s="14"/>
      <c r="N904" s="14"/>
      <c r="O904" s="14"/>
      <c r="P904" s="14"/>
      <c r="Q904" s="14"/>
      <c r="R904" s="14"/>
      <c r="S904" s="14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26.4">
      <c r="A905" s="8" t="s">
        <v>93</v>
      </c>
      <c r="B905" s="5">
        <v>0</v>
      </c>
      <c r="C905" s="5">
        <v>0</v>
      </c>
      <c r="D905" s="9">
        <v>42992</v>
      </c>
      <c r="E905" s="10">
        <v>375.2</v>
      </c>
      <c r="F905" s="11" t="s">
        <v>21</v>
      </c>
      <c r="G905" s="12">
        <f>AVERAGE(F906:F922)</f>
        <v>5.4833333333333325</v>
      </c>
      <c r="H905" s="14"/>
      <c r="I905" s="13">
        <v>66</v>
      </c>
      <c r="J905" s="14"/>
      <c r="K905" s="13">
        <v>23.8</v>
      </c>
      <c r="L905" s="14"/>
      <c r="M905" s="14"/>
      <c r="N905" s="14"/>
      <c r="O905" s="14"/>
      <c r="P905" s="14">
        <f>SUM(O905:O915)-104.4</f>
        <v>272.59999999999991</v>
      </c>
      <c r="Q905" s="14"/>
      <c r="R905" s="14"/>
      <c r="S905" s="15">
        <f>I905-I909</f>
        <v>25.200000000000003</v>
      </c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3.2">
      <c r="A906" s="5" t="s">
        <v>23</v>
      </c>
      <c r="B906" s="5">
        <v>0</v>
      </c>
      <c r="C906" s="5">
        <v>0</v>
      </c>
      <c r="D906" s="9">
        <v>42993</v>
      </c>
      <c r="E906" s="10">
        <v>367.3</v>
      </c>
      <c r="F906" s="12">
        <f>E905-E906</f>
        <v>7.8999999999999773</v>
      </c>
      <c r="G906" s="14"/>
      <c r="H906" s="14"/>
      <c r="I906" s="13">
        <v>62.6</v>
      </c>
      <c r="J906" s="16">
        <f t="shared" ref="J906:J909" si="202">(I905-I906)/(D906-D905)</f>
        <v>3.3999999999999986</v>
      </c>
      <c r="K906" s="13">
        <v>23.8</v>
      </c>
      <c r="L906" s="14"/>
      <c r="M906" s="14"/>
      <c r="N906" s="14"/>
      <c r="O906" s="12">
        <f>E910-E916</f>
        <v>66.599999999999966</v>
      </c>
      <c r="P906" s="14"/>
      <c r="Q906" s="14"/>
      <c r="R906" s="14"/>
      <c r="S906" s="15">
        <f>I910-I916</f>
        <v>37.6</v>
      </c>
      <c r="T906" s="7">
        <f>SUM(S906:S910)*5.24</f>
        <v>1188.9560000000001</v>
      </c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3.2">
      <c r="A907" s="14"/>
      <c r="B907" s="5">
        <v>0</v>
      </c>
      <c r="C907" s="5">
        <v>0</v>
      </c>
      <c r="D907" s="9">
        <v>42996</v>
      </c>
      <c r="E907" s="10">
        <v>352.7</v>
      </c>
      <c r="F907" s="12">
        <f t="shared" ref="F907:F909" si="203">(E906-E907)/(D907-D906)</f>
        <v>4.8666666666666742</v>
      </c>
      <c r="G907" s="14"/>
      <c r="H907" s="14"/>
      <c r="I907" s="13">
        <v>51.7</v>
      </c>
      <c r="J907" s="16">
        <f t="shared" si="202"/>
        <v>3.6333333333333329</v>
      </c>
      <c r="K907" s="13">
        <v>23.7</v>
      </c>
      <c r="L907" s="14"/>
      <c r="M907" s="14"/>
      <c r="N907" s="14"/>
      <c r="O907" s="12">
        <f>E917-E920</f>
        <v>28.300000000000011</v>
      </c>
      <c r="P907" s="14"/>
      <c r="Q907" s="14"/>
      <c r="R907" s="14"/>
      <c r="S907" s="15">
        <f>66-I923</f>
        <v>32.700000000000003</v>
      </c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3.2">
      <c r="A908" s="14"/>
      <c r="B908" s="5">
        <v>0</v>
      </c>
      <c r="C908" s="5">
        <v>0</v>
      </c>
      <c r="D908" s="9">
        <v>42998</v>
      </c>
      <c r="E908" s="10">
        <v>343.5</v>
      </c>
      <c r="F908" s="12">
        <f t="shared" si="203"/>
        <v>4.5999999999999943</v>
      </c>
      <c r="G908" s="14"/>
      <c r="H908" s="14"/>
      <c r="I908" s="13">
        <v>44.9</v>
      </c>
      <c r="J908" s="16">
        <f t="shared" si="202"/>
        <v>3.4000000000000021</v>
      </c>
      <c r="K908" s="13">
        <v>23.6</v>
      </c>
      <c r="L908" s="14"/>
      <c r="M908" s="14"/>
      <c r="N908" s="14"/>
      <c r="O908" s="12">
        <f>E921-E924</f>
        <v>29.099999999999966</v>
      </c>
      <c r="P908" s="14"/>
      <c r="Q908" s="14"/>
      <c r="R908" s="14"/>
      <c r="S908" s="15">
        <f>73-I931</f>
        <v>41.2</v>
      </c>
      <c r="T908" s="7">
        <f>SUM(T905:T906)</f>
        <v>1188.9560000000001</v>
      </c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3.2">
      <c r="A909" s="14"/>
      <c r="B909" s="5">
        <v>0</v>
      </c>
      <c r="C909" s="5">
        <v>0</v>
      </c>
      <c r="D909" s="17">
        <v>42999</v>
      </c>
      <c r="E909" s="10">
        <v>336.2</v>
      </c>
      <c r="F909" s="12">
        <f t="shared" si="203"/>
        <v>7.3000000000000114</v>
      </c>
      <c r="G909" s="14"/>
      <c r="H909" s="14"/>
      <c r="I909" s="13">
        <v>40.799999999999997</v>
      </c>
      <c r="J909" s="16">
        <f t="shared" si="202"/>
        <v>4.1000000000000014</v>
      </c>
      <c r="K909" s="13">
        <v>24.9</v>
      </c>
      <c r="L909" s="14"/>
      <c r="M909" s="14"/>
      <c r="N909" s="14"/>
      <c r="O909" s="12">
        <f>E925-E928</f>
        <v>31.699999999999989</v>
      </c>
      <c r="P909" s="14"/>
      <c r="Q909" s="14"/>
      <c r="R909" s="14"/>
      <c r="S909" s="15">
        <f>84.2-I943</f>
        <v>54.400000000000006</v>
      </c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3.2">
      <c r="A910" s="14"/>
      <c r="B910" s="5">
        <v>0.5</v>
      </c>
      <c r="C910" s="5">
        <v>0</v>
      </c>
      <c r="D910" s="17">
        <v>42999</v>
      </c>
      <c r="E910" s="10">
        <v>367.2</v>
      </c>
      <c r="F910" s="12"/>
      <c r="G910" s="14"/>
      <c r="H910" s="14"/>
      <c r="I910" s="13">
        <v>66</v>
      </c>
      <c r="J910" s="16"/>
      <c r="K910" s="13"/>
      <c r="L910" s="14"/>
      <c r="M910" s="14"/>
      <c r="N910" s="14"/>
      <c r="O910" s="12">
        <f>E929-E932</f>
        <v>31.5</v>
      </c>
      <c r="P910" s="14"/>
      <c r="Q910" s="14"/>
      <c r="R910" s="14"/>
      <c r="S910" s="15">
        <f>84.5-I957</f>
        <v>61</v>
      </c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3.2">
      <c r="A911" s="14"/>
      <c r="B911" s="5">
        <v>0.5</v>
      </c>
      <c r="C911" s="5">
        <f t="shared" ref="C911:C964" si="204">D911-$D$7</f>
        <v>1</v>
      </c>
      <c r="D911" s="17">
        <v>43000</v>
      </c>
      <c r="E911" s="10">
        <v>362.5</v>
      </c>
      <c r="F911" s="12">
        <f>(E910-E911)/(D911-D910)</f>
        <v>4.6999999999999886</v>
      </c>
      <c r="G911" s="14"/>
      <c r="H911" s="14"/>
      <c r="I911" s="13">
        <v>61.5</v>
      </c>
      <c r="J911" s="16">
        <f t="shared" ref="J911:J916" si="205">(I910-I911)/(D911-D910)</f>
        <v>4.5</v>
      </c>
      <c r="K911" s="13">
        <v>25.8</v>
      </c>
      <c r="L911" s="14"/>
      <c r="M911" s="14"/>
      <c r="N911" s="14"/>
      <c r="O911" s="12">
        <f>E933-E936</f>
        <v>24.399999999999977</v>
      </c>
      <c r="P911" s="14"/>
      <c r="Q911" s="14"/>
      <c r="R911" s="14"/>
      <c r="S911" s="14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3.2">
      <c r="A912" s="14"/>
      <c r="B912" s="5">
        <v>0.5</v>
      </c>
      <c r="C912" s="5">
        <f t="shared" si="204"/>
        <v>4</v>
      </c>
      <c r="D912" s="9">
        <v>43003</v>
      </c>
      <c r="E912" s="10">
        <v>348.3</v>
      </c>
      <c r="F912" s="12"/>
      <c r="G912" s="14"/>
      <c r="H912" s="14"/>
      <c r="I912" s="13">
        <v>52.1</v>
      </c>
      <c r="J912" s="16">
        <f t="shared" si="205"/>
        <v>3.1333333333333329</v>
      </c>
      <c r="K912" s="13">
        <v>26.9</v>
      </c>
      <c r="L912" s="14"/>
      <c r="M912" s="14"/>
      <c r="N912" s="14"/>
      <c r="O912" s="12">
        <f>E937-E940</f>
        <v>31.5</v>
      </c>
      <c r="P912" s="14"/>
      <c r="Q912" s="14"/>
      <c r="R912" s="14"/>
      <c r="S912" s="14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3.2">
      <c r="A913" s="14"/>
      <c r="B913" s="5">
        <v>1</v>
      </c>
      <c r="C913" s="5">
        <f t="shared" si="204"/>
        <v>6</v>
      </c>
      <c r="D913" s="9">
        <v>43005</v>
      </c>
      <c r="E913" s="10">
        <v>341</v>
      </c>
      <c r="F913" s="12">
        <f t="shared" ref="F913:F916" si="206">(E912-E913)/(D913-D912)</f>
        <v>3.6500000000000057</v>
      </c>
      <c r="G913" s="14"/>
      <c r="H913" s="14"/>
      <c r="I913" s="13">
        <v>47</v>
      </c>
      <c r="J913" s="16">
        <f t="shared" si="205"/>
        <v>2.5500000000000007</v>
      </c>
      <c r="K913" s="13">
        <v>27.1</v>
      </c>
      <c r="L913" s="14"/>
      <c r="M913" s="14"/>
      <c r="N913" s="14"/>
      <c r="O913" s="12">
        <f>E941-E949</f>
        <v>91.5</v>
      </c>
      <c r="P913" s="14"/>
      <c r="Q913" s="14"/>
      <c r="R913" s="14"/>
      <c r="S913" s="14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3.2">
      <c r="A914" s="14"/>
      <c r="B914" s="5">
        <v>1</v>
      </c>
      <c r="C914" s="5">
        <f t="shared" si="204"/>
        <v>8</v>
      </c>
      <c r="D914" s="9">
        <v>43007</v>
      </c>
      <c r="E914" s="10">
        <v>330.8</v>
      </c>
      <c r="F914" s="12">
        <f t="shared" si="206"/>
        <v>5.0999999999999943</v>
      </c>
      <c r="G914" s="14"/>
      <c r="H914" s="14"/>
      <c r="I914" s="13">
        <v>41.9</v>
      </c>
      <c r="J914" s="16">
        <f t="shared" si="205"/>
        <v>2.5500000000000007</v>
      </c>
      <c r="K914" s="13">
        <v>27.6</v>
      </c>
      <c r="L914" s="14"/>
      <c r="M914" s="14"/>
      <c r="N914" s="14"/>
      <c r="O914" s="12">
        <f>E950-E953</f>
        <v>23.800000000000011</v>
      </c>
      <c r="P914" s="14"/>
      <c r="Q914" s="14"/>
      <c r="R914" s="14"/>
      <c r="S914" s="14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3.2">
      <c r="A915" s="14"/>
      <c r="B915" s="5">
        <v>1</v>
      </c>
      <c r="C915" s="5">
        <f t="shared" si="204"/>
        <v>11</v>
      </c>
      <c r="D915" s="19">
        <v>43010</v>
      </c>
      <c r="E915" s="11">
        <v>316.7</v>
      </c>
      <c r="F915" s="12">
        <f t="shared" si="206"/>
        <v>4.7000000000000073</v>
      </c>
      <c r="G915" s="14"/>
      <c r="H915" s="14"/>
      <c r="I915" s="13">
        <v>33.9</v>
      </c>
      <c r="J915" s="16">
        <f t="shared" si="205"/>
        <v>2.6666666666666665</v>
      </c>
      <c r="K915" s="13">
        <v>28.3</v>
      </c>
      <c r="L915" s="14"/>
      <c r="M915" s="14"/>
      <c r="N915" s="14"/>
      <c r="O915" s="12">
        <f>E955-E957</f>
        <v>18.600000000000023</v>
      </c>
      <c r="P915" s="14"/>
      <c r="Q915" s="14"/>
      <c r="R915" s="14"/>
      <c r="S915" s="14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3.2">
      <c r="A916" s="14"/>
      <c r="B916" s="5">
        <v>1</v>
      </c>
      <c r="C916" s="5">
        <f t="shared" si="204"/>
        <v>13</v>
      </c>
      <c r="D916" s="19">
        <v>43012</v>
      </c>
      <c r="E916" s="11">
        <v>300.60000000000002</v>
      </c>
      <c r="F916" s="12">
        <f t="shared" si="206"/>
        <v>8.0499999999999829</v>
      </c>
      <c r="G916" s="14"/>
      <c r="H916" s="14"/>
      <c r="I916" s="13">
        <v>28.4</v>
      </c>
      <c r="J916" s="16">
        <f t="shared" si="205"/>
        <v>2.75</v>
      </c>
      <c r="K916" s="13">
        <v>29.2</v>
      </c>
      <c r="L916" s="14"/>
      <c r="M916" s="14"/>
      <c r="N916" s="14"/>
      <c r="O916" s="14"/>
      <c r="P916" s="14"/>
      <c r="Q916" s="14"/>
      <c r="R916" s="14"/>
      <c r="S916" s="14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3.2">
      <c r="A917" s="14"/>
      <c r="B917" s="5">
        <v>2</v>
      </c>
      <c r="C917" s="5">
        <f t="shared" si="204"/>
        <v>14</v>
      </c>
      <c r="D917" s="20">
        <v>43013</v>
      </c>
      <c r="E917" s="11">
        <v>369.8</v>
      </c>
      <c r="F917" s="11"/>
      <c r="G917" s="14"/>
      <c r="H917" s="14"/>
      <c r="I917" s="13" t="s">
        <v>24</v>
      </c>
      <c r="J917" s="14"/>
      <c r="K917" s="47"/>
      <c r="L917" s="14"/>
      <c r="M917" s="14"/>
      <c r="N917" s="14"/>
      <c r="O917" s="14"/>
      <c r="P917" s="14"/>
      <c r="Q917" s="14"/>
      <c r="R917" s="14"/>
      <c r="S917" s="14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3.2">
      <c r="A918" s="14"/>
      <c r="B918" s="5">
        <v>2</v>
      </c>
      <c r="C918" s="5">
        <f t="shared" si="204"/>
        <v>15</v>
      </c>
      <c r="D918" s="20">
        <v>43014</v>
      </c>
      <c r="E918" s="11">
        <v>365.5</v>
      </c>
      <c r="F918" s="12">
        <f t="shared" ref="F918:F920" si="207">(E917-E918)/(D918-D917)</f>
        <v>4.3000000000000114</v>
      </c>
      <c r="G918" s="14"/>
      <c r="H918" s="14"/>
      <c r="I918" s="13">
        <v>61.1</v>
      </c>
      <c r="J918" s="14">
        <f>(66.8-I918)/(D918-D916)</f>
        <v>2.8499999999999979</v>
      </c>
      <c r="K918" s="13">
        <v>29.8</v>
      </c>
      <c r="L918" s="14"/>
      <c r="M918" s="14"/>
      <c r="N918" s="14"/>
      <c r="O918" s="14"/>
      <c r="P918" s="14"/>
      <c r="Q918" s="14"/>
      <c r="R918" s="14"/>
      <c r="S918" s="14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3.2">
      <c r="A919" s="14"/>
      <c r="B919" s="5">
        <v>2</v>
      </c>
      <c r="C919" s="5">
        <f t="shared" si="204"/>
        <v>18</v>
      </c>
      <c r="D919" s="20">
        <v>43017</v>
      </c>
      <c r="E919" s="11">
        <v>354.2</v>
      </c>
      <c r="F919" s="12">
        <f t="shared" si="207"/>
        <v>3.7666666666666706</v>
      </c>
      <c r="G919" s="14"/>
      <c r="H919" s="14"/>
      <c r="I919" s="13">
        <v>53.1</v>
      </c>
      <c r="J919" s="16">
        <f t="shared" ref="J919:J920" si="208">(I918-I919)/(D919-D918)</f>
        <v>2.6666666666666665</v>
      </c>
      <c r="K919" s="13">
        <v>30.5</v>
      </c>
      <c r="L919" s="14"/>
      <c r="M919" s="14"/>
      <c r="N919" s="14"/>
      <c r="O919" s="14"/>
      <c r="P919" s="14"/>
      <c r="Q919" s="14"/>
      <c r="R919" s="14"/>
      <c r="S919" s="14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3.2">
      <c r="A920" s="14"/>
      <c r="B920" s="5">
        <v>2</v>
      </c>
      <c r="C920" s="5">
        <f t="shared" si="204"/>
        <v>20</v>
      </c>
      <c r="D920" s="20">
        <v>43019</v>
      </c>
      <c r="E920" s="11">
        <v>341.5</v>
      </c>
      <c r="F920" s="12">
        <f t="shared" si="207"/>
        <v>6.3499999999999943</v>
      </c>
      <c r="G920" s="14"/>
      <c r="H920" s="14"/>
      <c r="I920" s="13">
        <v>47.7</v>
      </c>
      <c r="J920" s="16">
        <f t="shared" si="208"/>
        <v>2.6999999999999993</v>
      </c>
      <c r="K920" s="13">
        <v>31.1</v>
      </c>
      <c r="L920" s="14"/>
      <c r="M920" s="14"/>
      <c r="N920" s="14"/>
      <c r="O920" s="14"/>
      <c r="P920" s="14"/>
      <c r="Q920" s="14"/>
      <c r="R920" s="14"/>
      <c r="S920" s="14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3.2">
      <c r="A921" s="14"/>
      <c r="B921" s="5">
        <v>3</v>
      </c>
      <c r="C921" s="5">
        <f t="shared" si="204"/>
        <v>21</v>
      </c>
      <c r="D921" s="20">
        <v>43020</v>
      </c>
      <c r="E921" s="11">
        <v>402.7</v>
      </c>
      <c r="F921" s="12"/>
      <c r="G921" s="14"/>
      <c r="H921" s="14"/>
      <c r="I921" s="15"/>
      <c r="J921" s="14"/>
      <c r="K921" s="47"/>
      <c r="L921" s="14"/>
      <c r="M921" s="14"/>
      <c r="N921" s="14"/>
      <c r="O921" s="14"/>
      <c r="P921" s="14"/>
      <c r="Q921" s="14"/>
      <c r="R921" s="14"/>
      <c r="S921" s="14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3.2">
      <c r="A922" s="14"/>
      <c r="B922" s="5">
        <v>3</v>
      </c>
      <c r="C922" s="5">
        <f t="shared" si="204"/>
        <v>22</v>
      </c>
      <c r="D922" s="20">
        <f>D920+2</f>
        <v>43021</v>
      </c>
      <c r="E922" s="11">
        <v>396.7</v>
      </c>
      <c r="F922" s="12">
        <f t="shared" ref="F922:F924" si="209">(E921-E922)/(D922-D921)</f>
        <v>6</v>
      </c>
      <c r="G922" s="14"/>
      <c r="H922" s="14"/>
      <c r="I922" s="13">
        <v>42.1</v>
      </c>
      <c r="J922" s="14">
        <f>(I920-I922)/(D922-D920)</f>
        <v>2.8000000000000007</v>
      </c>
      <c r="K922" s="13">
        <v>31.7</v>
      </c>
      <c r="L922" s="14"/>
      <c r="M922" s="14"/>
      <c r="N922" s="14"/>
      <c r="O922" s="14"/>
      <c r="P922" s="14"/>
      <c r="Q922" s="14"/>
      <c r="R922" s="14"/>
      <c r="S922" s="14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3.2">
      <c r="A923" s="14"/>
      <c r="B923" s="5">
        <v>3</v>
      </c>
      <c r="C923" s="5">
        <f t="shared" si="204"/>
        <v>25</v>
      </c>
      <c r="D923" s="20">
        <f>D922+3</f>
        <v>43024</v>
      </c>
      <c r="E923" s="11">
        <v>383</v>
      </c>
      <c r="F923" s="12">
        <f t="shared" si="209"/>
        <v>4.5666666666666629</v>
      </c>
      <c r="G923" s="14"/>
      <c r="H923" s="14"/>
      <c r="I923" s="13">
        <v>33.299999999999997</v>
      </c>
      <c r="J923" s="16">
        <f>(I922-I923)/(D923-D922)</f>
        <v>2.9333333333333349</v>
      </c>
      <c r="K923" s="13">
        <v>33.1</v>
      </c>
      <c r="L923" s="14"/>
      <c r="M923" s="14"/>
      <c r="N923" s="14"/>
      <c r="O923" s="14"/>
      <c r="P923" s="14"/>
      <c r="Q923" s="14"/>
      <c r="R923" s="14"/>
      <c r="S923" s="14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3.2">
      <c r="A924" s="14"/>
      <c r="B924" s="5">
        <v>3</v>
      </c>
      <c r="C924" s="5">
        <f t="shared" si="204"/>
        <v>27</v>
      </c>
      <c r="D924" s="20">
        <f>D923+2</f>
        <v>43026</v>
      </c>
      <c r="E924" s="11">
        <v>373.6</v>
      </c>
      <c r="F924" s="12">
        <f t="shared" si="209"/>
        <v>4.6999999999999886</v>
      </c>
      <c r="G924" s="14"/>
      <c r="H924" s="14"/>
      <c r="I924" s="13">
        <v>66.099999999999994</v>
      </c>
      <c r="J924" s="14">
        <f>(73-I924)/(D924-D923)</f>
        <v>3.4500000000000028</v>
      </c>
      <c r="K924" s="13">
        <v>34.200000000000003</v>
      </c>
      <c r="L924" s="14"/>
      <c r="M924" s="14"/>
      <c r="N924" s="14"/>
      <c r="O924" s="14"/>
      <c r="P924" s="14"/>
      <c r="Q924" s="14"/>
      <c r="R924" s="14"/>
      <c r="S924" s="14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3.2">
      <c r="A925" s="14"/>
      <c r="B925" s="5">
        <v>4</v>
      </c>
      <c r="C925" s="5">
        <f t="shared" si="204"/>
        <v>28</v>
      </c>
      <c r="D925" s="20">
        <v>43027</v>
      </c>
      <c r="E925" s="11">
        <v>396.3</v>
      </c>
      <c r="F925" s="12"/>
      <c r="G925" s="14"/>
      <c r="H925" s="14"/>
      <c r="I925" s="15"/>
      <c r="J925" s="14"/>
      <c r="K925" s="15"/>
      <c r="L925" s="14"/>
      <c r="M925" s="14"/>
      <c r="N925" s="14"/>
      <c r="O925" s="14"/>
      <c r="P925" s="14"/>
      <c r="Q925" s="14"/>
      <c r="R925" s="14"/>
      <c r="S925" s="14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3.2">
      <c r="A926" s="14"/>
      <c r="B926" s="5">
        <v>4</v>
      </c>
      <c r="C926" s="5">
        <f t="shared" si="204"/>
        <v>29</v>
      </c>
      <c r="D926" s="20">
        <f>D924+2</f>
        <v>43028</v>
      </c>
      <c r="E926" s="11">
        <v>387.9</v>
      </c>
      <c r="F926" s="12">
        <f t="shared" ref="F926:F928" si="210">(E925-E926)/(D926-D925)</f>
        <v>8.4000000000000341</v>
      </c>
      <c r="G926" s="14"/>
      <c r="H926" s="14"/>
      <c r="I926" s="13">
        <v>59.2</v>
      </c>
      <c r="J926" s="15">
        <f>(I924-I926)/(D926-D925)</f>
        <v>6.8999999999999915</v>
      </c>
      <c r="K926" s="13">
        <v>35.200000000000003</v>
      </c>
      <c r="L926" s="14"/>
      <c r="M926" s="14"/>
      <c r="N926" s="14"/>
      <c r="O926" s="14"/>
      <c r="P926" s="14"/>
      <c r="Q926" s="14"/>
      <c r="R926" s="14"/>
      <c r="S926" s="14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3.2">
      <c r="A927" s="14"/>
      <c r="B927" s="5">
        <v>4</v>
      </c>
      <c r="C927" s="5">
        <f t="shared" si="204"/>
        <v>32</v>
      </c>
      <c r="D927" s="20">
        <v>43031</v>
      </c>
      <c r="E927" s="11">
        <v>376.3</v>
      </c>
      <c r="F927" s="12">
        <f t="shared" si="210"/>
        <v>3.8666666666666551</v>
      </c>
      <c r="G927" s="14"/>
      <c r="H927" s="14"/>
      <c r="I927" s="13">
        <v>50.9</v>
      </c>
      <c r="J927" s="15">
        <f t="shared" ref="J927:J928" si="211">(I926-I927)/(D927-D926)</f>
        <v>2.7666666666666679</v>
      </c>
      <c r="K927" s="13">
        <v>36.200000000000003</v>
      </c>
      <c r="L927" s="14"/>
      <c r="M927" s="14"/>
      <c r="N927" s="14"/>
      <c r="O927" s="14"/>
      <c r="P927" s="14"/>
      <c r="Q927" s="14"/>
      <c r="R927" s="14"/>
      <c r="S927" s="14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3.2">
      <c r="A928" s="14"/>
      <c r="B928" s="5">
        <v>4</v>
      </c>
      <c r="C928" s="5">
        <f t="shared" si="204"/>
        <v>34</v>
      </c>
      <c r="D928" s="20">
        <v>43033</v>
      </c>
      <c r="E928" s="11">
        <v>364.6</v>
      </c>
      <c r="F928" s="12">
        <f t="shared" si="210"/>
        <v>5.8499999999999943</v>
      </c>
      <c r="G928" s="14"/>
      <c r="H928" s="14"/>
      <c r="I928" s="13">
        <v>44.7</v>
      </c>
      <c r="J928" s="15">
        <f t="shared" si="211"/>
        <v>3.0999999999999979</v>
      </c>
      <c r="K928" s="13">
        <v>37</v>
      </c>
      <c r="L928" s="14"/>
      <c r="M928" s="14"/>
      <c r="N928" s="14"/>
      <c r="O928" s="14"/>
      <c r="P928" s="14"/>
      <c r="Q928" s="14"/>
      <c r="R928" s="14"/>
      <c r="S928" s="14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3.2">
      <c r="A929" s="14"/>
      <c r="B929" s="5">
        <v>5</v>
      </c>
      <c r="C929" s="5">
        <f t="shared" si="204"/>
        <v>35</v>
      </c>
      <c r="D929" s="20">
        <v>43034</v>
      </c>
      <c r="E929" s="11">
        <v>366.6</v>
      </c>
      <c r="F929" s="12"/>
      <c r="G929" s="14"/>
      <c r="H929" s="14"/>
      <c r="I929" s="15"/>
      <c r="J929" s="15"/>
      <c r="K929" s="15"/>
      <c r="L929" s="14"/>
      <c r="M929" s="14"/>
      <c r="N929" s="14"/>
      <c r="O929" s="14"/>
      <c r="P929" s="14"/>
      <c r="Q929" s="14"/>
      <c r="R929" s="14"/>
      <c r="S929" s="14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3.2">
      <c r="A930" s="14"/>
      <c r="B930" s="5">
        <v>5</v>
      </c>
      <c r="C930" s="5">
        <f t="shared" si="204"/>
        <v>36</v>
      </c>
      <c r="D930" s="20">
        <v>43035</v>
      </c>
      <c r="E930" s="11">
        <v>361.9</v>
      </c>
      <c r="F930" s="12">
        <f t="shared" ref="F930:F932" si="212">(E929-E930)/(D930-D929)</f>
        <v>4.7000000000000455</v>
      </c>
      <c r="G930" s="14"/>
      <c r="H930" s="14"/>
      <c r="I930" s="13">
        <v>39.6</v>
      </c>
      <c r="J930" s="15">
        <f>(I928-I930)/(D930-D928)</f>
        <v>2.5500000000000007</v>
      </c>
      <c r="K930" s="13">
        <v>37.700000000000003</v>
      </c>
      <c r="L930" s="14"/>
      <c r="M930" s="14"/>
      <c r="N930" s="14"/>
      <c r="O930" s="14"/>
      <c r="P930" s="14"/>
      <c r="Q930" s="14"/>
      <c r="R930" s="14"/>
      <c r="S930" s="14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3.2">
      <c r="A931" s="14"/>
      <c r="B931" s="5">
        <v>5</v>
      </c>
      <c r="C931" s="5">
        <f t="shared" si="204"/>
        <v>39</v>
      </c>
      <c r="D931" s="20">
        <v>43038</v>
      </c>
      <c r="E931" s="11">
        <v>344.8</v>
      </c>
      <c r="F931" s="12">
        <f t="shared" si="212"/>
        <v>5.6999999999999886</v>
      </c>
      <c r="G931" s="14"/>
      <c r="H931" s="14"/>
      <c r="I931" s="13">
        <v>31.8</v>
      </c>
      <c r="J931" s="15">
        <f>(I930-I931)/(D931-D930)</f>
        <v>2.6</v>
      </c>
      <c r="K931" s="13">
        <v>38.200000000000003</v>
      </c>
      <c r="L931" s="14"/>
      <c r="M931" s="14"/>
      <c r="N931" s="14"/>
      <c r="O931" s="14"/>
      <c r="P931" s="14"/>
      <c r="Q931" s="14"/>
      <c r="R931" s="14"/>
      <c r="S931" s="14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3.2">
      <c r="A932" s="14"/>
      <c r="B932" s="5">
        <v>5</v>
      </c>
      <c r="C932" s="5">
        <f t="shared" si="204"/>
        <v>41</v>
      </c>
      <c r="D932" s="20">
        <v>43040</v>
      </c>
      <c r="E932" s="11">
        <v>335.1</v>
      </c>
      <c r="F932" s="12">
        <f t="shared" si="212"/>
        <v>4.8499999999999943</v>
      </c>
      <c r="G932" s="14"/>
      <c r="H932" s="14"/>
      <c r="I932" s="13">
        <v>77.400000000000006</v>
      </c>
      <c r="J932" s="15">
        <f>(84.2-I932)/(D932-D931)</f>
        <v>3.3999999999999986</v>
      </c>
      <c r="K932" s="13">
        <v>39.799999999999997</v>
      </c>
      <c r="L932" s="14"/>
      <c r="M932" s="14"/>
      <c r="N932" s="14"/>
      <c r="O932" s="14"/>
      <c r="P932" s="14"/>
      <c r="Q932" s="14"/>
      <c r="R932" s="14"/>
      <c r="S932" s="14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3.2">
      <c r="A933" s="14"/>
      <c r="B933" s="5">
        <v>6</v>
      </c>
      <c r="C933" s="5">
        <f t="shared" si="204"/>
        <v>42</v>
      </c>
      <c r="D933" s="20">
        <v>43041</v>
      </c>
      <c r="E933" s="11">
        <v>402</v>
      </c>
      <c r="F933" s="12"/>
      <c r="G933" s="14"/>
      <c r="H933" s="14"/>
      <c r="I933" s="15"/>
      <c r="J933" s="14"/>
      <c r="K933" s="15"/>
      <c r="L933" s="14"/>
      <c r="M933" s="14"/>
      <c r="N933" s="14"/>
      <c r="O933" s="14"/>
      <c r="P933" s="14"/>
      <c r="Q933" s="14"/>
      <c r="R933" s="14"/>
      <c r="S933" s="14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3.2">
      <c r="A934" s="14"/>
      <c r="B934" s="5">
        <v>6</v>
      </c>
      <c r="C934" s="5">
        <f t="shared" si="204"/>
        <v>43</v>
      </c>
      <c r="D934" s="20">
        <v>43042</v>
      </c>
      <c r="E934" s="11">
        <v>398</v>
      </c>
      <c r="F934" s="12">
        <f t="shared" ref="F934:F936" si="213">(E933-E934)/(D934-D933)</f>
        <v>4</v>
      </c>
      <c r="G934" s="14"/>
      <c r="H934" s="14"/>
      <c r="I934" s="13">
        <v>72.7</v>
      </c>
      <c r="J934" s="15">
        <f>(I932-I934)/(D934-D932)</f>
        <v>2.3500000000000014</v>
      </c>
      <c r="K934" s="13">
        <v>39.200000000000003</v>
      </c>
      <c r="L934" s="14"/>
      <c r="M934" s="14"/>
      <c r="N934" s="14"/>
      <c r="O934" s="14"/>
      <c r="P934" s="14"/>
      <c r="Q934" s="14"/>
      <c r="R934" s="14"/>
      <c r="S934" s="14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3.2">
      <c r="A935" s="14"/>
      <c r="B935" s="5">
        <v>6</v>
      </c>
      <c r="C935" s="5">
        <f t="shared" si="204"/>
        <v>46</v>
      </c>
      <c r="D935" s="20">
        <v>43045</v>
      </c>
      <c r="E935" s="11">
        <v>385.3</v>
      </c>
      <c r="F935" s="12">
        <f t="shared" si="213"/>
        <v>4.2333333333333298</v>
      </c>
      <c r="G935" s="14"/>
      <c r="H935" s="14"/>
      <c r="I935" s="13">
        <v>64.900000000000006</v>
      </c>
      <c r="J935" s="15">
        <f t="shared" ref="J935:J936" si="214">(I934-I935)/(D935-D934)</f>
        <v>2.5999999999999992</v>
      </c>
      <c r="K935" s="13">
        <v>40.4</v>
      </c>
      <c r="L935" s="14"/>
      <c r="M935" s="14"/>
      <c r="N935" s="14"/>
      <c r="O935" s="14"/>
      <c r="P935" s="14"/>
      <c r="Q935" s="14"/>
      <c r="R935" s="14"/>
      <c r="S935" s="14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3.2">
      <c r="A936" s="14"/>
      <c r="B936" s="5">
        <v>6</v>
      </c>
      <c r="C936" s="5">
        <f t="shared" si="204"/>
        <v>48</v>
      </c>
      <c r="D936" s="20">
        <v>43047</v>
      </c>
      <c r="E936" s="11">
        <v>377.6</v>
      </c>
      <c r="F936" s="12">
        <f t="shared" si="213"/>
        <v>3.8499999999999943</v>
      </c>
      <c r="G936" s="14"/>
      <c r="H936" s="14"/>
      <c r="I936" s="13">
        <v>59.5</v>
      </c>
      <c r="J936" s="15">
        <f t="shared" si="214"/>
        <v>2.7000000000000028</v>
      </c>
      <c r="K936" s="13">
        <v>40.799999999999997</v>
      </c>
      <c r="L936" s="14"/>
      <c r="M936" s="14"/>
      <c r="N936" s="14"/>
      <c r="O936" s="14"/>
      <c r="P936" s="14"/>
      <c r="Q936" s="14"/>
      <c r="R936" s="14"/>
      <c r="S936" s="14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3.2">
      <c r="A937" s="14"/>
      <c r="B937" s="5">
        <v>7</v>
      </c>
      <c r="C937" s="5">
        <f t="shared" si="204"/>
        <v>49</v>
      </c>
      <c r="D937" s="20">
        <v>43048</v>
      </c>
      <c r="E937" s="11">
        <v>386.6</v>
      </c>
      <c r="F937" s="12"/>
      <c r="G937" s="14"/>
      <c r="H937" s="14"/>
      <c r="I937" s="15"/>
      <c r="J937" s="14"/>
      <c r="K937" s="15"/>
      <c r="L937" s="14"/>
      <c r="M937" s="14"/>
      <c r="N937" s="14"/>
      <c r="O937" s="14"/>
      <c r="P937" s="14"/>
      <c r="Q937" s="14"/>
      <c r="R937" s="14"/>
      <c r="S937" s="14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3.2">
      <c r="A938" s="14"/>
      <c r="B938" s="5">
        <v>7</v>
      </c>
      <c r="C938" s="5">
        <f t="shared" si="204"/>
        <v>50</v>
      </c>
      <c r="D938" s="20">
        <v>43049</v>
      </c>
      <c r="E938" s="11">
        <v>380</v>
      </c>
      <c r="F938" s="12">
        <f t="shared" ref="F938:F940" si="215">(E937-E938)/(D938-D937)</f>
        <v>6.6000000000000227</v>
      </c>
      <c r="G938" s="14"/>
      <c r="H938" s="14"/>
      <c r="I938" s="13">
        <v>53.6</v>
      </c>
      <c r="J938" s="15">
        <f>(I936-I938)/(D938-D936)</f>
        <v>2.9499999999999993</v>
      </c>
      <c r="K938" s="13">
        <v>41.6</v>
      </c>
      <c r="L938" s="14"/>
      <c r="M938" s="14"/>
      <c r="N938" s="14"/>
      <c r="O938" s="14"/>
      <c r="P938" s="14"/>
      <c r="Q938" s="14"/>
      <c r="R938" s="14"/>
      <c r="S938" s="14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3.2">
      <c r="A939" s="14"/>
      <c r="B939" s="5">
        <v>7</v>
      </c>
      <c r="C939" s="5">
        <f t="shared" si="204"/>
        <v>53</v>
      </c>
      <c r="D939" s="20">
        <v>43052</v>
      </c>
      <c r="E939" s="11">
        <v>368.8</v>
      </c>
      <c r="F939" s="12">
        <f t="shared" si="215"/>
        <v>3.7333333333333294</v>
      </c>
      <c r="G939" s="14"/>
      <c r="H939" s="14"/>
      <c r="I939" s="13">
        <v>45.6</v>
      </c>
      <c r="J939" s="15">
        <f t="shared" ref="J939:J940" si="216">(I938-I939)/(D939-D938)</f>
        <v>2.6666666666666665</v>
      </c>
      <c r="K939" s="13">
        <v>42</v>
      </c>
      <c r="L939" s="14"/>
      <c r="M939" s="14"/>
      <c r="N939" s="14"/>
      <c r="O939" s="14"/>
      <c r="P939" s="14"/>
      <c r="Q939" s="14"/>
      <c r="R939" s="14"/>
      <c r="S939" s="14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3.2">
      <c r="A940" s="14"/>
      <c r="B940" s="5">
        <v>7</v>
      </c>
      <c r="C940" s="5">
        <f t="shared" si="204"/>
        <v>55</v>
      </c>
      <c r="D940" s="20">
        <v>43054</v>
      </c>
      <c r="E940" s="11">
        <v>355.1</v>
      </c>
      <c r="F940" s="12">
        <f t="shared" si="215"/>
        <v>6.8499999999999943</v>
      </c>
      <c r="G940" s="14"/>
      <c r="H940" s="14"/>
      <c r="I940" s="13">
        <v>41.2</v>
      </c>
      <c r="J940" s="15">
        <f t="shared" si="216"/>
        <v>2.1999999999999993</v>
      </c>
      <c r="K940" s="13">
        <v>42.3</v>
      </c>
      <c r="L940" s="14"/>
      <c r="M940" s="14"/>
      <c r="N940" s="14"/>
      <c r="O940" s="14"/>
      <c r="P940" s="14"/>
      <c r="Q940" s="14"/>
      <c r="R940" s="14"/>
      <c r="S940" s="14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3.2">
      <c r="A941" s="14"/>
      <c r="B941" s="5">
        <v>8</v>
      </c>
      <c r="C941" s="5">
        <f t="shared" si="204"/>
        <v>56</v>
      </c>
      <c r="D941" s="20">
        <v>43055</v>
      </c>
      <c r="E941" s="11">
        <v>404.3</v>
      </c>
      <c r="F941" s="12"/>
      <c r="G941" s="14"/>
      <c r="H941" s="14"/>
      <c r="I941" s="15"/>
      <c r="J941" s="14"/>
      <c r="K941" s="15"/>
      <c r="L941" s="14"/>
      <c r="M941" s="14"/>
      <c r="N941" s="14"/>
      <c r="O941" s="14"/>
      <c r="P941" s="14"/>
      <c r="Q941" s="14"/>
      <c r="R941" s="14"/>
      <c r="S941" s="14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3.2">
      <c r="A942" s="14"/>
      <c r="B942" s="5">
        <v>8</v>
      </c>
      <c r="C942" s="5">
        <f t="shared" si="204"/>
        <v>57</v>
      </c>
      <c r="D942" s="20">
        <v>43056</v>
      </c>
      <c r="E942" s="11">
        <v>397.8</v>
      </c>
      <c r="F942" s="12">
        <f t="shared" ref="F942:F943" si="217">(E941-E942)/(D942-D941)</f>
        <v>6.5</v>
      </c>
      <c r="G942" s="14"/>
      <c r="H942" s="14"/>
      <c r="I942" s="13">
        <v>36.6</v>
      </c>
      <c r="J942" s="15">
        <f>(I940-I942)/(D942-D940)</f>
        <v>2.3000000000000007</v>
      </c>
      <c r="K942" s="13">
        <v>42.2</v>
      </c>
      <c r="L942" s="14"/>
      <c r="M942" s="14"/>
      <c r="N942" s="14"/>
      <c r="O942" s="14"/>
      <c r="P942" s="14"/>
      <c r="Q942" s="14"/>
      <c r="R942" s="14"/>
      <c r="S942" s="14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3.2">
      <c r="A943" s="14"/>
      <c r="B943" s="5">
        <v>8</v>
      </c>
      <c r="C943" s="5">
        <f t="shared" si="204"/>
        <v>60</v>
      </c>
      <c r="D943" s="20">
        <v>43059</v>
      </c>
      <c r="E943" s="11">
        <v>388.4</v>
      </c>
      <c r="F943" s="12">
        <f t="shared" si="217"/>
        <v>3.1333333333333449</v>
      </c>
      <c r="G943" s="14"/>
      <c r="H943" s="14"/>
      <c r="I943" s="13">
        <v>29.8</v>
      </c>
      <c r="J943" s="15">
        <f>(I942-I943)/(D943-D942)</f>
        <v>2.2666666666666671</v>
      </c>
      <c r="K943" s="13">
        <v>42.4</v>
      </c>
      <c r="L943" s="14"/>
      <c r="M943" s="14"/>
      <c r="N943" s="14"/>
      <c r="O943" s="14"/>
      <c r="P943" s="14"/>
      <c r="Q943" s="14"/>
      <c r="R943" s="14"/>
      <c r="S943" s="14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3.2">
      <c r="A944" s="14"/>
      <c r="B944" s="5">
        <v>8</v>
      </c>
      <c r="C944" s="5">
        <f t="shared" si="204"/>
        <v>61</v>
      </c>
      <c r="D944" s="20">
        <v>43060</v>
      </c>
      <c r="E944" s="11">
        <v>347.2</v>
      </c>
      <c r="F944" s="12"/>
      <c r="G944" s="14"/>
      <c r="H944" s="14"/>
      <c r="I944" s="15"/>
      <c r="J944" s="14"/>
      <c r="K944" s="15"/>
      <c r="L944" s="14"/>
      <c r="M944" s="14"/>
      <c r="N944" s="14"/>
      <c r="O944" s="14"/>
      <c r="P944" s="14"/>
      <c r="Q944" s="14"/>
      <c r="R944" s="14"/>
      <c r="S944" s="14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3.2">
      <c r="A945" s="14"/>
      <c r="B945" s="5">
        <v>8</v>
      </c>
      <c r="C945" s="5">
        <f t="shared" si="204"/>
        <v>62</v>
      </c>
      <c r="D945" s="20">
        <v>43061</v>
      </c>
      <c r="E945" s="11">
        <v>341.4</v>
      </c>
      <c r="F945" s="12">
        <f>(E944-E945)/(D945-D944)</f>
        <v>5.8000000000000114</v>
      </c>
      <c r="G945" s="14"/>
      <c r="H945" s="14"/>
      <c r="I945" s="13">
        <v>76.3</v>
      </c>
      <c r="J945" s="14">
        <f>(84.5-I945)/(D945-D944)</f>
        <v>8.2000000000000028</v>
      </c>
      <c r="K945" s="13">
        <v>43.8</v>
      </c>
      <c r="L945" s="14"/>
      <c r="M945" s="14"/>
      <c r="N945" s="14"/>
      <c r="O945" s="14"/>
      <c r="P945" s="14"/>
      <c r="Q945" s="14"/>
      <c r="R945" s="14"/>
      <c r="S945" s="14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3.2">
      <c r="A946" s="14"/>
      <c r="B946" s="5">
        <v>9</v>
      </c>
      <c r="C946" s="5">
        <f t="shared" si="204"/>
        <v>63</v>
      </c>
      <c r="D946" s="20">
        <v>43062</v>
      </c>
      <c r="E946" s="11"/>
      <c r="F946" s="12"/>
      <c r="G946" s="14"/>
      <c r="H946" s="14"/>
      <c r="I946" s="13"/>
      <c r="J946" s="15"/>
      <c r="K946" s="13"/>
      <c r="L946" s="14"/>
      <c r="M946" s="14"/>
      <c r="N946" s="14"/>
      <c r="O946" s="14"/>
      <c r="P946" s="14"/>
      <c r="Q946" s="14"/>
      <c r="R946" s="14"/>
      <c r="S946" s="14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3.2">
      <c r="A947" s="14"/>
      <c r="B947" s="5">
        <v>9</v>
      </c>
      <c r="C947" s="5">
        <f t="shared" si="204"/>
        <v>64</v>
      </c>
      <c r="D947" s="20">
        <v>43063</v>
      </c>
      <c r="E947" s="11">
        <v>332.4</v>
      </c>
      <c r="F947" s="12">
        <f>(E945-E947)/(D947-D945)</f>
        <v>4.5</v>
      </c>
      <c r="G947" s="14"/>
      <c r="H947" s="14"/>
      <c r="I947" s="13">
        <v>70.400000000000006</v>
      </c>
      <c r="J947" s="15">
        <f>(I945-I947)/(D947-D945)</f>
        <v>2.9499999999999957</v>
      </c>
      <c r="K947" s="13">
        <v>44.8</v>
      </c>
      <c r="L947" s="14"/>
      <c r="M947" s="14"/>
      <c r="N947" s="14"/>
      <c r="O947" s="14"/>
      <c r="P947" s="14"/>
      <c r="Q947" s="14"/>
      <c r="R947" s="14"/>
      <c r="S947" s="14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3.2">
      <c r="A948" s="14"/>
      <c r="B948" s="5">
        <v>9</v>
      </c>
      <c r="C948" s="5">
        <f t="shared" si="204"/>
        <v>67</v>
      </c>
      <c r="D948" s="23">
        <v>43066</v>
      </c>
      <c r="E948" s="11">
        <v>321</v>
      </c>
      <c r="F948" s="12">
        <f t="shared" ref="F948:F949" si="218">(E947-E948)/(D948-D947)</f>
        <v>3.7999999999999923</v>
      </c>
      <c r="G948" s="14"/>
      <c r="H948" s="14"/>
      <c r="I948" s="13">
        <v>61.7</v>
      </c>
      <c r="J948" s="15">
        <f t="shared" ref="J948:J949" si="219">(I947-I948)/(D948-D947)</f>
        <v>2.9000000000000008</v>
      </c>
      <c r="K948" s="13">
        <v>45.6</v>
      </c>
      <c r="L948" s="14"/>
      <c r="M948" s="14"/>
      <c r="N948" s="14"/>
      <c r="O948" s="14"/>
      <c r="P948" s="14"/>
      <c r="Q948" s="14"/>
      <c r="R948" s="14"/>
      <c r="S948" s="14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3.2">
      <c r="A949" s="14"/>
      <c r="B949" s="5">
        <v>9</v>
      </c>
      <c r="C949" s="5">
        <f t="shared" si="204"/>
        <v>69</v>
      </c>
      <c r="D949" s="23">
        <v>43068</v>
      </c>
      <c r="E949" s="11">
        <v>312.8</v>
      </c>
      <c r="F949" s="12">
        <f t="shared" si="218"/>
        <v>4.0999999999999943</v>
      </c>
      <c r="G949" s="14"/>
      <c r="H949" s="14"/>
      <c r="I949" s="13">
        <v>56.6</v>
      </c>
      <c r="J949" s="15">
        <f t="shared" si="219"/>
        <v>2.5500000000000007</v>
      </c>
      <c r="K949" s="13">
        <v>45.8</v>
      </c>
      <c r="L949" s="14"/>
      <c r="M949" s="14"/>
      <c r="N949" s="14"/>
      <c r="O949" s="14"/>
      <c r="P949" s="14"/>
      <c r="Q949" s="14"/>
      <c r="R949" s="14"/>
      <c r="S949" s="14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3.2">
      <c r="A950" s="14"/>
      <c r="B950" s="5">
        <v>10</v>
      </c>
      <c r="C950" s="5">
        <f t="shared" si="204"/>
        <v>70</v>
      </c>
      <c r="D950" s="23">
        <v>43069</v>
      </c>
      <c r="E950" s="11">
        <v>394</v>
      </c>
      <c r="F950" s="12"/>
      <c r="G950" s="14"/>
      <c r="H950" s="14"/>
      <c r="I950" s="15"/>
      <c r="J950" s="14"/>
      <c r="K950" s="15"/>
      <c r="L950" s="14"/>
      <c r="M950" s="14"/>
      <c r="N950" s="14"/>
      <c r="O950" s="14"/>
      <c r="P950" s="14"/>
      <c r="Q950" s="14"/>
      <c r="R950" s="14"/>
      <c r="S950" s="14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3.2">
      <c r="A951" s="14"/>
      <c r="B951" s="5">
        <v>10</v>
      </c>
      <c r="C951" s="5">
        <f t="shared" si="204"/>
        <v>71</v>
      </c>
      <c r="D951" s="23">
        <v>43070</v>
      </c>
      <c r="E951" s="11">
        <v>385.6</v>
      </c>
      <c r="F951" s="12">
        <f t="shared" ref="F951:F953" si="220">(E950-E951)/(D951-D950)</f>
        <v>8.3999999999999773</v>
      </c>
      <c r="G951" s="14"/>
      <c r="H951" s="14"/>
      <c r="I951" s="13">
        <v>51</v>
      </c>
      <c r="J951" s="15">
        <f>(I949-I951)/(D951-D949)</f>
        <v>2.8000000000000007</v>
      </c>
      <c r="K951" s="13">
        <v>46.3</v>
      </c>
      <c r="L951" s="14"/>
      <c r="M951" s="14"/>
      <c r="N951" s="14"/>
      <c r="O951" s="14"/>
      <c r="P951" s="14"/>
      <c r="Q951" s="14"/>
      <c r="R951" s="14"/>
      <c r="S951" s="14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3.2">
      <c r="A952" s="14"/>
      <c r="B952" s="5">
        <v>10</v>
      </c>
      <c r="C952" s="5">
        <f t="shared" si="204"/>
        <v>74</v>
      </c>
      <c r="D952" s="23">
        <v>43073</v>
      </c>
      <c r="E952" s="11">
        <v>377.3</v>
      </c>
      <c r="F952" s="12">
        <f t="shared" si="220"/>
        <v>2.7666666666666706</v>
      </c>
      <c r="G952" s="14"/>
      <c r="H952" s="14"/>
      <c r="I952" s="13">
        <v>42.2</v>
      </c>
      <c r="J952" s="15">
        <f t="shared" ref="J952:J953" si="221">(I951-I952)/(D952-D951)</f>
        <v>2.9333333333333322</v>
      </c>
      <c r="K952" s="13">
        <v>47.3</v>
      </c>
      <c r="L952" s="14"/>
      <c r="M952" s="14"/>
      <c r="N952" s="14"/>
      <c r="O952" s="14"/>
      <c r="P952" s="14"/>
      <c r="Q952" s="14"/>
      <c r="R952" s="14"/>
      <c r="S952" s="14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3.2">
      <c r="A953" s="14"/>
      <c r="B953" s="5">
        <v>10</v>
      </c>
      <c r="C953" s="5">
        <f t="shared" si="204"/>
        <v>76</v>
      </c>
      <c r="D953" s="23">
        <v>43075</v>
      </c>
      <c r="E953" s="11">
        <v>370.2</v>
      </c>
      <c r="F953" s="12">
        <f t="shared" si="220"/>
        <v>3.5500000000000114</v>
      </c>
      <c r="G953" s="14"/>
      <c r="H953" s="14"/>
      <c r="I953" s="13">
        <v>37.4</v>
      </c>
      <c r="J953" s="15">
        <f t="shared" si="221"/>
        <v>2.4000000000000021</v>
      </c>
      <c r="K953" s="13">
        <v>47.4</v>
      </c>
      <c r="L953" s="14"/>
      <c r="M953" s="14"/>
      <c r="N953" s="14"/>
      <c r="O953" s="14"/>
      <c r="P953" s="14"/>
      <c r="Q953" s="14"/>
      <c r="R953" s="14"/>
      <c r="S953" s="14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3.2">
      <c r="A954" s="14"/>
      <c r="B954" s="5">
        <v>11</v>
      </c>
      <c r="C954" s="5">
        <f t="shared" si="204"/>
        <v>77</v>
      </c>
      <c r="D954" s="24">
        <v>43076</v>
      </c>
      <c r="E954" s="12"/>
      <c r="F954" s="12"/>
      <c r="G954" s="14"/>
      <c r="H954" s="14"/>
      <c r="I954" s="15"/>
      <c r="J954" s="14"/>
      <c r="K954" s="15"/>
      <c r="L954" s="14"/>
      <c r="M954" s="14"/>
      <c r="N954" s="14"/>
      <c r="O954" s="14"/>
      <c r="P954" s="14"/>
      <c r="Q954" s="14"/>
      <c r="R954" s="14"/>
      <c r="S954" s="14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3.2">
      <c r="A955" s="5"/>
      <c r="B955" s="5">
        <v>11</v>
      </c>
      <c r="C955" s="5">
        <f t="shared" si="204"/>
        <v>78</v>
      </c>
      <c r="D955" s="24">
        <v>43077</v>
      </c>
      <c r="E955" s="10">
        <v>392.5</v>
      </c>
      <c r="F955" s="12"/>
      <c r="G955" s="14"/>
      <c r="H955" s="14"/>
      <c r="I955" s="13">
        <v>36.200000000000003</v>
      </c>
      <c r="J955" s="15">
        <f>(I953-I955)/(D955-D953)</f>
        <v>0.59999999999999787</v>
      </c>
      <c r="K955" s="13">
        <v>48.1</v>
      </c>
      <c r="L955" s="14"/>
      <c r="M955" s="14"/>
      <c r="N955" s="14"/>
      <c r="O955" s="14"/>
      <c r="P955" s="14"/>
      <c r="Q955" s="14"/>
      <c r="R955" s="14"/>
      <c r="S955" s="14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3.2">
      <c r="A956" s="14"/>
      <c r="B956" s="5">
        <v>11</v>
      </c>
      <c r="C956" s="5">
        <f t="shared" si="204"/>
        <v>81</v>
      </c>
      <c r="D956" s="24">
        <v>43080</v>
      </c>
      <c r="E956" s="10">
        <v>383.8</v>
      </c>
      <c r="F956" s="12">
        <f t="shared" ref="F956:F957" si="222">(E955-E956)/(D956-D955)</f>
        <v>2.8999999999999964</v>
      </c>
      <c r="G956" s="14"/>
      <c r="H956" s="14"/>
      <c r="I956" s="13">
        <v>28.4</v>
      </c>
      <c r="J956" s="15">
        <f t="shared" ref="J956:J957" si="223">(I955-I956)/(D956-D955)</f>
        <v>2.6000000000000014</v>
      </c>
      <c r="K956" s="13">
        <v>48.8</v>
      </c>
      <c r="L956" s="14"/>
      <c r="M956" s="14"/>
      <c r="N956" s="14"/>
      <c r="O956" s="14"/>
      <c r="P956" s="14"/>
      <c r="Q956" s="14"/>
      <c r="R956" s="14"/>
      <c r="S956" s="14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26.4">
      <c r="A957" s="5" t="s">
        <v>45</v>
      </c>
      <c r="B957" s="5">
        <v>11</v>
      </c>
      <c r="C957" s="5">
        <f t="shared" si="204"/>
        <v>83</v>
      </c>
      <c r="D957" s="25">
        <v>43082</v>
      </c>
      <c r="E957" s="10">
        <v>373.9</v>
      </c>
      <c r="F957" s="12">
        <f t="shared" si="222"/>
        <v>4.9500000000000171</v>
      </c>
      <c r="G957" s="14"/>
      <c r="H957" s="14"/>
      <c r="I957" s="13">
        <v>23.5</v>
      </c>
      <c r="J957" s="15">
        <f t="shared" si="223"/>
        <v>2.4499999999999993</v>
      </c>
      <c r="K957" s="13">
        <v>48.7</v>
      </c>
      <c r="L957" s="14"/>
      <c r="M957" s="14"/>
      <c r="N957" s="14"/>
      <c r="O957" s="14"/>
      <c r="P957" s="14"/>
      <c r="Q957" s="14"/>
      <c r="R957" s="14"/>
      <c r="S957" s="14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3.2">
      <c r="A958" s="26" t="s">
        <v>28</v>
      </c>
      <c r="B958" s="26">
        <v>12</v>
      </c>
      <c r="C958" s="26">
        <f t="shared" si="204"/>
        <v>84</v>
      </c>
      <c r="D958" s="27">
        <v>43083</v>
      </c>
      <c r="E958" s="136"/>
      <c r="F958" s="28"/>
      <c r="G958" s="29"/>
      <c r="H958" s="29"/>
      <c r="I958" s="30"/>
      <c r="J958" s="29"/>
      <c r="K958" s="31"/>
      <c r="L958" s="29"/>
      <c r="M958" s="29"/>
      <c r="N958" s="29"/>
      <c r="O958" s="29"/>
      <c r="P958" s="29"/>
      <c r="Q958" s="29"/>
      <c r="R958" s="29"/>
      <c r="S958" s="14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3.2">
      <c r="A959" s="14"/>
      <c r="B959" s="5">
        <v>12</v>
      </c>
      <c r="C959" s="5">
        <f t="shared" si="204"/>
        <v>85</v>
      </c>
      <c r="D959" s="24">
        <v>43084</v>
      </c>
      <c r="E959" s="137"/>
      <c r="F959" s="12"/>
      <c r="G959" s="14"/>
      <c r="H959" s="14"/>
      <c r="I959" s="15"/>
      <c r="J959" s="14"/>
      <c r="K959" s="13">
        <v>49.1</v>
      </c>
      <c r="L959" s="14"/>
      <c r="M959" s="14"/>
      <c r="N959" s="14"/>
      <c r="O959" s="14"/>
      <c r="P959" s="14"/>
      <c r="Q959" s="14"/>
      <c r="R959" s="14"/>
      <c r="S959" s="14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3.2">
      <c r="A960" s="14"/>
      <c r="B960" s="5">
        <v>12</v>
      </c>
      <c r="C960" s="5">
        <f t="shared" si="204"/>
        <v>98</v>
      </c>
      <c r="D960" s="32">
        <v>43097</v>
      </c>
      <c r="E960" s="137"/>
      <c r="F960" s="11"/>
      <c r="G960" s="14"/>
      <c r="H960" s="14"/>
      <c r="I960" s="33">
        <v>73.900000000000006</v>
      </c>
      <c r="J960" s="14"/>
      <c r="K960" s="33">
        <v>50.4</v>
      </c>
      <c r="L960" s="14"/>
      <c r="M960" s="14"/>
      <c r="N960" s="14"/>
      <c r="O960" s="14"/>
      <c r="P960" s="14"/>
      <c r="Q960" s="14"/>
      <c r="R960" s="14"/>
      <c r="S960" s="14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3.2">
      <c r="A961" s="14"/>
      <c r="B961" s="5">
        <v>12</v>
      </c>
      <c r="C961" s="5">
        <f t="shared" si="204"/>
        <v>105</v>
      </c>
      <c r="D961" s="32">
        <v>43104</v>
      </c>
      <c r="E961" s="137"/>
      <c r="F961" s="12"/>
      <c r="G961" s="14"/>
      <c r="H961" s="14"/>
      <c r="I961" s="33">
        <v>53.1</v>
      </c>
      <c r="J961" s="14"/>
      <c r="K961" s="33">
        <v>50.7</v>
      </c>
      <c r="L961" s="14"/>
      <c r="M961" s="14"/>
      <c r="N961" s="14"/>
      <c r="O961" s="14"/>
      <c r="P961" s="14"/>
      <c r="Q961" s="14"/>
      <c r="R961" s="14"/>
      <c r="S961" s="14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3.2">
      <c r="A962" s="14"/>
      <c r="B962" s="14"/>
      <c r="C962" s="5">
        <f t="shared" si="204"/>
        <v>112</v>
      </c>
      <c r="D962" s="32">
        <v>43111</v>
      </c>
      <c r="E962" s="137"/>
      <c r="F962" s="11"/>
      <c r="G962" s="14"/>
      <c r="H962" s="14"/>
      <c r="I962" s="33">
        <v>33.700000000000003</v>
      </c>
      <c r="J962" s="14"/>
      <c r="K962" s="33">
        <v>51.1</v>
      </c>
      <c r="L962" s="14"/>
      <c r="M962" s="14"/>
      <c r="N962" s="14"/>
      <c r="O962" s="14"/>
      <c r="P962" s="14"/>
      <c r="Q962" s="14"/>
      <c r="R962" s="14"/>
      <c r="S962" s="14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3.2">
      <c r="A963" s="14"/>
      <c r="B963" s="14"/>
      <c r="C963" s="5">
        <f t="shared" si="204"/>
        <v>116</v>
      </c>
      <c r="D963" s="34">
        <v>43115</v>
      </c>
      <c r="E963" s="137"/>
      <c r="F963" s="12"/>
      <c r="G963" s="14"/>
      <c r="H963" s="14"/>
      <c r="I963" s="33"/>
      <c r="J963" s="14"/>
      <c r="K963" s="33"/>
      <c r="L963" s="14"/>
      <c r="M963" s="14"/>
      <c r="N963" s="14"/>
      <c r="O963" s="14"/>
      <c r="P963" s="14"/>
      <c r="Q963" s="14"/>
      <c r="R963" s="14"/>
      <c r="S963" s="14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3.2">
      <c r="A964" s="14"/>
      <c r="B964" s="14"/>
      <c r="C964" s="5">
        <f t="shared" si="204"/>
        <v>117</v>
      </c>
      <c r="D964" s="20">
        <v>43116</v>
      </c>
      <c r="E964" s="12"/>
      <c r="F964" s="12"/>
      <c r="G964" s="14"/>
      <c r="H964" s="14"/>
      <c r="I964" s="33">
        <v>20</v>
      </c>
      <c r="J964" s="14"/>
      <c r="K964" s="33">
        <v>52.3</v>
      </c>
      <c r="L964" s="14"/>
      <c r="M964" s="14"/>
      <c r="N964" s="14"/>
      <c r="O964" s="14"/>
      <c r="P964" s="14"/>
      <c r="Q964" s="14"/>
      <c r="R964" s="14"/>
      <c r="S964" s="14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3.2">
      <c r="A965" s="14"/>
      <c r="B965" s="5"/>
      <c r="C965" s="5">
        <v>124</v>
      </c>
      <c r="D965" s="20">
        <v>43123</v>
      </c>
      <c r="E965" s="12"/>
      <c r="F965" s="12"/>
      <c r="G965" s="14"/>
      <c r="H965" s="14"/>
      <c r="I965" s="33">
        <v>39.299999999999997</v>
      </c>
      <c r="J965" s="14"/>
      <c r="K965" s="33">
        <v>53.1</v>
      </c>
      <c r="L965" s="14"/>
      <c r="M965" s="14"/>
      <c r="N965" s="14"/>
      <c r="O965" s="14"/>
      <c r="P965" s="14"/>
      <c r="Q965" s="14"/>
      <c r="R965" s="14"/>
      <c r="S965" s="14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3.2">
      <c r="A966" s="14"/>
      <c r="B966" s="5"/>
      <c r="C966" s="5">
        <v>131</v>
      </c>
      <c r="D966" s="20">
        <v>43130</v>
      </c>
      <c r="E966" s="12"/>
      <c r="F966" s="12"/>
      <c r="G966" s="14"/>
      <c r="H966" s="14"/>
      <c r="I966" s="36">
        <v>68.099999999999994</v>
      </c>
      <c r="J966" s="14"/>
      <c r="K966" s="36">
        <v>53.6</v>
      </c>
      <c r="L966" s="14"/>
      <c r="M966" s="14"/>
      <c r="N966" s="14"/>
      <c r="O966" s="14"/>
      <c r="P966" s="14"/>
      <c r="Q966" s="14"/>
      <c r="R966" s="14"/>
      <c r="S966" s="14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3.2">
      <c r="A967" s="14"/>
      <c r="B967" s="5"/>
      <c r="C967" s="5">
        <v>138</v>
      </c>
      <c r="D967" s="20">
        <v>43137</v>
      </c>
      <c r="E967" s="12"/>
      <c r="F967" s="12"/>
      <c r="G967" s="14"/>
      <c r="H967" s="14"/>
      <c r="I967" s="33">
        <v>48.2</v>
      </c>
      <c r="J967" s="37"/>
      <c r="K967" s="33">
        <v>53.8</v>
      </c>
      <c r="L967" s="14"/>
      <c r="M967" s="14"/>
      <c r="N967" s="14"/>
      <c r="O967" s="14"/>
      <c r="P967" s="14"/>
      <c r="Q967" s="14"/>
      <c r="R967" s="14"/>
      <c r="S967" s="14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3.2">
      <c r="A968" s="14"/>
      <c r="B968" s="5"/>
      <c r="C968" s="5">
        <v>145</v>
      </c>
      <c r="D968" s="20">
        <v>43144</v>
      </c>
      <c r="E968" s="12"/>
      <c r="F968" s="12"/>
      <c r="G968" s="14"/>
      <c r="H968" s="14"/>
      <c r="I968" s="13">
        <v>29.2</v>
      </c>
      <c r="J968" s="14"/>
      <c r="K968" s="13">
        <v>53</v>
      </c>
      <c r="L968" s="14"/>
      <c r="M968" s="14"/>
      <c r="N968" s="14"/>
      <c r="O968" s="14"/>
      <c r="P968" s="14"/>
      <c r="Q968" s="14"/>
      <c r="R968" s="14"/>
      <c r="S968" s="14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3.2">
      <c r="A969" s="14"/>
      <c r="B969" s="5"/>
      <c r="C969" s="5">
        <v>152</v>
      </c>
      <c r="D969" s="20">
        <v>43151</v>
      </c>
      <c r="E969" s="12"/>
      <c r="F969" s="12"/>
      <c r="G969" s="14"/>
      <c r="H969" s="14"/>
      <c r="I969" s="13">
        <v>76.3</v>
      </c>
      <c r="J969" s="14"/>
      <c r="K969" s="13">
        <v>54.6</v>
      </c>
      <c r="L969" s="14"/>
      <c r="M969" s="14"/>
      <c r="N969" s="14"/>
      <c r="O969" s="14"/>
      <c r="P969" s="14"/>
      <c r="Q969" s="14"/>
      <c r="R969" s="14"/>
      <c r="S969" s="14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3.2">
      <c r="A970" s="14"/>
      <c r="B970" s="5"/>
      <c r="C970" s="5">
        <v>159</v>
      </c>
      <c r="D970" s="20">
        <v>43158</v>
      </c>
      <c r="E970" s="12"/>
      <c r="F970" s="12"/>
      <c r="G970" s="14"/>
      <c r="H970" s="14"/>
      <c r="I970" s="13">
        <v>55.3</v>
      </c>
      <c r="J970" s="14"/>
      <c r="K970" s="13">
        <v>54.8</v>
      </c>
      <c r="L970" s="14"/>
      <c r="M970" s="14"/>
      <c r="N970" s="14"/>
      <c r="O970" s="14"/>
      <c r="P970" s="14"/>
      <c r="Q970" s="14"/>
      <c r="R970" s="14"/>
      <c r="S970" s="14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3.2">
      <c r="A971" s="14"/>
      <c r="B971" s="5"/>
      <c r="C971" s="5">
        <v>166</v>
      </c>
      <c r="D971" s="20">
        <v>43165</v>
      </c>
      <c r="E971" s="12"/>
      <c r="F971" s="12"/>
      <c r="G971" s="14"/>
      <c r="H971" s="14"/>
      <c r="I971" s="13">
        <v>36.4</v>
      </c>
      <c r="J971" s="14"/>
      <c r="K971" s="13">
        <v>54.3</v>
      </c>
      <c r="L971" s="14"/>
      <c r="M971" s="14"/>
      <c r="N971" s="14"/>
      <c r="O971" s="14"/>
      <c r="P971" s="14"/>
      <c r="Q971" s="14"/>
      <c r="R971" s="14"/>
      <c r="S971" s="14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3.2">
      <c r="A972" s="14"/>
      <c r="B972" s="5"/>
      <c r="C972" s="5">
        <v>173</v>
      </c>
      <c r="D972" s="20">
        <v>43172</v>
      </c>
      <c r="E972" s="12"/>
      <c r="F972" s="12"/>
      <c r="G972" s="14"/>
      <c r="H972" s="14"/>
      <c r="I972" s="13">
        <v>17.2</v>
      </c>
      <c r="J972" s="14"/>
      <c r="K972" s="13">
        <v>54.9</v>
      </c>
      <c r="L972" s="14"/>
      <c r="M972" s="14"/>
      <c r="N972" s="14"/>
      <c r="O972" s="14"/>
      <c r="P972" s="14"/>
      <c r="Q972" s="14"/>
      <c r="R972" s="14"/>
      <c r="S972" s="14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3.2">
      <c r="A973" s="14"/>
      <c r="B973" s="5"/>
      <c r="C973" s="5"/>
      <c r="D973" s="20"/>
      <c r="E973" s="12"/>
      <c r="F973" s="12"/>
      <c r="G973" s="14"/>
      <c r="H973" s="14"/>
      <c r="I973" s="15"/>
      <c r="J973" s="14"/>
      <c r="K973" s="15"/>
      <c r="L973" s="14"/>
      <c r="M973" s="14"/>
      <c r="N973" s="14"/>
      <c r="O973" s="14"/>
      <c r="P973" s="14"/>
      <c r="Q973" s="14"/>
      <c r="R973" s="14"/>
      <c r="S973" s="14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3.2">
      <c r="A974" s="14"/>
      <c r="B974" s="5"/>
      <c r="C974" s="5"/>
      <c r="D974" s="20"/>
      <c r="E974" s="12"/>
      <c r="F974" s="12"/>
      <c r="G974" s="14"/>
      <c r="H974" s="14"/>
      <c r="I974" s="15"/>
      <c r="J974" s="14"/>
      <c r="K974" s="15"/>
      <c r="L974" s="14"/>
      <c r="M974" s="14"/>
      <c r="N974" s="14"/>
      <c r="O974" s="14"/>
      <c r="P974" s="14"/>
      <c r="Q974" s="14"/>
      <c r="R974" s="14"/>
      <c r="S974" s="14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3.2">
      <c r="A975" s="14"/>
      <c r="B975" s="5"/>
      <c r="C975" s="5"/>
      <c r="D975" s="20"/>
      <c r="E975" s="12"/>
      <c r="F975" s="12"/>
      <c r="G975" s="14"/>
      <c r="H975" s="14"/>
      <c r="I975" s="15"/>
      <c r="J975" s="14"/>
      <c r="K975" s="15"/>
      <c r="L975" s="14"/>
      <c r="M975" s="14"/>
      <c r="N975" s="14"/>
      <c r="O975" s="14"/>
      <c r="P975" s="14"/>
      <c r="Q975" s="14"/>
      <c r="R975" s="14"/>
      <c r="S975" s="14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3.2">
      <c r="A976" s="14"/>
      <c r="B976" s="5"/>
      <c r="C976" s="5"/>
      <c r="D976" s="20"/>
      <c r="E976" s="12"/>
      <c r="F976" s="12"/>
      <c r="G976" s="14"/>
      <c r="H976" s="14"/>
      <c r="I976" s="15"/>
      <c r="J976" s="14"/>
      <c r="K976" s="15"/>
      <c r="L976" s="14"/>
      <c r="M976" s="14"/>
      <c r="N976" s="14"/>
      <c r="O976" s="14"/>
      <c r="P976" s="14"/>
      <c r="Q976" s="14"/>
      <c r="R976" s="14"/>
      <c r="S976" s="14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3.2">
      <c r="A977" s="14"/>
      <c r="B977" s="5"/>
      <c r="C977" s="5"/>
      <c r="D977" s="20"/>
      <c r="E977" s="12"/>
      <c r="F977" s="12"/>
      <c r="G977" s="14"/>
      <c r="H977" s="14"/>
      <c r="I977" s="15"/>
      <c r="J977" s="14"/>
      <c r="K977" s="15"/>
      <c r="L977" s="14"/>
      <c r="M977" s="14"/>
      <c r="N977" s="14"/>
      <c r="O977" s="14"/>
      <c r="P977" s="14"/>
      <c r="Q977" s="14"/>
      <c r="R977" s="14"/>
      <c r="S977" s="14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3.2">
      <c r="A978" s="14"/>
      <c r="B978" s="5"/>
      <c r="C978" s="5"/>
      <c r="D978" s="20"/>
      <c r="E978" s="12"/>
      <c r="F978" s="12"/>
      <c r="G978" s="14"/>
      <c r="H978" s="14"/>
      <c r="I978" s="15"/>
      <c r="J978" s="14"/>
      <c r="K978" s="15"/>
      <c r="L978" s="14"/>
      <c r="M978" s="14"/>
      <c r="N978" s="14"/>
      <c r="O978" s="14"/>
      <c r="P978" s="14"/>
      <c r="Q978" s="14"/>
      <c r="R978" s="14"/>
      <c r="S978" s="14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3.2">
      <c r="A979" s="14"/>
      <c r="B979" s="5"/>
      <c r="C979" s="5"/>
      <c r="D979" s="20"/>
      <c r="E979" s="12"/>
      <c r="F979" s="12"/>
      <c r="G979" s="14"/>
      <c r="H979" s="14"/>
      <c r="I979" s="15"/>
      <c r="J979" s="14"/>
      <c r="K979" s="15"/>
      <c r="L979" s="14"/>
      <c r="M979" s="14"/>
      <c r="N979" s="14"/>
      <c r="O979" s="14"/>
      <c r="P979" s="14"/>
      <c r="Q979" s="14"/>
      <c r="R979" s="14"/>
      <c r="S979" s="14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3.2">
      <c r="A980" s="14"/>
      <c r="B980" s="5"/>
      <c r="C980" s="5"/>
      <c r="D980" s="20"/>
      <c r="E980" s="12"/>
      <c r="F980" s="12"/>
      <c r="G980" s="14"/>
      <c r="H980" s="14"/>
      <c r="I980" s="15"/>
      <c r="J980" s="14"/>
      <c r="K980" s="15"/>
      <c r="L980" s="14"/>
      <c r="M980" s="14"/>
      <c r="N980" s="14"/>
      <c r="O980" s="14"/>
      <c r="P980" s="14"/>
      <c r="Q980" s="14"/>
      <c r="R980" s="14"/>
      <c r="S980" s="14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3.2">
      <c r="A981" s="14"/>
      <c r="B981" s="5"/>
      <c r="C981" s="5"/>
      <c r="D981" s="20"/>
      <c r="E981" s="12"/>
      <c r="F981" s="12"/>
      <c r="G981" s="14"/>
      <c r="H981" s="14"/>
      <c r="I981" s="15"/>
      <c r="J981" s="14"/>
      <c r="K981" s="15"/>
      <c r="L981" s="14"/>
      <c r="M981" s="14"/>
      <c r="N981" s="14"/>
      <c r="O981" s="14"/>
      <c r="P981" s="14"/>
      <c r="Q981" s="14"/>
      <c r="R981" s="14"/>
      <c r="S981" s="14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3.2">
      <c r="A982" s="14"/>
      <c r="B982" s="5"/>
      <c r="C982" s="5"/>
      <c r="D982" s="20"/>
      <c r="E982" s="12"/>
      <c r="F982" s="12"/>
      <c r="G982" s="14"/>
      <c r="H982" s="14"/>
      <c r="I982" s="15"/>
      <c r="J982" s="14"/>
      <c r="K982" s="15"/>
      <c r="L982" s="14"/>
      <c r="M982" s="14"/>
      <c r="N982" s="14"/>
      <c r="O982" s="14"/>
      <c r="P982" s="14"/>
      <c r="Q982" s="14"/>
      <c r="R982" s="14"/>
      <c r="S982" s="14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3.2">
      <c r="A983" s="14"/>
      <c r="B983" s="5"/>
      <c r="C983" s="5"/>
      <c r="D983" s="20"/>
      <c r="E983" s="12"/>
      <c r="F983" s="12"/>
      <c r="G983" s="14"/>
      <c r="H983" s="14"/>
      <c r="I983" s="15"/>
      <c r="J983" s="14"/>
      <c r="K983" s="15"/>
      <c r="L983" s="14"/>
      <c r="M983" s="14"/>
      <c r="N983" s="14"/>
      <c r="O983" s="14"/>
      <c r="P983" s="14"/>
      <c r="Q983" s="14"/>
      <c r="R983" s="14"/>
      <c r="S983" s="14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3.2">
      <c r="A984" s="14"/>
      <c r="B984" s="5"/>
      <c r="C984" s="5"/>
      <c r="D984" s="20"/>
      <c r="E984" s="12"/>
      <c r="F984" s="12"/>
      <c r="G984" s="14"/>
      <c r="H984" s="14"/>
      <c r="I984" s="15"/>
      <c r="J984" s="14"/>
      <c r="K984" s="15"/>
      <c r="L984" s="14"/>
      <c r="M984" s="14"/>
      <c r="N984" s="14"/>
      <c r="O984" s="14"/>
      <c r="P984" s="14"/>
      <c r="Q984" s="14"/>
      <c r="R984" s="14"/>
      <c r="S984" s="14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3.2">
      <c r="A985" s="14"/>
      <c r="B985" s="5"/>
      <c r="C985" s="5"/>
      <c r="D985" s="20"/>
      <c r="E985" s="12"/>
      <c r="F985" s="12"/>
      <c r="G985" s="14"/>
      <c r="H985" s="14"/>
      <c r="I985" s="15"/>
      <c r="J985" s="14"/>
      <c r="K985" s="15"/>
      <c r="L985" s="14"/>
      <c r="M985" s="14"/>
      <c r="N985" s="14"/>
      <c r="O985" s="14"/>
      <c r="P985" s="14"/>
      <c r="Q985" s="14"/>
      <c r="R985" s="14"/>
      <c r="S985" s="14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3.2">
      <c r="A986" s="14"/>
      <c r="B986" s="5"/>
      <c r="C986" s="5"/>
      <c r="D986" s="20"/>
      <c r="E986" s="12"/>
      <c r="F986" s="12"/>
      <c r="G986" s="14"/>
      <c r="H986" s="14"/>
      <c r="I986" s="15"/>
      <c r="J986" s="14"/>
      <c r="K986" s="15"/>
      <c r="L986" s="14"/>
      <c r="M986" s="14"/>
      <c r="N986" s="14"/>
      <c r="O986" s="14"/>
      <c r="P986" s="14"/>
      <c r="Q986" s="14"/>
      <c r="R986" s="14"/>
      <c r="S986" s="14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3.2">
      <c r="A987" s="14"/>
      <c r="B987" s="5"/>
      <c r="C987" s="5"/>
      <c r="D987" s="20"/>
      <c r="E987" s="12"/>
      <c r="F987" s="12"/>
      <c r="G987" s="14"/>
      <c r="H987" s="14"/>
      <c r="I987" s="15"/>
      <c r="J987" s="14"/>
      <c r="K987" s="15"/>
      <c r="L987" s="14"/>
      <c r="M987" s="14"/>
      <c r="N987" s="14"/>
      <c r="O987" s="14"/>
      <c r="P987" s="14"/>
      <c r="Q987" s="14"/>
      <c r="R987" s="14"/>
      <c r="S987" s="14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3.2">
      <c r="A988" s="14"/>
      <c r="B988" s="5"/>
      <c r="C988" s="5"/>
      <c r="D988" s="20"/>
      <c r="E988" s="12"/>
      <c r="F988" s="12"/>
      <c r="G988" s="14"/>
      <c r="H988" s="14"/>
      <c r="I988" s="15"/>
      <c r="J988" s="14"/>
      <c r="K988" s="15"/>
      <c r="L988" s="14"/>
      <c r="M988" s="14"/>
      <c r="N988" s="14"/>
      <c r="O988" s="14"/>
      <c r="P988" s="14"/>
      <c r="Q988" s="14"/>
      <c r="R988" s="14"/>
      <c r="S988" s="14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3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3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3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3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3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3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3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ht="13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ht="13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ht="13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ht="13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ht="13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 ht="13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 ht="13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 ht="13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 ht="13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 ht="13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 ht="13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 ht="13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 ht="13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 spans="1:29" ht="13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 spans="1:29" ht="13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  <row r="1011" spans="1:29" ht="13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</row>
    <row r="1012" spans="1:29" ht="13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</row>
    <row r="1013" spans="1:29" ht="13.2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</row>
    <row r="1014" spans="1:29" ht="13.2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</row>
    <row r="1015" spans="1:29" ht="13.2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</row>
    <row r="1016" spans="1:29" ht="13.2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</row>
    <row r="1017" spans="1:29" ht="13.2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</row>
    <row r="1018" spans="1:29" ht="13.2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</row>
    <row r="1019" spans="1:29" ht="13.2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</row>
    <row r="1020" spans="1:29" ht="13.2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</row>
    <row r="1021" spans="1:29" ht="13.2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</row>
    <row r="1022" spans="1:29" ht="13.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</row>
    <row r="1023" spans="1:29" ht="13.2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</row>
    <row r="1024" spans="1:29" ht="13.2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</row>
    <row r="1025" spans="1:29" ht="13.2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</row>
    <row r="1026" spans="1:29" ht="13.2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</row>
    <row r="1027" spans="1:29" ht="13.2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</row>
    <row r="1028" spans="1:29" ht="13.2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</row>
    <row r="1029" spans="1:29" ht="13.2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</row>
    <row r="1030" spans="1:29" ht="13.2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</row>
    <row r="1031" spans="1:29" ht="13.2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</row>
    <row r="1032" spans="1:29" ht="13.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</row>
    <row r="1033" spans="1:29" ht="13.2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</row>
    <row r="1034" spans="1:29" ht="13.2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</row>
    <row r="1035" spans="1:29" ht="13.2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</row>
    <row r="1036" spans="1:29" ht="13.2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</row>
    <row r="1037" spans="1:29" ht="13.2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</row>
    <row r="1038" spans="1:29" ht="13.2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</row>
    <row r="1039" spans="1:29" ht="13.2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</row>
    <row r="1040" spans="1:29" ht="13.2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</row>
    <row r="1041" spans="1:29" ht="13.2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</row>
    <row r="1042" spans="1:29" ht="13.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</row>
    <row r="1043" spans="1:29" ht="13.2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</row>
    <row r="1044" spans="1:29" ht="13.2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</row>
    <row r="1045" spans="1:29" ht="13.2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</row>
    <row r="1046" spans="1:29" ht="13.2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</row>
    <row r="1047" spans="1:29" ht="13.2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</row>
    <row r="1048" spans="1:29" ht="13.2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</row>
    <row r="1049" spans="1:29" ht="13.2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</row>
    <row r="1050" spans="1:29" ht="13.2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</row>
    <row r="1051" spans="1:29" ht="13.2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</row>
    <row r="1052" spans="1:29" ht="13.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</row>
    <row r="1053" spans="1:29" ht="13.2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</row>
    <row r="1054" spans="1:29" ht="13.2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</row>
    <row r="1055" spans="1:29" ht="13.2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</row>
    <row r="1056" spans="1:29" ht="13.2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</row>
    <row r="1057" spans="1:29" ht="13.2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</row>
    <row r="1058" spans="1:29" ht="13.2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</row>
    <row r="1059" spans="1:29" ht="13.2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</row>
    <row r="1060" spans="1:29" ht="13.2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</row>
    <row r="1061" spans="1:29" ht="13.2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</row>
    <row r="1062" spans="1:29" ht="13.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</row>
    <row r="1063" spans="1:29" ht="13.2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</row>
    <row r="1064" spans="1:29" ht="13.2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</row>
    <row r="1065" spans="1:29" ht="13.2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</row>
    <row r="1066" spans="1:29" ht="13.2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</row>
    <row r="1067" spans="1:29" ht="13.2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</row>
    <row r="1068" spans="1:29" ht="13.2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</row>
    <row r="1069" spans="1:29" ht="13.2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</row>
    <row r="1070" spans="1:29" ht="13.2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</row>
    <row r="1071" spans="1:29" ht="13.2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</row>
    <row r="1072" spans="1:29" ht="13.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</row>
    <row r="1073" spans="1:29" ht="13.2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</row>
    <row r="1074" spans="1:29" ht="13.2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</row>
    <row r="1075" spans="1:29" ht="13.2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</row>
    <row r="1076" spans="1:29" ht="13.2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</row>
    <row r="1077" spans="1:29" ht="13.2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</row>
    <row r="1078" spans="1:29" ht="13.2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</row>
    <row r="1079" spans="1:29" ht="13.2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</row>
    <row r="1080" spans="1:29" ht="13.2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</row>
    <row r="1081" spans="1:29" ht="13.2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</row>
    <row r="1082" spans="1:29" ht="13.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</row>
    <row r="1083" spans="1:29" ht="13.2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</row>
    <row r="1084" spans="1:29" ht="13.2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</row>
    <row r="1085" spans="1:29" ht="13.2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</row>
    <row r="1086" spans="1:29" ht="13.2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</row>
    <row r="1087" spans="1:29" ht="13.2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</row>
    <row r="1088" spans="1:29" ht="13.2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</row>
    <row r="1089" spans="1:29" ht="13.2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</row>
    <row r="1090" spans="1:29" ht="13.2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</row>
    <row r="1091" spans="1:29" ht="13.2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</row>
    <row r="1092" spans="1:29" ht="13.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</row>
    <row r="1093" spans="1:29" ht="13.2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</row>
    <row r="1094" spans="1:29" ht="13.2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</row>
    <row r="1095" spans="1:29" ht="13.2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</row>
    <row r="1096" spans="1:29" ht="13.2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</row>
    <row r="1097" spans="1:29" ht="13.2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</row>
    <row r="1098" spans="1:29" ht="13.2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</row>
    <row r="1099" spans="1:29" ht="13.2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</row>
    <row r="1100" spans="1:29" ht="13.2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</row>
    <row r="1101" spans="1:29" ht="13.2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</row>
    <row r="1102" spans="1:29" ht="13.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</row>
    <row r="1103" spans="1:29" ht="13.2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</row>
    <row r="1104" spans="1:29" ht="13.2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</row>
    <row r="1105" spans="1:29" ht="13.2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</row>
    <row r="1106" spans="1:29" ht="13.2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</row>
    <row r="1107" spans="1:29" ht="13.2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</row>
    <row r="1108" spans="1:29" ht="13.2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</row>
    <row r="1109" spans="1:29" ht="13.2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</row>
    <row r="1110" spans="1:29" ht="13.2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</row>
    <row r="1111" spans="1:29" ht="13.2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</row>
    <row r="1112" spans="1:29" ht="13.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</row>
    <row r="1113" spans="1:29" ht="13.2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</row>
    <row r="1114" spans="1:29" ht="13.2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</row>
    <row r="1115" spans="1:29" ht="13.2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</row>
    <row r="1116" spans="1:29" ht="13.2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</row>
    <row r="1117" spans="1:29" ht="13.2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</row>
    <row r="1118" spans="1:29" ht="13.2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</row>
    <row r="1119" spans="1:29" ht="13.2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</row>
    <row r="1120" spans="1:29" ht="13.2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</row>
    <row r="1121" spans="1:29" ht="13.2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</row>
    <row r="1122" spans="1:29" ht="13.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</row>
    <row r="1123" spans="1:29" ht="13.2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</row>
    <row r="1124" spans="1:29" ht="13.2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</row>
    <row r="1125" spans="1:29" ht="13.2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</row>
    <row r="1126" spans="1:29" ht="13.2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</row>
    <row r="1127" spans="1:29" ht="13.2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</row>
    <row r="1128" spans="1:29" ht="13.2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</row>
    <row r="1129" spans="1:29" ht="13.2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</row>
    <row r="1130" spans="1:29" ht="13.2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</row>
    <row r="1131" spans="1:29" ht="13.2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</row>
    <row r="1132" spans="1:29" ht="13.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</row>
    <row r="1133" spans="1:29" ht="13.2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</row>
    <row r="1134" spans="1:29" ht="13.2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</row>
    <row r="1135" spans="1:29" ht="13.2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</row>
    <row r="1136" spans="1:29" ht="13.2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</row>
    <row r="1137" spans="1:29" ht="13.2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</row>
    <row r="1138" spans="1:29" ht="13.2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</row>
    <row r="1139" spans="1:29" ht="13.2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</row>
    <row r="1140" spans="1:29" ht="13.2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</row>
    <row r="1141" spans="1:29" ht="13.2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</row>
    <row r="1142" spans="1:29" ht="13.2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</row>
    <row r="1143" spans="1:29" ht="13.2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</row>
    <row r="1144" spans="1:29" ht="13.2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</row>
    <row r="1145" spans="1:29" ht="13.2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</row>
    <row r="1146" spans="1:29" ht="13.2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</row>
    <row r="1147" spans="1:29" ht="13.2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</row>
    <row r="1148" spans="1:29" ht="13.2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</row>
    <row r="1149" spans="1:29" ht="13.2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</row>
    <row r="1150" spans="1:29" ht="13.2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</row>
    <row r="1151" spans="1:29" ht="13.2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</row>
    <row r="1152" spans="1:29" ht="13.2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</row>
    <row r="1153" spans="1:29" ht="13.2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</row>
    <row r="1154" spans="1:29" ht="13.2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</row>
    <row r="1155" spans="1:29" ht="13.2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</row>
    <row r="1156" spans="1:29" ht="13.2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</row>
    <row r="1157" spans="1:29" ht="13.2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</row>
    <row r="1158" spans="1:29" ht="13.2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</row>
    <row r="1159" spans="1:29" ht="13.2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</row>
    <row r="1160" spans="1:29" ht="13.2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</row>
    <row r="1161" spans="1:29" ht="13.2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</row>
    <row r="1162" spans="1:29" ht="13.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</row>
    <row r="1163" spans="1:29" ht="13.2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</row>
    <row r="1164" spans="1:29" ht="13.2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</row>
    <row r="1165" spans="1:29" ht="13.2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</row>
    <row r="1166" spans="1:29" ht="13.2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</row>
    <row r="1167" spans="1:29" ht="13.2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</row>
    <row r="1168" spans="1:29" ht="13.2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</row>
    <row r="1169" spans="1:29" ht="13.2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</row>
    <row r="1170" spans="1:29" ht="13.2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</row>
    <row r="1171" spans="1:29" ht="13.2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</row>
    <row r="1172" spans="1:29" ht="13.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</row>
    <row r="1173" spans="1:29" ht="13.2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</row>
    <row r="1174" spans="1:29" ht="13.2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</row>
    <row r="1175" spans="1:29" ht="13.2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</row>
    <row r="1176" spans="1:29" ht="13.2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</row>
    <row r="1177" spans="1:29" ht="13.2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</row>
    <row r="1178" spans="1:29" ht="13.2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</row>
    <row r="1179" spans="1:29" ht="13.2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</row>
    <row r="1180" spans="1:29" ht="13.2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</row>
    <row r="1181" spans="1:29" ht="13.2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</row>
    <row r="1182" spans="1:29" ht="13.2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</row>
    <row r="1183" spans="1:29" ht="13.2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</row>
    <row r="1184" spans="1:29" ht="13.2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</row>
    <row r="1185" spans="1:29" ht="13.2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</row>
    <row r="1186" spans="1:29" ht="13.2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</row>
    <row r="1187" spans="1:29" ht="13.2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</row>
    <row r="1188" spans="1:29" ht="13.2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</row>
    <row r="1189" spans="1:29" ht="13.2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</row>
    <row r="1190" spans="1:29" ht="13.2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</row>
    <row r="1191" spans="1:29" ht="13.2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</row>
    <row r="1192" spans="1:29" ht="13.2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</row>
    <row r="1193" spans="1:29" ht="13.2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</row>
    <row r="1194" spans="1:29" ht="13.2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</row>
    <row r="1195" spans="1:29" ht="13.2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</row>
    <row r="1196" spans="1:29" ht="13.2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</row>
    <row r="1197" spans="1:29" ht="13.2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</row>
    <row r="1198" spans="1:29" ht="13.2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</row>
    <row r="1199" spans="1:29" ht="13.2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</row>
    <row r="1200" spans="1:29" ht="13.2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</row>
    <row r="1201" spans="1:29" ht="13.2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</row>
    <row r="1202" spans="1:29" ht="13.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</row>
    <row r="1203" spans="1:29" ht="13.2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</row>
    <row r="1204" spans="1:29" ht="13.2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</row>
    <row r="1205" spans="1:29" ht="13.2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</row>
    <row r="1206" spans="1:29" ht="13.2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</row>
    <row r="1207" spans="1:29" ht="13.2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</row>
    <row r="1208" spans="1:29" ht="13.2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</row>
    <row r="1209" spans="1:29" ht="13.2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</row>
    <row r="1210" spans="1:29" ht="13.2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</row>
    <row r="1211" spans="1:29" ht="13.2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</row>
    <row r="1212" spans="1:29" ht="13.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</row>
    <row r="1213" spans="1:29" ht="13.2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</row>
    <row r="1214" spans="1:29" ht="13.2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</row>
    <row r="1215" spans="1:29" ht="13.2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</row>
    <row r="1216" spans="1:29" ht="13.2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</row>
    <row r="1217" spans="1:29" ht="13.2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</row>
  </sheetData>
  <conditionalFormatting sqref="A1:A1484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5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/>
  <cols>
    <col min="5" max="5" width="21.88671875" customWidth="1"/>
    <col min="6" max="6" width="22.33203125" customWidth="1"/>
    <col min="9" max="9" width="21.33203125" customWidth="1"/>
    <col min="13" max="13" width="18.44140625" customWidth="1"/>
  </cols>
  <sheetData>
    <row r="1" spans="1:28" ht="15.75" customHeight="1">
      <c r="A1" s="68">
        <v>38.9</v>
      </c>
      <c r="B1" s="68" t="s">
        <v>1</v>
      </c>
      <c r="C1" s="1" t="s">
        <v>2</v>
      </c>
      <c r="D1" s="68" t="s">
        <v>3</v>
      </c>
      <c r="E1" s="69" t="s">
        <v>4</v>
      </c>
      <c r="F1" s="69" t="s">
        <v>5</v>
      </c>
      <c r="G1" s="68" t="s">
        <v>6</v>
      </c>
      <c r="H1" s="70" t="s">
        <v>7</v>
      </c>
      <c r="I1" s="71" t="s">
        <v>8</v>
      </c>
      <c r="J1" s="68" t="s">
        <v>9</v>
      </c>
      <c r="K1" s="71" t="s">
        <v>10</v>
      </c>
      <c r="L1" s="68" t="s">
        <v>11</v>
      </c>
      <c r="M1" s="68" t="s">
        <v>48</v>
      </c>
      <c r="N1" s="36" t="s">
        <v>49</v>
      </c>
      <c r="O1" s="36" t="s">
        <v>50</v>
      </c>
      <c r="P1" s="36" t="s">
        <v>51</v>
      </c>
      <c r="Q1" s="36" t="s">
        <v>16</v>
      </c>
      <c r="R1" s="36" t="s">
        <v>17</v>
      </c>
      <c r="S1" s="36" t="s">
        <v>52</v>
      </c>
      <c r="T1" s="36" t="s">
        <v>53</v>
      </c>
      <c r="U1" s="7"/>
      <c r="V1" s="7"/>
      <c r="W1" s="7"/>
      <c r="X1" s="7"/>
      <c r="Y1" s="7"/>
      <c r="Z1" s="7"/>
      <c r="AA1" s="7"/>
      <c r="AB1" s="7"/>
    </row>
    <row r="2" spans="1:28" ht="15.75" customHeight="1">
      <c r="A2" s="72" t="s">
        <v>54</v>
      </c>
      <c r="B2" s="5">
        <v>0</v>
      </c>
      <c r="C2" s="5">
        <v>0</v>
      </c>
      <c r="D2" s="9">
        <v>42992</v>
      </c>
      <c r="E2" s="10">
        <v>395.6</v>
      </c>
      <c r="F2" s="11" t="s">
        <v>21</v>
      </c>
      <c r="G2" s="12">
        <f>AVERAGE(F3,F4,F5,F10)</f>
        <v>5.1875000000000027</v>
      </c>
      <c r="H2" s="12">
        <f>AVERAGE(G20,G110,G212,G314,G424,G531,G643,G752,G861,G974)</f>
        <v>5.9360366161616165</v>
      </c>
      <c r="I2" s="13">
        <v>93</v>
      </c>
      <c r="J2" s="14">
        <f t="shared" ref="J2:J5" si="0">(I2-I3)/(D3-D2)</f>
        <v>34.4</v>
      </c>
      <c r="K2" s="13">
        <v>26</v>
      </c>
      <c r="L2" s="15">
        <f>AVERAGE(K51,K141,K243,K345,K455,K562,K674,K783,K892,K1005)</f>
        <v>41.65</v>
      </c>
      <c r="M2" s="14">
        <f>((L2/1000)*5)/(H2-'Water Controls'!H2 )</f>
        <v>6.2540327794424644E-2</v>
      </c>
      <c r="N2" s="7">
        <f>(M2*2000)/1000</f>
        <v>0.12508065558884929</v>
      </c>
      <c r="O2" s="7"/>
      <c r="P2" s="7">
        <f>SUM(O2:O13)-104.4</f>
        <v>244.09999999999988</v>
      </c>
      <c r="Q2" s="6" t="s">
        <v>56</v>
      </c>
      <c r="R2" s="6" t="s">
        <v>56</v>
      </c>
      <c r="S2" s="74">
        <f>I2-I6</f>
        <v>53.4</v>
      </c>
      <c r="T2" s="7"/>
      <c r="U2" s="7">
        <f>SUM(T2:T3)</f>
        <v>1178.4760000000003</v>
      </c>
      <c r="V2" s="7"/>
      <c r="W2" s="7"/>
      <c r="X2" s="7"/>
      <c r="Y2" s="7"/>
      <c r="Z2" s="7"/>
      <c r="AA2" s="7"/>
      <c r="AB2" s="7"/>
    </row>
    <row r="3" spans="1:28" ht="15.75" customHeight="1">
      <c r="A3" s="5" t="s">
        <v>23</v>
      </c>
      <c r="B3" s="5">
        <v>0</v>
      </c>
      <c r="C3" s="5">
        <v>0</v>
      </c>
      <c r="D3" s="9">
        <v>42993</v>
      </c>
      <c r="E3" s="10">
        <v>391</v>
      </c>
      <c r="F3" s="12">
        <f>E2-E3</f>
        <v>4.6000000000000227</v>
      </c>
      <c r="G3" s="14"/>
      <c r="H3" s="14"/>
      <c r="I3" s="13">
        <v>58.6</v>
      </c>
      <c r="J3" s="16">
        <f t="shared" si="0"/>
        <v>4.0333333333333341</v>
      </c>
      <c r="K3" s="13">
        <v>25.3</v>
      </c>
      <c r="L3" s="14"/>
      <c r="M3" s="14"/>
      <c r="N3" s="7"/>
      <c r="O3" s="75">
        <f>E7-E10</f>
        <v>29.599999999999966</v>
      </c>
      <c r="P3" s="7"/>
      <c r="Q3" s="7">
        <f>SUM(P2,P91,P194,P296,P406)</f>
        <v>1107.8999999999996</v>
      </c>
      <c r="R3" s="7">
        <f>SUM(P513,P625,P734,P842,P956)</f>
        <v>1528.1000000000001</v>
      </c>
      <c r="S3" s="73">
        <f>I7-I20</f>
        <v>63.2</v>
      </c>
      <c r="T3" s="7">
        <f>SUM(S3:S7)*5.24</f>
        <v>1178.4760000000003</v>
      </c>
      <c r="U3" s="7"/>
      <c r="V3" s="7"/>
      <c r="W3" s="7"/>
      <c r="X3" s="7"/>
      <c r="Y3" s="7"/>
      <c r="Z3" s="7"/>
      <c r="AA3" s="7"/>
      <c r="AB3" s="7"/>
    </row>
    <row r="4" spans="1:28" ht="15.75" customHeight="1">
      <c r="A4" s="14"/>
      <c r="B4" s="5">
        <v>0</v>
      </c>
      <c r="C4" s="5">
        <v>0</v>
      </c>
      <c r="D4" s="9">
        <v>42996</v>
      </c>
      <c r="E4" s="10">
        <v>373.6</v>
      </c>
      <c r="F4" s="12">
        <f t="shared" ref="F4:F6" si="1">(E3-E4)/(D4-D3)</f>
        <v>5.7999999999999927</v>
      </c>
      <c r="G4" s="14"/>
      <c r="H4" s="14"/>
      <c r="I4" s="13">
        <v>46.5</v>
      </c>
      <c r="J4" s="14">
        <f t="shared" si="0"/>
        <v>2.25</v>
      </c>
      <c r="K4" s="13">
        <v>26.7</v>
      </c>
      <c r="L4" s="14"/>
      <c r="M4" s="14"/>
      <c r="N4" s="7"/>
      <c r="O4" s="75">
        <f>E11-E14</f>
        <v>43.599999999999966</v>
      </c>
      <c r="P4" s="7"/>
      <c r="Q4" s="7"/>
      <c r="R4" s="7"/>
      <c r="S4" s="73">
        <f>54.1-I25</f>
        <v>30.8</v>
      </c>
      <c r="T4" s="7"/>
      <c r="U4" s="7"/>
      <c r="V4" s="7"/>
      <c r="W4" s="7"/>
      <c r="X4" s="7"/>
      <c r="Y4" s="7"/>
      <c r="Z4" s="7"/>
      <c r="AA4" s="7"/>
      <c r="AB4" s="7"/>
    </row>
    <row r="5" spans="1:28" ht="15.75" customHeight="1">
      <c r="A5" s="14"/>
      <c r="B5" s="5">
        <v>0</v>
      </c>
      <c r="C5" s="5">
        <v>0</v>
      </c>
      <c r="D5" s="9">
        <v>42998</v>
      </c>
      <c r="E5" s="10">
        <v>361.1</v>
      </c>
      <c r="F5" s="12">
        <f t="shared" si="1"/>
        <v>6.25</v>
      </c>
      <c r="G5" s="14"/>
      <c r="H5" s="14"/>
      <c r="I5" s="13">
        <v>42</v>
      </c>
      <c r="J5" s="14">
        <f t="shared" si="0"/>
        <v>2.3999999999999986</v>
      </c>
      <c r="K5" s="13">
        <v>22.8</v>
      </c>
      <c r="L5" s="14"/>
      <c r="M5" s="14"/>
      <c r="N5" s="7"/>
      <c r="O5" s="75">
        <f>E15-E18</f>
        <v>28.899999999999977</v>
      </c>
      <c r="P5" s="7"/>
      <c r="Q5" s="7"/>
      <c r="R5" s="7"/>
      <c r="S5" s="73">
        <f>51.4-I29</f>
        <v>20.7</v>
      </c>
      <c r="T5" s="7"/>
      <c r="U5" s="7"/>
      <c r="V5" s="7"/>
      <c r="W5" s="7"/>
      <c r="X5" s="7"/>
      <c r="Y5" s="7"/>
      <c r="Z5" s="7"/>
      <c r="AA5" s="7"/>
      <c r="AB5" s="7"/>
    </row>
    <row r="6" spans="1:28" ht="15.75" customHeight="1">
      <c r="A6" s="14"/>
      <c r="B6" s="5">
        <v>0</v>
      </c>
      <c r="C6" s="5">
        <v>0</v>
      </c>
      <c r="D6" s="17">
        <v>42999</v>
      </c>
      <c r="E6" s="10">
        <v>353</v>
      </c>
      <c r="F6" s="12">
        <f t="shared" si="1"/>
        <v>8.1000000000000227</v>
      </c>
      <c r="G6" s="14"/>
      <c r="H6" s="14"/>
      <c r="I6" s="13">
        <v>39.6</v>
      </c>
      <c r="J6" s="14">
        <f>(I5-I6)/(D6-D5)</f>
        <v>2.3999999999999986</v>
      </c>
      <c r="K6" s="13">
        <v>23.2</v>
      </c>
      <c r="L6" s="14"/>
      <c r="M6" s="14"/>
      <c r="N6" s="7"/>
      <c r="O6" s="75">
        <f>E19-E22</f>
        <v>43.199999999999989</v>
      </c>
      <c r="P6" s="7"/>
      <c r="Q6" s="7"/>
      <c r="R6" s="7"/>
      <c r="S6" s="73">
        <f>108.2-I44</f>
        <v>70.400000000000006</v>
      </c>
      <c r="T6" s="7"/>
      <c r="U6" s="7"/>
      <c r="V6" s="7"/>
      <c r="W6" s="7"/>
      <c r="X6" s="7"/>
      <c r="Y6" s="7"/>
      <c r="Z6" s="7"/>
      <c r="AA6" s="7"/>
      <c r="AB6" s="7"/>
    </row>
    <row r="7" spans="1:28" ht="15.75" customHeight="1">
      <c r="A7" s="14"/>
      <c r="B7" s="5">
        <v>0.5</v>
      </c>
      <c r="C7" s="5">
        <v>0</v>
      </c>
      <c r="D7" s="17">
        <v>42999</v>
      </c>
      <c r="E7" s="10">
        <v>383.4</v>
      </c>
      <c r="F7" s="12"/>
      <c r="G7" s="14"/>
      <c r="H7" s="14"/>
      <c r="I7" s="13">
        <v>87.2</v>
      </c>
      <c r="J7" s="14"/>
      <c r="K7" s="13"/>
      <c r="L7" s="14"/>
      <c r="M7" s="14"/>
      <c r="N7" s="7"/>
      <c r="O7" s="75">
        <f>E23-E26</f>
        <v>33.100000000000023</v>
      </c>
      <c r="P7" s="7"/>
      <c r="Q7" s="7"/>
      <c r="R7" s="7"/>
      <c r="S7" s="73">
        <f>67.2-I55</f>
        <v>39.800000000000004</v>
      </c>
      <c r="T7" s="7"/>
      <c r="U7" s="7"/>
      <c r="V7" s="7"/>
      <c r="W7" s="7"/>
      <c r="X7" s="7"/>
      <c r="Y7" s="7"/>
      <c r="Z7" s="7"/>
      <c r="AA7" s="7"/>
      <c r="AB7" s="7"/>
    </row>
    <row r="8" spans="1:28" ht="15.75" customHeight="1">
      <c r="A8" s="14"/>
      <c r="B8" s="5">
        <v>0.5</v>
      </c>
      <c r="C8" s="5">
        <f t="shared" ref="C8:C63" si="2">D8-$D$7</f>
        <v>1</v>
      </c>
      <c r="D8" s="17">
        <v>43000</v>
      </c>
      <c r="E8" s="10">
        <v>378.1</v>
      </c>
      <c r="F8" s="12">
        <f t="shared" ref="F8:F10" si="3">(E7-E8)/(D8-D7)</f>
        <v>5.2999999999999545</v>
      </c>
      <c r="G8" s="14"/>
      <c r="H8" s="14"/>
      <c r="I8" s="13">
        <v>83.2</v>
      </c>
      <c r="J8" s="15">
        <f t="shared" ref="J8:J10" si="4">(I7-I8)/(D8-D7)</f>
        <v>4</v>
      </c>
      <c r="K8" s="13">
        <v>24.9</v>
      </c>
      <c r="L8" s="14"/>
      <c r="M8" s="14"/>
      <c r="N8" s="7"/>
      <c r="O8" s="75">
        <f>E27-E30</f>
        <v>39.299999999999955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5.75" customHeight="1">
      <c r="A9" s="14"/>
      <c r="B9" s="5">
        <v>0.5</v>
      </c>
      <c r="C9" s="5">
        <f t="shared" si="2"/>
        <v>4</v>
      </c>
      <c r="D9" s="9">
        <v>43003</v>
      </c>
      <c r="E9" s="10">
        <v>362</v>
      </c>
      <c r="F9" s="12">
        <f t="shared" si="3"/>
        <v>5.3666666666666742</v>
      </c>
      <c r="G9" s="14"/>
      <c r="H9" s="14"/>
      <c r="I9" s="13">
        <v>72.7</v>
      </c>
      <c r="J9" s="14">
        <f t="shared" si="4"/>
        <v>3.5</v>
      </c>
      <c r="K9" s="13">
        <v>27.2</v>
      </c>
      <c r="L9" s="14"/>
      <c r="M9" s="14"/>
      <c r="N9" s="7"/>
      <c r="O9" s="75">
        <f>E31-E34</f>
        <v>26.899999999999977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5.75" customHeight="1">
      <c r="A10" s="14"/>
      <c r="B10" s="5">
        <v>0.5</v>
      </c>
      <c r="C10" s="5">
        <f t="shared" si="2"/>
        <v>6</v>
      </c>
      <c r="D10" s="9">
        <v>43005</v>
      </c>
      <c r="E10" s="10">
        <v>353.8</v>
      </c>
      <c r="F10" s="12">
        <f t="shared" si="3"/>
        <v>4.0999999999999943</v>
      </c>
      <c r="G10" s="14"/>
      <c r="H10" s="14"/>
      <c r="I10" s="13">
        <v>66.7</v>
      </c>
      <c r="J10" s="15">
        <f t="shared" si="4"/>
        <v>3</v>
      </c>
      <c r="K10" s="18">
        <v>27.2</v>
      </c>
      <c r="L10" s="14"/>
      <c r="M10" s="14"/>
      <c r="N10" s="7"/>
      <c r="O10" s="75">
        <f>E35-E41</f>
        <v>1.4000000000000341</v>
      </c>
      <c r="P10" s="7"/>
      <c r="Q10" s="7"/>
      <c r="R10" s="7"/>
      <c r="S10" s="36" t="s">
        <v>25</v>
      </c>
      <c r="T10" s="7">
        <f>AVERAGE(T3,T92,T195,T297,T407,T514,T626,T735,T843,T956)</f>
        <v>1406.2063999999998</v>
      </c>
      <c r="U10" s="7"/>
      <c r="V10" s="7"/>
      <c r="W10" s="7"/>
      <c r="X10" s="7"/>
      <c r="Y10" s="7"/>
      <c r="Z10" s="7"/>
      <c r="AA10" s="7"/>
      <c r="AB10" s="7"/>
    </row>
    <row r="11" spans="1:28" ht="15.75" customHeight="1">
      <c r="A11" s="14"/>
      <c r="B11" s="76">
        <v>1</v>
      </c>
      <c r="C11" s="5">
        <f t="shared" si="2"/>
        <v>6</v>
      </c>
      <c r="D11" s="77">
        <v>43005</v>
      </c>
      <c r="E11" s="78">
        <v>312.7</v>
      </c>
      <c r="F11" s="79"/>
      <c r="G11" s="80"/>
      <c r="H11" s="80"/>
      <c r="I11" s="81" t="s">
        <v>57</v>
      </c>
      <c r="J11" s="14"/>
      <c r="K11" s="13"/>
      <c r="L11" s="14"/>
      <c r="M11" s="14"/>
      <c r="N11" s="7"/>
      <c r="O11" s="75">
        <f>E42-E47</f>
        <v>37.100000000000023</v>
      </c>
      <c r="P11" s="7"/>
      <c r="Q11" s="7"/>
      <c r="R11" s="7"/>
      <c r="S11" s="36" t="s">
        <v>44</v>
      </c>
      <c r="T11" s="7">
        <f>STDEV(3,T92,T195,T297,T407,T514,T626,T735,T843,T956)/SQRT(10)</f>
        <v>203.19485064783387</v>
      </c>
      <c r="U11" s="7"/>
      <c r="V11" s="7"/>
      <c r="W11" s="7"/>
      <c r="X11" s="7"/>
      <c r="Y11" s="7"/>
      <c r="Z11" s="7"/>
      <c r="AA11" s="7"/>
      <c r="AB11" s="7"/>
    </row>
    <row r="12" spans="1:28" ht="15.75" customHeight="1">
      <c r="A12" s="14"/>
      <c r="B12" s="5">
        <v>1</v>
      </c>
      <c r="C12" s="5">
        <f t="shared" si="2"/>
        <v>8</v>
      </c>
      <c r="D12" s="9">
        <v>43007</v>
      </c>
      <c r="E12" s="10">
        <v>300.89999999999998</v>
      </c>
      <c r="F12" s="12">
        <f t="shared" ref="F12:F14" si="5">(E11-E12)/(D12-D11)</f>
        <v>5.9000000000000057</v>
      </c>
      <c r="G12" s="14"/>
      <c r="H12" s="14"/>
      <c r="I12" s="13">
        <v>62.1</v>
      </c>
      <c r="J12" s="14">
        <f>(I10-I12)/(D12-D10)</f>
        <v>2.3000000000000007</v>
      </c>
      <c r="K12" s="13">
        <v>27.3</v>
      </c>
      <c r="L12" s="14"/>
      <c r="M12" s="14"/>
      <c r="N12" s="7"/>
      <c r="O12" s="75">
        <f>E48-E51</f>
        <v>34.5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5.75" customHeight="1">
      <c r="A13" s="14"/>
      <c r="B13" s="5">
        <v>1</v>
      </c>
      <c r="C13" s="5">
        <f t="shared" si="2"/>
        <v>11</v>
      </c>
      <c r="D13" s="19">
        <v>43010</v>
      </c>
      <c r="E13" s="11">
        <v>285.60000000000002</v>
      </c>
      <c r="F13" s="12">
        <f t="shared" si="5"/>
        <v>5.0999999999999845</v>
      </c>
      <c r="G13" s="14"/>
      <c r="H13" s="14"/>
      <c r="I13" s="13">
        <v>54</v>
      </c>
      <c r="J13" s="14">
        <f t="shared" ref="J13:J14" si="6">(I12-I13)/(D13-D12)</f>
        <v>2.7000000000000006</v>
      </c>
      <c r="K13" s="13">
        <v>27.7</v>
      </c>
      <c r="L13" s="14"/>
      <c r="M13" s="14"/>
      <c r="N13" s="7"/>
      <c r="O13" s="75">
        <f>E52-E55</f>
        <v>30.899999999999977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5.75" customHeight="1">
      <c r="A14" s="14"/>
      <c r="B14" s="5">
        <v>1</v>
      </c>
      <c r="C14" s="5">
        <f t="shared" si="2"/>
        <v>13</v>
      </c>
      <c r="D14" s="19">
        <v>43012</v>
      </c>
      <c r="E14" s="11">
        <v>269.10000000000002</v>
      </c>
      <c r="F14" s="12">
        <f t="shared" si="5"/>
        <v>8.25</v>
      </c>
      <c r="G14" s="14"/>
      <c r="H14" s="14"/>
      <c r="I14" s="13">
        <v>48.9</v>
      </c>
      <c r="J14" s="14">
        <f t="shared" si="6"/>
        <v>2.5500000000000007</v>
      </c>
      <c r="K14" s="13">
        <v>27.9</v>
      </c>
      <c r="L14" s="14"/>
      <c r="M14" s="1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5.75" customHeight="1">
      <c r="A15" s="14"/>
      <c r="B15" s="5">
        <v>2</v>
      </c>
      <c r="C15" s="5">
        <f t="shared" si="2"/>
        <v>14</v>
      </c>
      <c r="D15" s="20">
        <v>43013</v>
      </c>
      <c r="E15" s="11">
        <v>383.9</v>
      </c>
      <c r="F15" s="11"/>
      <c r="G15" s="14"/>
      <c r="H15" s="14"/>
      <c r="I15" s="13" t="s">
        <v>24</v>
      </c>
      <c r="J15" s="14"/>
      <c r="K15" s="13"/>
      <c r="L15" s="14"/>
      <c r="M15" s="1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5.75" customHeight="1">
      <c r="A16" s="14"/>
      <c r="B16" s="5">
        <v>2</v>
      </c>
      <c r="C16" s="5">
        <f t="shared" si="2"/>
        <v>15</v>
      </c>
      <c r="D16" s="20">
        <v>43014</v>
      </c>
      <c r="E16" s="11">
        <v>377.7</v>
      </c>
      <c r="F16" s="12">
        <f t="shared" ref="F16:F18" si="7">(E15-E16)/(D16-D15)</f>
        <v>6.1999999999999886</v>
      </c>
      <c r="G16" s="14"/>
      <c r="H16" s="14"/>
      <c r="I16" s="13">
        <v>43.8</v>
      </c>
      <c r="J16" s="14">
        <f>(I14-I16)/(D16-D14)</f>
        <v>2.5500000000000007</v>
      </c>
      <c r="K16" s="13">
        <v>28.5</v>
      </c>
      <c r="L16" s="14"/>
      <c r="M16" s="1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5.75" customHeight="1">
      <c r="A17" s="14"/>
      <c r="B17" s="5">
        <v>2</v>
      </c>
      <c r="C17" s="5">
        <f t="shared" si="2"/>
        <v>18</v>
      </c>
      <c r="D17" s="20">
        <v>43017</v>
      </c>
      <c r="E17" s="11">
        <v>364.4</v>
      </c>
      <c r="F17" s="12">
        <f t="shared" si="7"/>
        <v>4.4333333333333371</v>
      </c>
      <c r="G17" s="14"/>
      <c r="H17" s="14"/>
      <c r="I17" s="13">
        <v>35.200000000000003</v>
      </c>
      <c r="J17" s="16">
        <f t="shared" ref="J17:J18" si="8">(I16-I17)/(D17-D16)</f>
        <v>2.8666666666666649</v>
      </c>
      <c r="K17" s="13">
        <v>29.6</v>
      </c>
      <c r="L17" s="14"/>
      <c r="M17" s="1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5.75" customHeight="1">
      <c r="A18" s="14"/>
      <c r="B18" s="5">
        <v>2</v>
      </c>
      <c r="C18" s="5">
        <f t="shared" si="2"/>
        <v>20</v>
      </c>
      <c r="D18" s="20">
        <v>43019</v>
      </c>
      <c r="E18" s="11">
        <v>355</v>
      </c>
      <c r="F18" s="12">
        <f t="shared" si="7"/>
        <v>4.6999999999999886</v>
      </c>
      <c r="G18" s="14"/>
      <c r="H18" s="14"/>
      <c r="I18" s="13">
        <v>29.7</v>
      </c>
      <c r="J18" s="14">
        <f t="shared" si="8"/>
        <v>2.7500000000000018</v>
      </c>
      <c r="K18" s="13">
        <v>30.2</v>
      </c>
      <c r="L18" s="14"/>
      <c r="M18" s="1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5.75" customHeight="1">
      <c r="A19" s="14"/>
      <c r="B19" s="5">
        <v>3</v>
      </c>
      <c r="C19" s="5">
        <f t="shared" si="2"/>
        <v>21</v>
      </c>
      <c r="D19" s="20">
        <v>43020</v>
      </c>
      <c r="E19" s="11">
        <v>338</v>
      </c>
      <c r="F19" s="12"/>
      <c r="G19" s="14"/>
      <c r="H19" s="14"/>
      <c r="I19" s="13"/>
      <c r="J19" s="14"/>
      <c r="K19" s="13"/>
      <c r="L19" s="14"/>
      <c r="M19" s="1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5.75" customHeight="1">
      <c r="A20" s="14"/>
      <c r="B20" s="5">
        <v>3</v>
      </c>
      <c r="C20" s="5">
        <f t="shared" si="2"/>
        <v>22</v>
      </c>
      <c r="D20" s="20">
        <f>D18+2</f>
        <v>43021</v>
      </c>
      <c r="E20" s="11">
        <v>328.7</v>
      </c>
      <c r="F20" s="12">
        <f>(E19-E20)-(D20-D19)</f>
        <v>8.3000000000000114</v>
      </c>
      <c r="G20" s="12">
        <f>AVERAGE(F8:F51)</f>
        <v>5.9630208333333323</v>
      </c>
      <c r="H20" s="14"/>
      <c r="I20" s="13">
        <v>24</v>
      </c>
      <c r="J20" s="14">
        <f>(I18-I20)/(D20-D18)</f>
        <v>2.8499999999999996</v>
      </c>
      <c r="K20" s="13">
        <v>30.9</v>
      </c>
      <c r="L20" s="14"/>
      <c r="M20" s="1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5.75" customHeight="1">
      <c r="A21" s="14"/>
      <c r="B21" s="5">
        <v>3</v>
      </c>
      <c r="C21" s="5">
        <f t="shared" si="2"/>
        <v>25</v>
      </c>
      <c r="D21" s="20">
        <f>D20+3</f>
        <v>43024</v>
      </c>
      <c r="E21" s="11">
        <v>311</v>
      </c>
      <c r="F21" s="12">
        <f t="shared" ref="F21:F22" si="9">(E20-E21)/(D21-D20)</f>
        <v>5.8999999999999959</v>
      </c>
      <c r="G21" s="14"/>
      <c r="H21" s="14"/>
      <c r="I21" s="13">
        <v>45.1</v>
      </c>
      <c r="J21" s="14">
        <f>(54.1-I21)/(D21-D20)</f>
        <v>3</v>
      </c>
      <c r="K21" s="13">
        <v>31.3</v>
      </c>
      <c r="L21" s="14"/>
      <c r="M21" s="1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5.75" customHeight="1">
      <c r="A22" s="14"/>
      <c r="B22" s="5">
        <v>3</v>
      </c>
      <c r="C22" s="5">
        <f t="shared" si="2"/>
        <v>27</v>
      </c>
      <c r="D22" s="20">
        <f>D21+2</f>
        <v>43026</v>
      </c>
      <c r="E22" s="11">
        <v>294.8</v>
      </c>
      <c r="F22" s="12">
        <f t="shared" si="9"/>
        <v>8.0999999999999943</v>
      </c>
      <c r="G22" s="14"/>
      <c r="H22" s="14"/>
      <c r="I22" s="13">
        <v>38.9</v>
      </c>
      <c r="J22" s="14">
        <f>(I21-I22)/(D22-D21)</f>
        <v>3.1000000000000014</v>
      </c>
      <c r="K22" s="13">
        <v>31.8</v>
      </c>
      <c r="L22" s="14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5.75" customHeight="1">
      <c r="A23" s="14"/>
      <c r="B23" s="5">
        <v>4</v>
      </c>
      <c r="C23" s="5">
        <f t="shared" si="2"/>
        <v>28</v>
      </c>
      <c r="D23" s="20">
        <v>43027</v>
      </c>
      <c r="E23" s="11">
        <v>378.1</v>
      </c>
      <c r="F23" s="12"/>
      <c r="G23" s="14"/>
      <c r="H23" s="14"/>
      <c r="I23" s="15"/>
      <c r="J23" s="14"/>
      <c r="K23" s="15"/>
      <c r="L23" s="14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5.75" customHeight="1">
      <c r="A24" s="14"/>
      <c r="B24" s="5">
        <v>4</v>
      </c>
      <c r="C24" s="5">
        <f t="shared" si="2"/>
        <v>29</v>
      </c>
      <c r="D24" s="20">
        <f>D22+2</f>
        <v>43028</v>
      </c>
      <c r="E24" s="11">
        <v>371.7</v>
      </c>
      <c r="F24" s="12">
        <f t="shared" ref="F24:F26" si="10">(E23-E24)/(D24-D23)</f>
        <v>6.4000000000000341</v>
      </c>
      <c r="G24" s="14"/>
      <c r="H24" s="14"/>
      <c r="I24" s="13">
        <v>32.6</v>
      </c>
      <c r="J24" s="14">
        <f>(I22-I24)/(D24-D22)</f>
        <v>3.1499999999999986</v>
      </c>
      <c r="K24" s="13">
        <v>32</v>
      </c>
      <c r="L24" s="14"/>
      <c r="M24" s="1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5.75" customHeight="1">
      <c r="A25" s="14"/>
      <c r="B25" s="5">
        <v>4</v>
      </c>
      <c r="C25" s="5">
        <f t="shared" si="2"/>
        <v>32</v>
      </c>
      <c r="D25" s="20">
        <v>43031</v>
      </c>
      <c r="E25" s="11">
        <v>355.9</v>
      </c>
      <c r="F25" s="12">
        <f t="shared" si="10"/>
        <v>5.2666666666666702</v>
      </c>
      <c r="G25" s="14"/>
      <c r="H25" s="14"/>
      <c r="I25" s="13">
        <v>23.3</v>
      </c>
      <c r="J25" s="14">
        <f>(I24-I25)/(D25-D24)</f>
        <v>3.1</v>
      </c>
      <c r="K25" s="13">
        <v>32.6</v>
      </c>
      <c r="L25" s="14"/>
      <c r="M25" s="1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5.75" customHeight="1">
      <c r="A26" s="14"/>
      <c r="B26" s="5">
        <v>4</v>
      </c>
      <c r="C26" s="5">
        <f t="shared" si="2"/>
        <v>34</v>
      </c>
      <c r="D26" s="20">
        <v>43033</v>
      </c>
      <c r="E26" s="11">
        <v>345</v>
      </c>
      <c r="F26" s="12">
        <f t="shared" si="10"/>
        <v>5.4499999999999886</v>
      </c>
      <c r="G26" s="14"/>
      <c r="H26" s="14"/>
      <c r="I26" s="13">
        <v>45</v>
      </c>
      <c r="J26" s="14">
        <f>(51.4-I26)/(D26-D25)</f>
        <v>3.1999999999999993</v>
      </c>
      <c r="K26" s="13">
        <v>33.1</v>
      </c>
      <c r="L26" s="14"/>
      <c r="M26" s="1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5.75" customHeight="1">
      <c r="A27" s="14"/>
      <c r="B27" s="5">
        <v>5</v>
      </c>
      <c r="C27" s="5">
        <f t="shared" si="2"/>
        <v>35</v>
      </c>
      <c r="D27" s="20">
        <v>43034</v>
      </c>
      <c r="E27" s="11">
        <v>304.89999999999998</v>
      </c>
      <c r="F27" s="12"/>
      <c r="G27" s="14"/>
      <c r="H27" s="14"/>
      <c r="I27" s="15"/>
      <c r="J27" s="14"/>
      <c r="K27" s="15"/>
      <c r="L27" s="14"/>
      <c r="M27" s="1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5.75" customHeight="1">
      <c r="A28" s="14"/>
      <c r="B28" s="5">
        <v>5</v>
      </c>
      <c r="C28" s="5">
        <f t="shared" si="2"/>
        <v>36</v>
      </c>
      <c r="D28" s="20">
        <v>43035</v>
      </c>
      <c r="E28" s="11">
        <v>299</v>
      </c>
      <c r="F28" s="12">
        <f t="shared" ref="F28:F30" si="11">(E27-E28)/(D28-D27)</f>
        <v>5.8999999999999773</v>
      </c>
      <c r="G28" s="14"/>
      <c r="H28" s="14"/>
      <c r="I28" s="13">
        <v>39.1</v>
      </c>
      <c r="J28" s="14">
        <f>(I26-I28)/(D28-D26)</f>
        <v>2.9499999999999993</v>
      </c>
      <c r="K28" s="13">
        <v>33.799999999999997</v>
      </c>
      <c r="L28" s="14"/>
      <c r="M28" s="1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.75" customHeight="1">
      <c r="A29" s="14"/>
      <c r="B29" s="5">
        <v>5</v>
      </c>
      <c r="C29" s="5">
        <f t="shared" si="2"/>
        <v>39</v>
      </c>
      <c r="D29" s="20">
        <v>43038</v>
      </c>
      <c r="E29" s="11">
        <v>278.7</v>
      </c>
      <c r="F29" s="12">
        <f t="shared" si="11"/>
        <v>6.7666666666666702</v>
      </c>
      <c r="G29" s="14"/>
      <c r="H29" s="14"/>
      <c r="I29" s="13">
        <v>30.7</v>
      </c>
      <c r="J29" s="14">
        <f>(I28-I29)/(D29-D28)</f>
        <v>2.8000000000000007</v>
      </c>
      <c r="K29" s="13">
        <v>34.200000000000003</v>
      </c>
      <c r="L29" s="14"/>
      <c r="M29" s="1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5.75" customHeight="1">
      <c r="A30" s="14"/>
      <c r="B30" s="5">
        <v>5</v>
      </c>
      <c r="C30" s="5">
        <f t="shared" si="2"/>
        <v>41</v>
      </c>
      <c r="D30" s="20">
        <v>43040</v>
      </c>
      <c r="E30" s="11">
        <v>265.60000000000002</v>
      </c>
      <c r="F30" s="12">
        <f t="shared" si="11"/>
        <v>6.5499999999999829</v>
      </c>
      <c r="G30" s="14"/>
      <c r="H30" s="14"/>
      <c r="I30" s="13">
        <v>100.9</v>
      </c>
      <c r="J30" s="14">
        <f>(108.2-I30)/(D30-D29)</f>
        <v>3.6499999999999986</v>
      </c>
      <c r="K30" s="13">
        <v>35.700000000000003</v>
      </c>
      <c r="L30" s="14"/>
      <c r="M30" s="1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5.75" customHeight="1">
      <c r="A31" s="14"/>
      <c r="B31" s="5">
        <v>6</v>
      </c>
      <c r="C31" s="5">
        <f t="shared" si="2"/>
        <v>42</v>
      </c>
      <c r="D31" s="20">
        <v>43041</v>
      </c>
      <c r="E31" s="11">
        <v>318.2</v>
      </c>
      <c r="F31" s="12"/>
      <c r="G31" s="14"/>
      <c r="H31" s="14"/>
      <c r="J31" s="14"/>
      <c r="K31" s="15"/>
      <c r="L31" s="14"/>
      <c r="M31" s="1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5.75" customHeight="1">
      <c r="A32" s="14"/>
      <c r="B32" s="5">
        <v>6</v>
      </c>
      <c r="C32" s="5">
        <f t="shared" si="2"/>
        <v>43</v>
      </c>
      <c r="D32" s="20">
        <v>43042</v>
      </c>
      <c r="E32" s="11">
        <v>312.5</v>
      </c>
      <c r="F32" s="12">
        <f t="shared" ref="F32:F34" si="12">(E31-E32)/(D32-D31)</f>
        <v>5.6999999999999886</v>
      </c>
      <c r="G32" s="14"/>
      <c r="H32" s="14"/>
      <c r="I32" s="13">
        <v>94.7</v>
      </c>
      <c r="J32" s="14">
        <f>(I30-I32)/(D32-D30)</f>
        <v>3.1000000000000014</v>
      </c>
      <c r="K32" s="13">
        <v>36.4</v>
      </c>
      <c r="L32" s="14"/>
      <c r="M32" s="1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5.75" customHeight="1">
      <c r="A33" s="14"/>
      <c r="B33" s="5">
        <v>6</v>
      </c>
      <c r="C33" s="5">
        <f t="shared" si="2"/>
        <v>46</v>
      </c>
      <c r="D33" s="20">
        <v>43045</v>
      </c>
      <c r="E33" s="11">
        <v>298.8</v>
      </c>
      <c r="F33" s="12">
        <f t="shared" si="12"/>
        <v>4.5666666666666629</v>
      </c>
      <c r="G33" s="14"/>
      <c r="H33" s="14"/>
      <c r="I33" s="13">
        <v>85.3</v>
      </c>
      <c r="J33" s="16">
        <f t="shared" ref="J33:J34" si="13">(I32-I33)/(D33-D32)</f>
        <v>3.1333333333333351</v>
      </c>
      <c r="K33" s="13">
        <v>37.5</v>
      </c>
      <c r="L33" s="14"/>
      <c r="M33" s="1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5.75" customHeight="1">
      <c r="A34" s="14"/>
      <c r="B34" s="5">
        <v>6</v>
      </c>
      <c r="C34" s="5">
        <f t="shared" si="2"/>
        <v>48</v>
      </c>
      <c r="D34" s="20">
        <v>43047</v>
      </c>
      <c r="E34" s="11">
        <v>291.3</v>
      </c>
      <c r="F34" s="12">
        <f t="shared" si="12"/>
        <v>3.75</v>
      </c>
      <c r="G34" s="14"/>
      <c r="H34" s="14"/>
      <c r="I34" s="13">
        <v>78.5</v>
      </c>
      <c r="J34" s="14">
        <f t="shared" si="13"/>
        <v>3.3999999999999986</v>
      </c>
      <c r="K34" s="13">
        <v>38.299999999999997</v>
      </c>
      <c r="L34" s="14"/>
      <c r="M34" s="1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5.75" customHeight="1">
      <c r="A35" s="14"/>
      <c r="B35" s="5">
        <v>7</v>
      </c>
      <c r="C35" s="5">
        <f t="shared" si="2"/>
        <v>49</v>
      </c>
      <c r="D35" s="20">
        <v>43048</v>
      </c>
      <c r="E35" s="11">
        <v>318.8</v>
      </c>
      <c r="F35" s="12"/>
      <c r="G35" s="14"/>
      <c r="H35" s="14"/>
      <c r="J35" s="14"/>
      <c r="K35" s="15"/>
      <c r="L35" s="14"/>
      <c r="M35" s="1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.75" customHeight="1">
      <c r="A36" s="14"/>
      <c r="B36" s="5">
        <v>7</v>
      </c>
      <c r="C36" s="5">
        <f t="shared" si="2"/>
        <v>50</v>
      </c>
      <c r="D36" s="20">
        <v>43049</v>
      </c>
      <c r="E36" s="11">
        <v>310.5</v>
      </c>
      <c r="F36" s="12">
        <f t="shared" ref="F36:F37" si="14">(E35-E36)/(D36-D35)</f>
        <v>8.3000000000000114</v>
      </c>
      <c r="G36" s="14"/>
      <c r="H36" s="14"/>
      <c r="I36" s="13">
        <v>72.5</v>
      </c>
      <c r="J36" s="14">
        <f>(I34-I36)/(D36-D34)</f>
        <v>3</v>
      </c>
      <c r="K36" s="13">
        <v>38.6</v>
      </c>
      <c r="L36" s="14"/>
      <c r="M36" s="1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3.2">
      <c r="A37" s="14"/>
      <c r="B37" s="5">
        <v>7</v>
      </c>
      <c r="C37" s="5">
        <f t="shared" si="2"/>
        <v>53</v>
      </c>
      <c r="D37" s="20">
        <v>43052</v>
      </c>
      <c r="E37" s="11">
        <v>296.39999999999998</v>
      </c>
      <c r="F37" s="12">
        <f t="shared" si="14"/>
        <v>4.7000000000000073</v>
      </c>
      <c r="G37" s="14"/>
      <c r="H37" s="14"/>
      <c r="I37" s="13">
        <v>63.8</v>
      </c>
      <c r="J37" s="14">
        <f t="shared" ref="J37:J38" si="15">(I36-I37)/(D37-D36)</f>
        <v>2.9000000000000008</v>
      </c>
      <c r="K37" s="13">
        <v>39.5</v>
      </c>
      <c r="L37" s="14"/>
      <c r="M37" s="1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3.2">
      <c r="A38" s="14"/>
      <c r="B38" s="5">
        <v>7</v>
      </c>
      <c r="C38" s="5">
        <f t="shared" si="2"/>
        <v>55</v>
      </c>
      <c r="D38" s="20">
        <v>43054</v>
      </c>
      <c r="E38" s="11">
        <v>294.60000000000002</v>
      </c>
      <c r="F38" s="12"/>
      <c r="G38" s="14"/>
      <c r="H38" s="14"/>
      <c r="I38" s="13">
        <v>57.4</v>
      </c>
      <c r="J38" s="14">
        <f t="shared" si="15"/>
        <v>3.1999999999999993</v>
      </c>
      <c r="K38" s="13">
        <v>40</v>
      </c>
      <c r="L38" s="14"/>
      <c r="M38" s="1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3.2">
      <c r="A39" s="14"/>
      <c r="B39" s="5">
        <v>8</v>
      </c>
      <c r="C39" s="5">
        <f t="shared" si="2"/>
        <v>56</v>
      </c>
      <c r="D39" s="20">
        <v>43055</v>
      </c>
      <c r="E39" s="11">
        <v>346.1</v>
      </c>
      <c r="F39" s="12"/>
      <c r="G39" s="14"/>
      <c r="H39" s="14"/>
      <c r="I39" s="15"/>
      <c r="J39" s="14"/>
      <c r="K39" s="15"/>
      <c r="L39" s="14"/>
      <c r="M39" s="1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3.2">
      <c r="A40" s="14"/>
      <c r="B40" s="5">
        <v>8</v>
      </c>
      <c r="C40" s="5">
        <f t="shared" si="2"/>
        <v>57</v>
      </c>
      <c r="D40" s="20">
        <v>43056</v>
      </c>
      <c r="E40" s="11">
        <v>334.1</v>
      </c>
      <c r="F40" s="12">
        <f t="shared" ref="F40:F41" si="16">(E39-E40)/(D40-D39)</f>
        <v>12</v>
      </c>
      <c r="G40" s="14"/>
      <c r="H40" s="14"/>
      <c r="I40" s="13">
        <v>52.3</v>
      </c>
      <c r="J40" s="14">
        <f>(I38-I40)/(D40-D38)</f>
        <v>2.5500000000000007</v>
      </c>
      <c r="K40" s="13">
        <v>40.1</v>
      </c>
      <c r="L40" s="14"/>
      <c r="M40" s="1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3.2">
      <c r="A41" s="14"/>
      <c r="B41" s="5">
        <v>8</v>
      </c>
      <c r="C41" s="5">
        <f t="shared" si="2"/>
        <v>60</v>
      </c>
      <c r="D41" s="20">
        <v>43059</v>
      </c>
      <c r="E41" s="11">
        <v>317.39999999999998</v>
      </c>
      <c r="F41" s="12">
        <f t="shared" si="16"/>
        <v>5.5666666666666815</v>
      </c>
      <c r="G41" s="14"/>
      <c r="H41" s="14"/>
      <c r="I41" s="13">
        <v>44.2</v>
      </c>
      <c r="J41" s="14">
        <f>(I40-I41)/(D41-D40)</f>
        <v>2.699999999999998</v>
      </c>
      <c r="K41" s="13">
        <v>40.6</v>
      </c>
      <c r="L41" s="14"/>
      <c r="M41" s="1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3.2">
      <c r="A42" s="14"/>
      <c r="B42" s="5">
        <v>8</v>
      </c>
      <c r="C42" s="5">
        <f t="shared" si="2"/>
        <v>61</v>
      </c>
      <c r="D42" s="20">
        <v>43060</v>
      </c>
      <c r="E42" s="11">
        <v>404.6</v>
      </c>
      <c r="F42" s="12"/>
      <c r="G42" s="14"/>
      <c r="H42" s="14"/>
      <c r="I42" s="15"/>
      <c r="J42" s="14"/>
      <c r="K42" s="15"/>
      <c r="L42" s="14"/>
      <c r="M42" s="1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3.2">
      <c r="A43" s="14"/>
      <c r="B43" s="5">
        <v>9</v>
      </c>
      <c r="C43" s="5">
        <f t="shared" si="2"/>
        <v>63</v>
      </c>
      <c r="D43" s="20">
        <v>43062</v>
      </c>
      <c r="E43" s="11"/>
      <c r="F43" s="12"/>
      <c r="G43" s="14"/>
      <c r="H43" s="14"/>
      <c r="I43" s="13"/>
      <c r="J43" s="14"/>
      <c r="K43" s="13"/>
      <c r="L43" s="14"/>
      <c r="M43" s="1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.2">
      <c r="A44" s="14"/>
      <c r="B44" s="5">
        <v>9</v>
      </c>
      <c r="C44" s="5">
        <f t="shared" si="2"/>
        <v>62</v>
      </c>
      <c r="D44" s="20">
        <v>43061</v>
      </c>
      <c r="E44" s="11">
        <v>398.1</v>
      </c>
      <c r="F44" s="12">
        <f>(E42-E44)/(D44-D42)</f>
        <v>6.5</v>
      </c>
      <c r="G44" s="14"/>
      <c r="H44" s="14"/>
      <c r="I44" s="13">
        <v>37.799999999999997</v>
      </c>
      <c r="J44" s="14">
        <f>(I41-I44)/(D44-D41)</f>
        <v>3.2000000000000028</v>
      </c>
      <c r="K44" s="13">
        <v>41.6</v>
      </c>
      <c r="L44" s="14"/>
      <c r="M44" s="1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3.2">
      <c r="A45" s="14"/>
      <c r="B45" s="5">
        <v>9</v>
      </c>
      <c r="C45" s="5">
        <f t="shared" si="2"/>
        <v>64</v>
      </c>
      <c r="D45" s="20">
        <v>43063</v>
      </c>
      <c r="E45" s="11">
        <v>389.2</v>
      </c>
      <c r="F45" s="12">
        <f t="shared" ref="F45:F47" si="17">(E44-E45)/(D45-D44)</f>
        <v>4.4500000000000171</v>
      </c>
      <c r="G45" s="14"/>
      <c r="H45" s="14"/>
      <c r="I45" s="13">
        <v>60.2</v>
      </c>
      <c r="J45" s="14">
        <f>(67.2-I45)/(D44-D42)</f>
        <v>7</v>
      </c>
      <c r="K45" s="13">
        <v>42.5</v>
      </c>
      <c r="L45" s="14"/>
      <c r="M45" s="1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.2">
      <c r="A46" s="14"/>
      <c r="B46" s="5">
        <v>9</v>
      </c>
      <c r="C46" s="5">
        <f t="shared" si="2"/>
        <v>67</v>
      </c>
      <c r="D46" s="20">
        <v>43066</v>
      </c>
      <c r="E46" s="11">
        <v>375.3</v>
      </c>
      <c r="F46" s="12">
        <f t="shared" si="17"/>
        <v>4.6333333333333258</v>
      </c>
      <c r="G46" s="14"/>
      <c r="H46" s="14"/>
      <c r="I46" s="13">
        <v>50.4</v>
      </c>
      <c r="J46" s="16">
        <f t="shared" ref="J46:J47" si="18">(I45-I46)/(D46-D45)</f>
        <v>3.2666666666666679</v>
      </c>
      <c r="K46" s="13">
        <v>43.1</v>
      </c>
      <c r="L46" s="14"/>
      <c r="M46" s="1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3.2">
      <c r="A47" s="14"/>
      <c r="B47" s="5">
        <v>9</v>
      </c>
      <c r="C47" s="5">
        <f t="shared" si="2"/>
        <v>69</v>
      </c>
      <c r="D47" s="20">
        <v>43068</v>
      </c>
      <c r="E47" s="11">
        <v>367.5</v>
      </c>
      <c r="F47" s="12">
        <f t="shared" si="17"/>
        <v>3.9000000000000057</v>
      </c>
      <c r="G47" s="14"/>
      <c r="H47" s="14"/>
      <c r="I47" s="13">
        <v>44.5</v>
      </c>
      <c r="J47" s="16">
        <f t="shared" si="18"/>
        <v>2.9499999999999993</v>
      </c>
      <c r="K47" s="13">
        <v>44.2</v>
      </c>
      <c r="L47" s="14"/>
      <c r="M47" s="1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.2">
      <c r="A48" s="14"/>
      <c r="B48" s="5">
        <v>10</v>
      </c>
      <c r="C48" s="5">
        <f t="shared" si="2"/>
        <v>70</v>
      </c>
      <c r="D48" s="23">
        <v>43069</v>
      </c>
      <c r="E48" s="11">
        <v>312.7</v>
      </c>
      <c r="F48" s="12"/>
      <c r="G48" s="14"/>
      <c r="H48" s="14"/>
      <c r="I48" s="15"/>
      <c r="J48" s="14"/>
      <c r="K48" s="15"/>
      <c r="L48" s="14"/>
      <c r="M48" s="1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3.2">
      <c r="A49" s="14"/>
      <c r="B49" s="5">
        <v>10</v>
      </c>
      <c r="C49" s="5">
        <f t="shared" si="2"/>
        <v>71</v>
      </c>
      <c r="D49" s="23">
        <v>43070</v>
      </c>
      <c r="E49" s="11">
        <v>305.2</v>
      </c>
      <c r="F49" s="12">
        <f t="shared" ref="F49:F51" si="19">(E48-E49)/(D49-D48)</f>
        <v>7.5</v>
      </c>
      <c r="G49" s="14"/>
      <c r="H49" s="14"/>
      <c r="I49" s="13">
        <v>38.4</v>
      </c>
      <c r="J49" s="14">
        <f>(I47-I49)/(D49-D47)</f>
        <v>3.0500000000000007</v>
      </c>
      <c r="K49" s="13">
        <v>44.7</v>
      </c>
      <c r="L49" s="14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.2">
      <c r="A50" s="14"/>
      <c r="B50" s="5">
        <v>10</v>
      </c>
      <c r="C50" s="5">
        <f t="shared" si="2"/>
        <v>74</v>
      </c>
      <c r="D50" s="23">
        <v>43073</v>
      </c>
      <c r="E50" s="11">
        <v>291.8</v>
      </c>
      <c r="F50" s="12">
        <f t="shared" si="19"/>
        <v>4.4666666666666588</v>
      </c>
      <c r="G50" s="14"/>
      <c r="H50" s="14"/>
      <c r="I50" s="13">
        <v>54.6</v>
      </c>
      <c r="J50" s="14">
        <f>(64.4-I50)/(D50-D49)</f>
        <v>3.2666666666666679</v>
      </c>
      <c r="K50" s="13">
        <v>45.6</v>
      </c>
      <c r="L50" s="14"/>
      <c r="M50" s="1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3.2">
      <c r="A51" s="14"/>
      <c r="B51" s="5">
        <v>10</v>
      </c>
      <c r="C51" s="5">
        <f t="shared" si="2"/>
        <v>76</v>
      </c>
      <c r="D51" s="23">
        <v>43075</v>
      </c>
      <c r="E51" s="11">
        <v>278.2</v>
      </c>
      <c r="F51" s="12">
        <f t="shared" si="19"/>
        <v>6.8000000000000114</v>
      </c>
      <c r="G51" s="14"/>
      <c r="H51" s="14"/>
      <c r="I51" s="13">
        <v>48.7</v>
      </c>
      <c r="J51" s="16">
        <f>(I50-I51)/(D51-D50)</f>
        <v>2.9499999999999993</v>
      </c>
      <c r="K51" s="13">
        <v>46.1</v>
      </c>
      <c r="L51" s="14"/>
      <c r="M51" s="1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.2">
      <c r="A52" s="14"/>
      <c r="B52" s="5">
        <v>11</v>
      </c>
      <c r="C52" s="5">
        <f t="shared" si="2"/>
        <v>77</v>
      </c>
      <c r="D52" s="24">
        <v>43076</v>
      </c>
      <c r="E52" s="11">
        <v>323.7</v>
      </c>
      <c r="F52" s="12"/>
      <c r="G52" s="14"/>
      <c r="H52" s="14"/>
      <c r="I52" s="15"/>
      <c r="J52" s="14"/>
      <c r="K52" s="13"/>
      <c r="L52" s="14"/>
      <c r="M52" s="1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3.2">
      <c r="A53" s="14"/>
      <c r="B53" s="5">
        <v>11</v>
      </c>
      <c r="C53" s="5">
        <f t="shared" si="2"/>
        <v>78</v>
      </c>
      <c r="D53" s="24">
        <v>43077</v>
      </c>
      <c r="E53" s="11">
        <v>316.60000000000002</v>
      </c>
      <c r="F53" s="12">
        <f t="shared" ref="F53:F55" si="20">(E52-E53)/(D53-D52)</f>
        <v>7.0999999999999659</v>
      </c>
      <c r="G53" s="14"/>
      <c r="H53" s="14"/>
      <c r="I53" s="13">
        <v>41.9</v>
      </c>
      <c r="J53" s="14">
        <f>(I51-I53)/(D53-D51)</f>
        <v>3.4000000000000021</v>
      </c>
      <c r="K53" s="13">
        <v>47.3</v>
      </c>
      <c r="L53" s="14"/>
      <c r="M53" s="1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3.2">
      <c r="A54" s="14"/>
      <c r="B54" s="5">
        <v>11</v>
      </c>
      <c r="C54" s="5">
        <f t="shared" si="2"/>
        <v>81</v>
      </c>
      <c r="D54" s="24">
        <v>43080</v>
      </c>
      <c r="E54" s="11">
        <v>305.60000000000002</v>
      </c>
      <c r="F54" s="12">
        <f t="shared" si="20"/>
        <v>3.6666666666666665</v>
      </c>
      <c r="G54" s="14"/>
      <c r="H54" s="14"/>
      <c r="I54" s="13">
        <v>33.5</v>
      </c>
      <c r="J54" s="14">
        <f>(64.4-I54)/(D54-D53)</f>
        <v>10.300000000000002</v>
      </c>
      <c r="K54" s="13">
        <v>47.6</v>
      </c>
      <c r="L54" s="14"/>
      <c r="M54" s="1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3.2">
      <c r="A55" s="14"/>
      <c r="B55" s="5">
        <v>11</v>
      </c>
      <c r="C55" s="5">
        <f t="shared" si="2"/>
        <v>83</v>
      </c>
      <c r="D55" s="25">
        <v>43082</v>
      </c>
      <c r="E55" s="11">
        <v>292.8</v>
      </c>
      <c r="F55" s="12">
        <f t="shared" si="20"/>
        <v>6.4000000000000057</v>
      </c>
      <c r="G55" s="14"/>
      <c r="H55" s="14"/>
      <c r="I55" s="13">
        <v>27.4</v>
      </c>
      <c r="J55" s="16">
        <f>(I54-I55)/(D55-D54)</f>
        <v>3.0500000000000007</v>
      </c>
      <c r="K55" s="13">
        <v>48.2</v>
      </c>
      <c r="L55" s="14"/>
      <c r="M55" s="1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3.2">
      <c r="A56" s="14"/>
      <c r="B56" s="5">
        <v>12</v>
      </c>
      <c r="C56" s="5">
        <f t="shared" si="2"/>
        <v>84</v>
      </c>
      <c r="D56" s="24">
        <v>43083</v>
      </c>
      <c r="E56" s="12"/>
      <c r="F56" s="12"/>
      <c r="G56" s="14"/>
      <c r="H56" s="14"/>
      <c r="I56" s="15"/>
      <c r="J56" s="14"/>
      <c r="K56" s="13"/>
      <c r="L56" s="14"/>
      <c r="M56" s="1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3.2">
      <c r="A57" s="76" t="s">
        <v>28</v>
      </c>
      <c r="B57" s="76">
        <v>12</v>
      </c>
      <c r="C57" s="76">
        <f t="shared" si="2"/>
        <v>85</v>
      </c>
      <c r="D57" s="90">
        <v>43084</v>
      </c>
      <c r="E57" s="91"/>
      <c r="F57" s="91"/>
      <c r="G57" s="80"/>
      <c r="H57" s="80"/>
      <c r="I57" s="92"/>
      <c r="J57" s="80"/>
      <c r="K57" s="81">
        <v>47.7</v>
      </c>
      <c r="L57" s="80"/>
      <c r="M57" s="80"/>
      <c r="N57" s="93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3.2">
      <c r="A58" s="14"/>
      <c r="B58" s="5">
        <v>12</v>
      </c>
      <c r="C58" s="5">
        <f t="shared" si="2"/>
        <v>98</v>
      </c>
      <c r="D58" s="32">
        <v>43097</v>
      </c>
      <c r="E58" s="12"/>
      <c r="F58" s="12"/>
      <c r="G58" s="14"/>
      <c r="H58" s="14"/>
      <c r="I58" s="33">
        <v>86.3</v>
      </c>
      <c r="J58" s="14"/>
      <c r="K58" s="33">
        <v>49.7</v>
      </c>
      <c r="L58" s="14"/>
      <c r="M58" s="1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3.2">
      <c r="A59" s="14"/>
      <c r="B59" s="5">
        <v>12</v>
      </c>
      <c r="C59" s="5">
        <f t="shared" si="2"/>
        <v>105</v>
      </c>
      <c r="D59" s="32">
        <v>43104</v>
      </c>
      <c r="E59" s="12"/>
      <c r="F59" s="12"/>
      <c r="G59" s="14"/>
      <c r="H59" s="14"/>
      <c r="I59" s="33">
        <v>63.5</v>
      </c>
      <c r="J59" s="14"/>
      <c r="K59" s="33">
        <v>51.7</v>
      </c>
      <c r="L59" s="14"/>
      <c r="M59" s="1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3.2">
      <c r="A60" s="14"/>
      <c r="B60" s="14"/>
      <c r="C60" s="5">
        <f t="shared" si="2"/>
        <v>112</v>
      </c>
      <c r="D60" s="32">
        <v>43111</v>
      </c>
      <c r="E60" s="12"/>
      <c r="F60" s="12"/>
      <c r="G60" s="14"/>
      <c r="H60" s="14"/>
      <c r="I60" s="33">
        <v>43.7</v>
      </c>
      <c r="J60" s="14"/>
      <c r="K60" s="33">
        <v>52.3</v>
      </c>
      <c r="L60" s="14"/>
      <c r="M60" s="1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3.2">
      <c r="A61" s="14"/>
      <c r="B61" s="14"/>
      <c r="C61" s="5">
        <f t="shared" si="2"/>
        <v>116</v>
      </c>
      <c r="D61" s="94">
        <v>43115</v>
      </c>
      <c r="E61" s="12"/>
      <c r="F61" s="12"/>
      <c r="G61" s="14"/>
      <c r="H61" s="14"/>
      <c r="I61" s="33"/>
      <c r="J61" s="14"/>
      <c r="K61" s="33"/>
      <c r="L61" s="14"/>
      <c r="M61" s="1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3.2">
      <c r="A62" s="14"/>
      <c r="B62" s="14"/>
      <c r="C62" s="5">
        <f t="shared" si="2"/>
        <v>117</v>
      </c>
      <c r="D62" s="32">
        <v>43116</v>
      </c>
      <c r="E62" s="12"/>
      <c r="F62" s="12"/>
      <c r="G62" s="14"/>
      <c r="H62" s="14"/>
      <c r="I62" s="33">
        <v>29.6</v>
      </c>
      <c r="J62" s="14"/>
      <c r="K62" s="33">
        <v>52.8</v>
      </c>
      <c r="L62" s="14"/>
      <c r="M62" s="1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3.2">
      <c r="A63" s="14"/>
      <c r="B63" s="14"/>
      <c r="C63" s="5">
        <f t="shared" si="2"/>
        <v>124</v>
      </c>
      <c r="D63" s="94">
        <v>43123</v>
      </c>
      <c r="E63" s="12"/>
      <c r="F63" s="12"/>
      <c r="G63" s="14"/>
      <c r="H63" s="14"/>
      <c r="I63" s="33">
        <v>37.9</v>
      </c>
      <c r="J63" s="14"/>
      <c r="K63" s="33">
        <v>53.7</v>
      </c>
      <c r="L63" s="14"/>
      <c r="M63" s="1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3.2">
      <c r="A64" s="14"/>
      <c r="C64" s="95">
        <v>131</v>
      </c>
      <c r="D64" s="34">
        <v>43130</v>
      </c>
      <c r="I64" s="36">
        <v>63.8</v>
      </c>
      <c r="K64" s="36">
        <v>54.1</v>
      </c>
      <c r="L64" s="14"/>
      <c r="M64" s="1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3.2">
      <c r="A65" s="14"/>
      <c r="C65" s="95">
        <v>138</v>
      </c>
      <c r="D65" s="34">
        <v>43137</v>
      </c>
      <c r="I65" s="96">
        <v>42</v>
      </c>
      <c r="J65" s="37"/>
      <c r="K65" s="96">
        <v>54</v>
      </c>
      <c r="L65" s="14"/>
      <c r="M65" s="14"/>
      <c r="N65" s="14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3.2">
      <c r="A66" s="14"/>
      <c r="B66" s="14"/>
      <c r="C66" s="5">
        <v>145</v>
      </c>
      <c r="D66" s="20">
        <v>43144</v>
      </c>
      <c r="E66" s="14"/>
      <c r="F66" s="12"/>
      <c r="G66" s="12"/>
      <c r="H66" s="14"/>
      <c r="I66" s="5">
        <v>20.6</v>
      </c>
      <c r="J66" s="15"/>
      <c r="K66" s="5">
        <v>54.4</v>
      </c>
      <c r="L66" s="15"/>
      <c r="M66" s="14"/>
      <c r="N66" s="14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3.2">
      <c r="A67" s="14"/>
      <c r="B67" s="14"/>
      <c r="C67" s="5">
        <v>152</v>
      </c>
      <c r="D67" s="20">
        <v>43151</v>
      </c>
      <c r="E67" s="14"/>
      <c r="F67" s="12"/>
      <c r="G67" s="12"/>
      <c r="H67" s="14"/>
      <c r="I67" s="5">
        <v>74.900000000000006</v>
      </c>
      <c r="J67" s="15"/>
      <c r="K67" s="5">
        <v>54.5</v>
      </c>
      <c r="L67" s="15"/>
      <c r="M67" s="14"/>
      <c r="N67" s="14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3.2">
      <c r="A68" s="14"/>
      <c r="B68" s="14"/>
      <c r="C68" s="5">
        <v>159</v>
      </c>
      <c r="D68" s="20">
        <v>43158</v>
      </c>
      <c r="E68" s="14"/>
      <c r="F68" s="12"/>
      <c r="G68" s="12"/>
      <c r="H68" s="14"/>
      <c r="I68" s="5">
        <v>53.1</v>
      </c>
      <c r="J68" s="15"/>
      <c r="K68" s="5">
        <v>55.1</v>
      </c>
      <c r="L68" s="15"/>
      <c r="M68" s="14"/>
      <c r="N68" s="14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3.2">
      <c r="A69" s="14"/>
      <c r="B69" s="14"/>
      <c r="C69" s="5">
        <v>166</v>
      </c>
      <c r="D69" s="20">
        <v>43165</v>
      </c>
      <c r="E69" s="14"/>
      <c r="F69" s="12"/>
      <c r="G69" s="12"/>
      <c r="H69" s="14"/>
      <c r="I69" s="5">
        <v>32.299999999999997</v>
      </c>
      <c r="J69" s="15"/>
      <c r="K69" s="5">
        <v>55.1</v>
      </c>
      <c r="L69" s="15"/>
      <c r="M69" s="14"/>
      <c r="N69" s="14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3.2">
      <c r="A70" s="14"/>
      <c r="B70" s="14"/>
      <c r="C70" s="5">
        <v>173</v>
      </c>
      <c r="D70" s="20">
        <v>43172</v>
      </c>
      <c r="E70" s="14"/>
      <c r="F70" s="12"/>
      <c r="G70" s="12"/>
      <c r="H70" s="14"/>
      <c r="I70" s="5">
        <v>26.2</v>
      </c>
      <c r="J70" s="15"/>
      <c r="K70" s="5">
        <v>56</v>
      </c>
      <c r="L70" s="15"/>
      <c r="M70" s="14"/>
      <c r="N70" s="14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3.2">
      <c r="A71" s="14"/>
      <c r="B71" s="14"/>
      <c r="C71" s="14"/>
      <c r="D71" s="14"/>
      <c r="E71" s="14"/>
      <c r="F71" s="12"/>
      <c r="G71" s="12"/>
      <c r="H71" s="14"/>
      <c r="I71" s="14"/>
      <c r="J71" s="15"/>
      <c r="K71" s="14"/>
      <c r="L71" s="15"/>
      <c r="M71" s="14"/>
      <c r="N71" s="14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39.6">
      <c r="A72" s="14"/>
      <c r="B72" s="5" t="s">
        <v>60</v>
      </c>
      <c r="C72" s="97">
        <f t="shared" ref="C72:C77" si="21">1+C71</f>
        <v>1</v>
      </c>
      <c r="D72" s="98">
        <v>43192</v>
      </c>
      <c r="E72" s="14"/>
      <c r="F72" s="12"/>
      <c r="G72" s="12"/>
      <c r="H72" s="14"/>
      <c r="I72" s="99"/>
      <c r="J72" s="15"/>
      <c r="K72" s="97">
        <v>45.9</v>
      </c>
      <c r="L72" s="15"/>
      <c r="M72" s="14"/>
      <c r="N72" s="14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3.2">
      <c r="A73" s="14"/>
      <c r="B73" s="14"/>
      <c r="C73" s="97">
        <f t="shared" si="21"/>
        <v>2</v>
      </c>
      <c r="D73" s="98">
        <v>43193</v>
      </c>
      <c r="E73" s="14"/>
      <c r="F73" s="12"/>
      <c r="G73" s="12"/>
      <c r="H73" s="14"/>
      <c r="I73" s="99"/>
      <c r="J73" s="15"/>
      <c r="K73" s="97">
        <v>44.4</v>
      </c>
      <c r="L73" s="15"/>
      <c r="M73" s="14"/>
      <c r="N73" s="14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3.2">
      <c r="A74" s="14"/>
      <c r="B74" s="14"/>
      <c r="C74" s="97">
        <f t="shared" si="21"/>
        <v>3</v>
      </c>
      <c r="D74" s="98">
        <v>43194</v>
      </c>
      <c r="E74" s="14"/>
      <c r="F74" s="12"/>
      <c r="G74" s="12"/>
      <c r="H74" s="14"/>
      <c r="I74" s="99"/>
      <c r="J74" s="15"/>
      <c r="K74" s="97">
        <v>43.2</v>
      </c>
      <c r="L74" s="15"/>
      <c r="M74" s="14"/>
      <c r="N74" s="14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3.2">
      <c r="A75" s="14"/>
      <c r="B75" s="14"/>
      <c r="C75" s="97">
        <f t="shared" si="21"/>
        <v>4</v>
      </c>
      <c r="D75" s="98">
        <v>43195</v>
      </c>
      <c r="E75" s="14"/>
      <c r="F75" s="12"/>
      <c r="G75" s="12"/>
      <c r="H75" s="14"/>
      <c r="I75" s="99"/>
      <c r="J75" s="15"/>
      <c r="K75" s="97">
        <v>42.1</v>
      </c>
      <c r="L75" s="15"/>
      <c r="M75" s="14"/>
      <c r="N75" s="14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3.2">
      <c r="A76" s="14"/>
      <c r="B76" s="14"/>
      <c r="C76" s="97">
        <f t="shared" si="21"/>
        <v>5</v>
      </c>
      <c r="D76" s="98">
        <v>43196</v>
      </c>
      <c r="E76" s="14"/>
      <c r="F76" s="12"/>
      <c r="G76" s="12"/>
      <c r="H76" s="14"/>
      <c r="I76" s="99"/>
      <c r="J76" s="15"/>
      <c r="K76" s="97">
        <v>41</v>
      </c>
      <c r="L76" s="15"/>
      <c r="M76" s="14"/>
      <c r="N76" s="14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3.2">
      <c r="A77" s="14"/>
      <c r="B77" s="14"/>
      <c r="C77" s="97">
        <f t="shared" si="21"/>
        <v>6</v>
      </c>
      <c r="D77" s="98">
        <v>43197</v>
      </c>
      <c r="E77" s="14"/>
      <c r="F77" s="12"/>
      <c r="G77" s="12"/>
      <c r="H77" s="14"/>
      <c r="I77" s="99"/>
      <c r="J77" s="15"/>
      <c r="K77" s="97" t="s">
        <v>63</v>
      </c>
      <c r="L77" s="15"/>
      <c r="M77" s="14"/>
      <c r="N77" s="14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3.2">
      <c r="A78" s="14"/>
      <c r="B78" s="14"/>
      <c r="C78" s="14"/>
      <c r="D78" s="14"/>
      <c r="E78" s="14"/>
      <c r="F78" s="12"/>
      <c r="G78" s="12"/>
      <c r="H78" s="14"/>
      <c r="I78" s="14"/>
      <c r="J78" s="15"/>
      <c r="K78" s="14"/>
      <c r="L78" s="15"/>
      <c r="M78" s="14"/>
      <c r="N78" s="14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3.2">
      <c r="A79" s="14"/>
      <c r="B79" s="14"/>
      <c r="C79" s="14"/>
      <c r="D79" s="14"/>
      <c r="E79" s="14"/>
      <c r="F79" s="12"/>
      <c r="G79" s="12"/>
      <c r="H79" s="14"/>
      <c r="I79" s="14"/>
      <c r="J79" s="15"/>
      <c r="K79" s="14"/>
      <c r="L79" s="15"/>
      <c r="M79" s="14"/>
      <c r="N79" s="14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3.2">
      <c r="A80" s="14"/>
      <c r="B80" s="14"/>
      <c r="C80" s="14"/>
      <c r="D80" s="14"/>
      <c r="E80" s="14"/>
      <c r="F80" s="12"/>
      <c r="G80" s="12"/>
      <c r="H80" s="14"/>
      <c r="I80" s="14"/>
      <c r="J80" s="15"/>
      <c r="K80" s="14"/>
      <c r="L80" s="15"/>
      <c r="M80" s="14"/>
      <c r="N80" s="14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3.2">
      <c r="A81" s="14"/>
      <c r="B81" s="14"/>
      <c r="C81" s="14"/>
      <c r="D81" s="14"/>
      <c r="E81" s="14"/>
      <c r="F81" s="12"/>
      <c r="G81" s="12"/>
      <c r="H81" s="14"/>
      <c r="I81" s="14"/>
      <c r="J81" s="15"/>
      <c r="K81" s="14"/>
      <c r="L81" s="15"/>
      <c r="M81" s="14"/>
      <c r="N81" s="14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3.2">
      <c r="A82" s="14"/>
      <c r="B82" s="14"/>
      <c r="C82" s="14"/>
      <c r="D82" s="14"/>
      <c r="E82" s="14"/>
      <c r="F82" s="12"/>
      <c r="G82" s="12"/>
      <c r="H82" s="14"/>
      <c r="I82" s="14"/>
      <c r="J82" s="15"/>
      <c r="K82" s="14"/>
      <c r="L82" s="15"/>
      <c r="M82" s="14"/>
      <c r="N82" s="14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3.2">
      <c r="A83" s="14"/>
      <c r="B83" s="14"/>
      <c r="C83" s="14"/>
      <c r="D83" s="14"/>
      <c r="E83" s="14"/>
      <c r="F83" s="12"/>
      <c r="G83" s="12"/>
      <c r="H83" s="14"/>
      <c r="I83" s="14"/>
      <c r="J83" s="15"/>
      <c r="K83" s="14"/>
      <c r="L83" s="15"/>
      <c r="M83" s="14"/>
      <c r="N83" s="14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3.2">
      <c r="A84" s="14"/>
      <c r="B84" s="14"/>
      <c r="C84" s="14"/>
      <c r="D84" s="14"/>
      <c r="E84" s="14"/>
      <c r="F84" s="12"/>
      <c r="G84" s="12"/>
      <c r="H84" s="14"/>
      <c r="I84" s="14"/>
      <c r="J84" s="15"/>
      <c r="K84" s="14"/>
      <c r="L84" s="15"/>
      <c r="M84" s="14"/>
      <c r="N84" s="14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3.2">
      <c r="A85" s="14"/>
      <c r="B85" s="14"/>
      <c r="C85" s="14"/>
      <c r="D85" s="14"/>
      <c r="E85" s="14"/>
      <c r="F85" s="12"/>
      <c r="G85" s="12"/>
      <c r="H85" s="14"/>
      <c r="I85" s="14"/>
      <c r="J85" s="15"/>
      <c r="K85" s="14"/>
      <c r="L85" s="15"/>
      <c r="M85" s="14"/>
      <c r="N85" s="14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3.2">
      <c r="A86" s="14"/>
      <c r="B86" s="14"/>
      <c r="C86" s="14"/>
      <c r="D86" s="14"/>
      <c r="E86" s="14"/>
      <c r="F86" s="12"/>
      <c r="G86" s="12"/>
      <c r="H86" s="14"/>
      <c r="I86" s="14"/>
      <c r="J86" s="15"/>
      <c r="K86" s="14"/>
      <c r="L86" s="15"/>
      <c r="M86" s="14"/>
      <c r="N86" s="14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3.2">
      <c r="A87" s="14"/>
      <c r="B87" s="14"/>
      <c r="C87" s="14"/>
      <c r="D87" s="14"/>
      <c r="E87" s="14"/>
      <c r="F87" s="12"/>
      <c r="G87" s="12"/>
      <c r="H87" s="14"/>
      <c r="I87" s="14"/>
      <c r="J87" s="15"/>
      <c r="K87" s="14"/>
      <c r="L87" s="15"/>
      <c r="M87" s="14"/>
      <c r="N87" s="14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3.2">
      <c r="A88" s="14"/>
      <c r="B88" s="14"/>
      <c r="C88" s="14"/>
      <c r="D88" s="14"/>
      <c r="E88" s="14"/>
      <c r="F88" s="12"/>
      <c r="G88" s="12"/>
      <c r="H88" s="14"/>
      <c r="I88" s="14"/>
      <c r="J88" s="15"/>
      <c r="K88" s="14"/>
      <c r="L88" s="15"/>
      <c r="M88" s="14"/>
      <c r="N88" s="14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3.2">
      <c r="A89" s="14"/>
      <c r="B89" s="14"/>
      <c r="C89" s="14"/>
      <c r="D89" s="14"/>
      <c r="E89" s="14"/>
      <c r="F89" s="12"/>
      <c r="G89" s="12"/>
      <c r="H89" s="14"/>
      <c r="I89" s="14"/>
      <c r="J89" s="15"/>
      <c r="K89" s="14"/>
      <c r="L89" s="15"/>
      <c r="M89" s="14"/>
      <c r="N89" s="14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3.2">
      <c r="A90" s="14"/>
      <c r="B90" s="14"/>
      <c r="C90" s="14"/>
      <c r="D90" s="14"/>
      <c r="E90" s="12"/>
      <c r="F90" s="12"/>
      <c r="G90" s="14"/>
      <c r="H90" s="14"/>
      <c r="I90" s="15"/>
      <c r="J90" s="14"/>
      <c r="K90" s="15"/>
      <c r="L90" s="14"/>
      <c r="M90" s="1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3.2">
      <c r="A91" s="72" t="s">
        <v>64</v>
      </c>
      <c r="B91" s="5">
        <v>0</v>
      </c>
      <c r="C91" s="5">
        <v>0</v>
      </c>
      <c r="D91" s="9">
        <v>42992</v>
      </c>
      <c r="E91" s="10">
        <v>403.6</v>
      </c>
      <c r="F91" s="11"/>
      <c r="G91" s="12">
        <f>AVERAGE(F92,F93,F94,F99)</f>
        <v>5.1333333333333302</v>
      </c>
      <c r="H91" s="14"/>
      <c r="I91" s="13">
        <v>79.099999999999994</v>
      </c>
      <c r="J91" s="16"/>
      <c r="K91" s="13">
        <v>23</v>
      </c>
      <c r="L91" s="14"/>
      <c r="M91" s="14"/>
      <c r="N91" s="7"/>
      <c r="O91" s="7"/>
      <c r="P91" s="7">
        <f>SUM(O91:O103)-104.4</f>
        <v>281.79999999999995</v>
      </c>
      <c r="Q91" s="7"/>
      <c r="R91" s="7"/>
      <c r="S91" s="73">
        <f>I105-I106</f>
        <v>31.300000000000004</v>
      </c>
      <c r="T91" s="7"/>
      <c r="U91" s="7">
        <f>SUM(T91:T92)</f>
        <v>1823.52</v>
      </c>
      <c r="V91" s="7"/>
      <c r="W91" s="7"/>
      <c r="X91" s="7"/>
      <c r="Y91" s="7"/>
      <c r="Z91" s="7"/>
      <c r="AA91" s="7"/>
      <c r="AB91" s="7"/>
    </row>
    <row r="92" spans="1:28" ht="13.2">
      <c r="A92" s="5" t="s">
        <v>23</v>
      </c>
      <c r="B92" s="5">
        <v>0</v>
      </c>
      <c r="C92" s="5">
        <v>0</v>
      </c>
      <c r="D92" s="9">
        <v>42993</v>
      </c>
      <c r="E92" s="10">
        <v>399.1</v>
      </c>
      <c r="F92" s="12">
        <f>E91-E92</f>
        <v>4.5</v>
      </c>
      <c r="G92" s="14"/>
      <c r="H92" s="14"/>
      <c r="I92" s="13">
        <v>75.099999999999994</v>
      </c>
      <c r="J92" s="14">
        <f t="shared" ref="J92:J94" si="22">(I92-I93)/(D93-D92)</f>
        <v>3.8999999999999986</v>
      </c>
      <c r="K92" s="13">
        <v>23.1</v>
      </c>
      <c r="L92" s="14"/>
      <c r="M92" s="14"/>
      <c r="N92" s="7"/>
      <c r="O92" s="75">
        <f>E96-E99</f>
        <v>25.399999999999977</v>
      </c>
      <c r="P92" s="7"/>
      <c r="Q92" s="7"/>
      <c r="R92" s="7"/>
      <c r="S92" s="73">
        <f>I96-I105</f>
        <v>55.899999999999991</v>
      </c>
      <c r="T92" s="7">
        <f>SUM(S91:S99)*5.24</f>
        <v>1823.52</v>
      </c>
      <c r="U92" s="7"/>
      <c r="V92" s="7"/>
      <c r="W92" s="7"/>
      <c r="X92" s="7"/>
      <c r="Y92" s="7"/>
      <c r="Z92" s="7"/>
      <c r="AA92" s="7"/>
      <c r="AB92" s="7"/>
    </row>
    <row r="93" spans="1:28" ht="13.2">
      <c r="A93" s="14"/>
      <c r="B93" s="5">
        <v>0</v>
      </c>
      <c r="C93" s="5">
        <v>0</v>
      </c>
      <c r="D93" s="9">
        <v>42996</v>
      </c>
      <c r="E93" s="10">
        <v>382.2</v>
      </c>
      <c r="F93" s="12">
        <f t="shared" ref="F93:F95" si="23">(E92-E93)/(D93-D92)</f>
        <v>5.6333333333333444</v>
      </c>
      <c r="G93" s="14"/>
      <c r="H93" s="14"/>
      <c r="I93" s="13">
        <v>63.4</v>
      </c>
      <c r="J93" s="14">
        <f t="shared" si="22"/>
        <v>4.0500000000000007</v>
      </c>
      <c r="K93" s="13">
        <v>23.5</v>
      </c>
      <c r="L93" s="14"/>
      <c r="M93" s="14"/>
      <c r="N93" s="7"/>
      <c r="O93" s="75">
        <f>E100-E103</f>
        <v>37.800000000000011</v>
      </c>
      <c r="P93" s="7"/>
      <c r="Q93" s="7"/>
      <c r="R93" s="7"/>
      <c r="S93" s="73">
        <f>I107-I111</f>
        <v>17.499999999999996</v>
      </c>
      <c r="T93" s="7"/>
      <c r="U93" s="7"/>
      <c r="V93" s="7"/>
      <c r="W93" s="7"/>
      <c r="X93" s="7"/>
      <c r="Y93" s="7"/>
      <c r="Z93" s="7"/>
      <c r="AA93" s="7"/>
      <c r="AB93" s="7"/>
    </row>
    <row r="94" spans="1:28" ht="13.2">
      <c r="A94" s="14"/>
      <c r="B94" s="5">
        <v>0</v>
      </c>
      <c r="C94" s="5">
        <v>0</v>
      </c>
      <c r="D94" s="9">
        <v>42998</v>
      </c>
      <c r="E94" s="10">
        <v>368.3</v>
      </c>
      <c r="F94" s="12">
        <f t="shared" si="23"/>
        <v>6.9499999999999886</v>
      </c>
      <c r="G94" s="14"/>
      <c r="H94" s="14"/>
      <c r="I94" s="13">
        <v>55.3</v>
      </c>
      <c r="J94" s="14">
        <f t="shared" si="22"/>
        <v>3.8999999999999986</v>
      </c>
      <c r="K94" s="13">
        <v>23.4</v>
      </c>
      <c r="L94" s="14"/>
      <c r="M94" s="14"/>
      <c r="N94" s="7"/>
      <c r="O94" s="75">
        <f>E104-E108</f>
        <v>28.5</v>
      </c>
      <c r="P94" s="7"/>
      <c r="Q94" s="7"/>
      <c r="R94" s="7"/>
      <c r="S94" s="73">
        <f>57.2-I111</f>
        <v>31.400000000000002</v>
      </c>
      <c r="T94" s="7"/>
      <c r="U94" s="7"/>
      <c r="V94" s="7"/>
      <c r="W94" s="7"/>
      <c r="X94" s="7"/>
      <c r="Y94" s="7"/>
      <c r="Z94" s="7"/>
      <c r="AA94" s="7"/>
      <c r="AB94" s="7"/>
    </row>
    <row r="95" spans="1:28" ht="13.2">
      <c r="A95" s="14"/>
      <c r="B95" s="5">
        <v>0</v>
      </c>
      <c r="C95" s="5">
        <v>0</v>
      </c>
      <c r="D95" s="17">
        <v>42999</v>
      </c>
      <c r="E95" s="10">
        <v>362.2</v>
      </c>
      <c r="F95" s="12">
        <f t="shared" si="23"/>
        <v>6.1000000000000227</v>
      </c>
      <c r="G95" s="14"/>
      <c r="H95" s="14"/>
      <c r="I95" s="13">
        <v>51.4</v>
      </c>
      <c r="J95" s="14">
        <f>(I94-I95)/(D95-D94)</f>
        <v>3.8999999999999986</v>
      </c>
      <c r="K95" s="13">
        <v>23.8</v>
      </c>
      <c r="L95" s="14"/>
      <c r="M95" s="14"/>
      <c r="N95" s="7"/>
      <c r="O95" s="75">
        <f>E109-E112</f>
        <v>37.300000000000011</v>
      </c>
      <c r="P95" s="7"/>
      <c r="Q95" s="7"/>
      <c r="R95" s="7"/>
      <c r="S95" s="73">
        <f>97.4-I119</f>
        <v>64.600000000000009</v>
      </c>
      <c r="T95" s="7"/>
      <c r="U95" s="7"/>
      <c r="V95" s="7"/>
      <c r="W95" s="7"/>
      <c r="X95" s="7"/>
      <c r="Y95" s="7"/>
      <c r="Z95" s="7"/>
      <c r="AA95" s="7"/>
      <c r="AB95" s="7"/>
    </row>
    <row r="96" spans="1:28" ht="13.2">
      <c r="A96" s="14"/>
      <c r="B96" s="5">
        <v>0.5</v>
      </c>
      <c r="C96" s="5">
        <v>0</v>
      </c>
      <c r="D96" s="17">
        <v>42999</v>
      </c>
      <c r="E96" s="10">
        <v>406.2</v>
      </c>
      <c r="F96" s="12"/>
      <c r="G96" s="14"/>
      <c r="H96" s="14"/>
      <c r="I96" s="13">
        <v>101.1</v>
      </c>
      <c r="J96" s="14"/>
      <c r="K96" s="13"/>
      <c r="L96" s="14"/>
      <c r="M96" s="14"/>
      <c r="N96" s="7"/>
      <c r="O96" s="75">
        <f>E113-E116</f>
        <v>32.399999999999977</v>
      </c>
      <c r="P96" s="7"/>
      <c r="Q96" s="7"/>
      <c r="R96" s="7"/>
      <c r="S96" s="73">
        <f>80.2-I127</f>
        <v>44.2</v>
      </c>
      <c r="T96" s="7"/>
      <c r="U96" s="7"/>
      <c r="V96" s="7"/>
      <c r="W96" s="7"/>
      <c r="X96" s="7"/>
      <c r="Y96" s="7"/>
      <c r="Z96" s="7"/>
      <c r="AA96" s="7"/>
      <c r="AB96" s="7"/>
    </row>
    <row r="97" spans="1:28" ht="13.2">
      <c r="A97" s="14"/>
      <c r="B97" s="5">
        <v>0.5</v>
      </c>
      <c r="C97" s="5">
        <f t="shared" ref="C97:C152" si="24">D97-$D$7</f>
        <v>1</v>
      </c>
      <c r="D97" s="17">
        <v>43000</v>
      </c>
      <c r="E97" s="10">
        <v>401.6</v>
      </c>
      <c r="F97" s="12">
        <f t="shared" ref="F97:F99" si="25">(E96-E97)/(D97-D96)</f>
        <v>4.5999999999999659</v>
      </c>
      <c r="G97" s="14"/>
      <c r="H97" s="14"/>
      <c r="I97" s="13">
        <v>96.4</v>
      </c>
      <c r="J97" s="14">
        <f t="shared" ref="J97:J99" si="26">(I96-I97)/(D97-D96)</f>
        <v>4.6999999999999886</v>
      </c>
      <c r="K97" s="13">
        <v>24.6</v>
      </c>
      <c r="L97" s="14"/>
      <c r="M97" s="14"/>
      <c r="N97" s="7"/>
      <c r="O97" s="75">
        <f>E117-E120</f>
        <v>35.400000000000034</v>
      </c>
      <c r="P97" s="7"/>
      <c r="Q97" s="7"/>
      <c r="R97" s="7"/>
      <c r="S97" s="73">
        <f>I128-I135</f>
        <v>39.5</v>
      </c>
      <c r="T97" s="7"/>
      <c r="U97" s="7"/>
      <c r="V97" s="7"/>
      <c r="W97" s="7"/>
      <c r="X97" s="7"/>
      <c r="Y97" s="7"/>
      <c r="Z97" s="7"/>
      <c r="AA97" s="7"/>
      <c r="AB97" s="7"/>
    </row>
    <row r="98" spans="1:28" ht="13.2">
      <c r="A98" s="14"/>
      <c r="B98" s="5">
        <v>0.5</v>
      </c>
      <c r="C98" s="5">
        <f t="shared" si="24"/>
        <v>4</v>
      </c>
      <c r="D98" s="9">
        <v>43003</v>
      </c>
      <c r="E98" s="10">
        <v>387.7</v>
      </c>
      <c r="F98" s="12">
        <f t="shared" si="25"/>
        <v>4.6333333333333444</v>
      </c>
      <c r="G98" s="14"/>
      <c r="H98" s="14"/>
      <c r="I98" s="13">
        <v>86.3</v>
      </c>
      <c r="J98" s="16">
        <f t="shared" si="26"/>
        <v>3.3666666666666694</v>
      </c>
      <c r="K98" s="13">
        <v>26.2</v>
      </c>
      <c r="L98" s="14"/>
      <c r="M98" s="14"/>
      <c r="N98" s="7"/>
      <c r="O98" s="75">
        <f>E121-E124</f>
        <v>26.899999999999977</v>
      </c>
      <c r="P98" s="7"/>
      <c r="Q98" s="7"/>
      <c r="R98" s="7"/>
      <c r="S98" s="73">
        <f>80.3-I141</f>
        <v>48.8</v>
      </c>
      <c r="T98" s="7"/>
      <c r="U98" s="7"/>
      <c r="V98" s="7"/>
      <c r="W98" s="7"/>
      <c r="X98" s="7"/>
      <c r="Y98" s="7"/>
      <c r="Z98" s="7"/>
      <c r="AA98" s="7"/>
      <c r="AB98" s="7"/>
    </row>
    <row r="99" spans="1:28" ht="13.2">
      <c r="A99" s="14"/>
      <c r="B99" s="5">
        <v>0.5</v>
      </c>
      <c r="C99" s="5">
        <f t="shared" si="24"/>
        <v>6</v>
      </c>
      <c r="D99" s="9">
        <v>43005</v>
      </c>
      <c r="E99" s="10">
        <v>380.8</v>
      </c>
      <c r="F99" s="12">
        <f t="shared" si="25"/>
        <v>3.4499999999999886</v>
      </c>
      <c r="G99" s="14"/>
      <c r="H99" s="14"/>
      <c r="I99" s="13">
        <v>80.400000000000006</v>
      </c>
      <c r="J99" s="16">
        <f t="shared" si="26"/>
        <v>2.9499999999999957</v>
      </c>
      <c r="K99" s="18">
        <v>27</v>
      </c>
      <c r="L99" s="14"/>
      <c r="M99" s="14"/>
      <c r="N99" s="7"/>
      <c r="O99" s="75">
        <f>E125-E128</f>
        <v>34.300000000000011</v>
      </c>
      <c r="P99" s="7"/>
      <c r="Q99" s="7"/>
      <c r="R99" s="7"/>
      <c r="S99" s="73">
        <f>I143-I145</f>
        <v>14.799999999999997</v>
      </c>
      <c r="T99" s="7"/>
      <c r="U99" s="7"/>
      <c r="V99" s="7"/>
      <c r="W99" s="7"/>
      <c r="X99" s="7"/>
      <c r="Y99" s="7"/>
      <c r="Z99" s="7"/>
      <c r="AA99" s="7"/>
      <c r="AB99" s="7"/>
    </row>
    <row r="100" spans="1:28" ht="13.2">
      <c r="A100" s="14"/>
      <c r="B100" s="76">
        <v>1</v>
      </c>
      <c r="C100" s="5">
        <f t="shared" si="24"/>
        <v>6</v>
      </c>
      <c r="D100" s="9">
        <v>43005</v>
      </c>
      <c r="E100" s="10">
        <v>351.2</v>
      </c>
      <c r="F100" s="11"/>
      <c r="H100" s="14"/>
      <c r="I100" s="13"/>
      <c r="J100" s="16"/>
      <c r="K100" s="13"/>
      <c r="L100" s="14"/>
      <c r="M100" s="14"/>
      <c r="N100" s="7"/>
      <c r="O100" s="75">
        <f>E129-E131</f>
        <v>26.100000000000023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3.2">
      <c r="A101" s="14"/>
      <c r="B101" s="5">
        <v>1</v>
      </c>
      <c r="C101" s="5">
        <f t="shared" si="24"/>
        <v>8</v>
      </c>
      <c r="D101" s="9">
        <v>43007</v>
      </c>
      <c r="E101" s="10">
        <v>339.3</v>
      </c>
      <c r="F101" s="12">
        <f t="shared" ref="F101:F103" si="27">(E100-E101)/(D101-D100)</f>
        <v>5.9499999999999886</v>
      </c>
      <c r="G101" s="14"/>
      <c r="H101" s="14"/>
      <c r="I101" s="13">
        <v>74.8</v>
      </c>
      <c r="J101" s="16">
        <f>(I99-I101)/(D101-D99)</f>
        <v>2.8000000000000043</v>
      </c>
      <c r="K101" s="13">
        <v>27.4</v>
      </c>
      <c r="L101" s="14"/>
      <c r="M101" s="14"/>
      <c r="N101" s="7"/>
      <c r="O101" s="75">
        <f>E132-E137</f>
        <v>40.100000000000023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3.2">
      <c r="A102" s="14"/>
      <c r="B102" s="5">
        <v>1</v>
      </c>
      <c r="C102" s="5">
        <f t="shared" si="24"/>
        <v>11</v>
      </c>
      <c r="D102" s="19">
        <v>43010</v>
      </c>
      <c r="E102" s="11">
        <v>327.60000000000002</v>
      </c>
      <c r="F102" s="12">
        <f t="shared" si="27"/>
        <v>3.8999999999999964</v>
      </c>
      <c r="G102" s="14"/>
      <c r="H102" s="14"/>
      <c r="I102" s="13">
        <v>64.8</v>
      </c>
      <c r="J102" s="16">
        <f t="shared" ref="J102:J103" si="28">(I101-I102)/(D102-D101)</f>
        <v>3.3333333333333335</v>
      </c>
      <c r="K102" s="13">
        <v>28</v>
      </c>
      <c r="L102" s="14"/>
      <c r="M102" s="14"/>
      <c r="N102" s="7"/>
      <c r="O102" s="75">
        <f>E138-E141</f>
        <v>31.099999999999966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3.2">
      <c r="A103" s="14"/>
      <c r="B103" s="5">
        <v>1</v>
      </c>
      <c r="C103" s="5">
        <f t="shared" si="24"/>
        <v>13</v>
      </c>
      <c r="D103" s="19">
        <v>43012</v>
      </c>
      <c r="E103" s="11">
        <v>313.39999999999998</v>
      </c>
      <c r="F103" s="12">
        <f t="shared" si="27"/>
        <v>7.1000000000000227</v>
      </c>
      <c r="G103" s="14"/>
      <c r="H103" s="14"/>
      <c r="I103" s="13">
        <v>52.2</v>
      </c>
      <c r="J103" s="16">
        <f t="shared" si="28"/>
        <v>6.2999999999999972</v>
      </c>
      <c r="K103" s="13">
        <v>28.5</v>
      </c>
      <c r="L103" s="14"/>
      <c r="M103" s="14"/>
      <c r="N103" s="7"/>
      <c r="O103" s="75">
        <f>E142-E145</f>
        <v>30.899999999999977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3.2">
      <c r="A104" s="14"/>
      <c r="B104" s="5">
        <v>2</v>
      </c>
      <c r="C104" s="5">
        <f t="shared" si="24"/>
        <v>14</v>
      </c>
      <c r="D104" s="20">
        <v>43013</v>
      </c>
      <c r="E104" s="11">
        <v>386.8</v>
      </c>
      <c r="F104" s="11"/>
      <c r="G104" s="14"/>
      <c r="H104" s="14"/>
      <c r="I104" s="13"/>
      <c r="J104" s="16"/>
      <c r="K104" s="13"/>
      <c r="L104" s="14"/>
      <c r="M104" s="1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3.2">
      <c r="A105" s="14"/>
      <c r="B105" s="5">
        <v>2</v>
      </c>
      <c r="C105" s="5">
        <f t="shared" si="24"/>
        <v>15</v>
      </c>
      <c r="D105" s="20">
        <v>43014</v>
      </c>
      <c r="E105" s="11">
        <v>380.3</v>
      </c>
      <c r="F105" s="12">
        <f t="shared" ref="F105:F106" si="29">(E104-E105)/(D105-D104)</f>
        <v>6.5</v>
      </c>
      <c r="G105" s="14"/>
      <c r="H105" s="14"/>
      <c r="I105" s="13">
        <v>45.2</v>
      </c>
      <c r="J105" s="16">
        <f>(I103-I105)/(D105-D103)</f>
        <v>3.5</v>
      </c>
      <c r="K105" s="13">
        <v>29.1</v>
      </c>
      <c r="L105" s="14"/>
      <c r="M105" s="1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3.2">
      <c r="A106" s="14"/>
      <c r="B106" s="5">
        <v>2</v>
      </c>
      <c r="C106" s="5">
        <f t="shared" si="24"/>
        <v>18</v>
      </c>
      <c r="D106" s="20">
        <v>43017</v>
      </c>
      <c r="E106" s="11">
        <v>367.4</v>
      </c>
      <c r="F106" s="12">
        <f t="shared" si="29"/>
        <v>4.3000000000000114</v>
      </c>
      <c r="G106" s="14"/>
      <c r="H106" s="14"/>
      <c r="I106" s="13">
        <v>13.9</v>
      </c>
      <c r="J106" s="16"/>
      <c r="K106" s="13">
        <v>30.5</v>
      </c>
      <c r="L106" s="14"/>
      <c r="M106" s="1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3.2">
      <c r="A107" s="14"/>
      <c r="B107" s="5">
        <v>2</v>
      </c>
      <c r="C107" s="5">
        <f t="shared" si="24"/>
        <v>18</v>
      </c>
      <c r="D107" s="20">
        <v>43017</v>
      </c>
      <c r="E107" s="11"/>
      <c r="F107" s="12"/>
      <c r="G107" s="14"/>
      <c r="H107" s="14"/>
      <c r="I107" s="13">
        <v>43.3</v>
      </c>
      <c r="J107" s="16"/>
      <c r="K107" s="13"/>
      <c r="L107" s="14"/>
      <c r="M107" s="1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3.2">
      <c r="A108" s="14"/>
      <c r="B108" s="5">
        <v>3</v>
      </c>
      <c r="C108" s="5">
        <f t="shared" si="24"/>
        <v>20</v>
      </c>
      <c r="D108" s="20">
        <v>43019</v>
      </c>
      <c r="E108" s="11">
        <v>358.3</v>
      </c>
      <c r="F108" s="12">
        <f>(E106-E108)/(D108-D107)</f>
        <v>4.5499999999999829</v>
      </c>
      <c r="G108" s="14"/>
      <c r="H108" s="14"/>
      <c r="I108" s="13">
        <v>30.5</v>
      </c>
      <c r="J108" s="16">
        <f>(I107-I108)/(D108-D107)</f>
        <v>6.3999999999999986</v>
      </c>
      <c r="K108" s="13">
        <v>31.7</v>
      </c>
      <c r="L108" s="14"/>
      <c r="M108" s="1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3.2">
      <c r="A109" s="14"/>
      <c r="B109" s="5">
        <v>3</v>
      </c>
      <c r="C109" s="5">
        <f t="shared" si="24"/>
        <v>21</v>
      </c>
      <c r="D109" s="20">
        <v>43020</v>
      </c>
      <c r="E109" s="11">
        <v>337.5</v>
      </c>
      <c r="F109" s="12"/>
      <c r="G109" s="14"/>
      <c r="H109" s="14"/>
      <c r="I109" s="13"/>
      <c r="J109" s="16"/>
      <c r="K109" s="13"/>
      <c r="L109" s="14"/>
      <c r="M109" s="1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3.2">
      <c r="A110" s="14"/>
      <c r="B110" s="5">
        <v>3</v>
      </c>
      <c r="C110" s="5">
        <f t="shared" si="24"/>
        <v>22</v>
      </c>
      <c r="D110" s="20">
        <f>D108+2</f>
        <v>43021</v>
      </c>
      <c r="E110" s="11">
        <v>328.3</v>
      </c>
      <c r="F110" s="12">
        <f t="shared" ref="F110:F112" si="30">(E109-E110)/(D110-D109)</f>
        <v>9.1999999999999886</v>
      </c>
      <c r="G110" s="12">
        <f>AVERAGE(F97:F141)</f>
        <v>5.6707070707070706</v>
      </c>
      <c r="H110" s="14"/>
      <c r="I110" s="13">
        <v>22.8</v>
      </c>
      <c r="J110" s="16">
        <f>(I108-I110)/(D110-D108)</f>
        <v>3.8499999999999996</v>
      </c>
      <c r="K110" s="13">
        <v>32.1</v>
      </c>
      <c r="L110" s="14"/>
      <c r="M110" s="1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3.2">
      <c r="A111" s="14"/>
      <c r="B111" s="5">
        <v>3</v>
      </c>
      <c r="C111" s="5">
        <f t="shared" si="24"/>
        <v>25</v>
      </c>
      <c r="D111" s="20">
        <f>D110+3</f>
        <v>43024</v>
      </c>
      <c r="E111" s="11">
        <v>311.7</v>
      </c>
      <c r="F111" s="12">
        <f t="shared" si="30"/>
        <v>5.5333333333333412</v>
      </c>
      <c r="G111" s="14"/>
      <c r="H111" s="14"/>
      <c r="I111" s="13">
        <v>25.8</v>
      </c>
      <c r="J111" s="15"/>
      <c r="K111" s="13">
        <v>33</v>
      </c>
      <c r="L111" s="14"/>
      <c r="M111" s="1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3.2">
      <c r="A112" s="14"/>
      <c r="B112" s="5">
        <v>4</v>
      </c>
      <c r="C112" s="5">
        <f t="shared" si="24"/>
        <v>27</v>
      </c>
      <c r="D112" s="20">
        <f>D111+2</f>
        <v>43026</v>
      </c>
      <c r="E112" s="11">
        <v>300.2</v>
      </c>
      <c r="F112" s="12">
        <f t="shared" si="30"/>
        <v>5.75</v>
      </c>
      <c r="G112" s="14"/>
      <c r="H112" s="14"/>
      <c r="I112" s="13">
        <v>86.3</v>
      </c>
      <c r="J112" s="15">
        <f>(97.4-I112)/(D112-D111)</f>
        <v>5.5500000000000043</v>
      </c>
      <c r="K112" s="13">
        <v>34.200000000000003</v>
      </c>
      <c r="L112" s="14"/>
      <c r="M112" s="1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3.2">
      <c r="A113" s="14"/>
      <c r="B113" s="5">
        <v>4</v>
      </c>
      <c r="C113" s="5">
        <f t="shared" si="24"/>
        <v>28</v>
      </c>
      <c r="D113" s="20">
        <v>43027</v>
      </c>
      <c r="E113" s="11">
        <v>386.9</v>
      </c>
      <c r="F113" s="12"/>
      <c r="G113" s="14"/>
      <c r="H113" s="14"/>
      <c r="I113" s="15"/>
      <c r="J113" s="15"/>
      <c r="K113" s="15"/>
      <c r="L113" s="14"/>
      <c r="M113" s="1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3.2">
      <c r="A114" s="14"/>
      <c r="B114" s="5">
        <v>4</v>
      </c>
      <c r="C114" s="5">
        <f t="shared" si="24"/>
        <v>29</v>
      </c>
      <c r="D114" s="20">
        <f>D112+2</f>
        <v>43028</v>
      </c>
      <c r="E114" s="11">
        <v>380.4</v>
      </c>
      <c r="F114" s="12">
        <f t="shared" ref="F114:F116" si="31">(E113-E114)/(D114-D113)</f>
        <v>6.5</v>
      </c>
      <c r="G114" s="14"/>
      <c r="H114" s="14"/>
      <c r="I114" s="13">
        <v>59.7</v>
      </c>
      <c r="J114" s="15"/>
      <c r="K114" s="13">
        <v>34.5</v>
      </c>
      <c r="L114" s="14"/>
      <c r="M114" s="1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3.2">
      <c r="A115" s="14"/>
      <c r="B115" s="5">
        <v>4</v>
      </c>
      <c r="C115" s="5">
        <f t="shared" si="24"/>
        <v>32</v>
      </c>
      <c r="D115" s="20">
        <v>43031</v>
      </c>
      <c r="E115" s="11">
        <v>366.8</v>
      </c>
      <c r="F115" s="12">
        <f t="shared" si="31"/>
        <v>4.5333333333333217</v>
      </c>
      <c r="G115" s="14"/>
      <c r="H115" s="14"/>
      <c r="I115" s="13">
        <v>49.4</v>
      </c>
      <c r="J115" s="15">
        <f t="shared" ref="J115:J116" si="32">(I114-I115)/(D115-D114)</f>
        <v>3.4333333333333349</v>
      </c>
      <c r="K115" s="13">
        <v>35.299999999999997</v>
      </c>
      <c r="L115" s="14"/>
      <c r="M115" s="1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3.2">
      <c r="A116" s="14"/>
      <c r="B116" s="5">
        <v>5</v>
      </c>
      <c r="C116" s="5">
        <f t="shared" si="24"/>
        <v>34</v>
      </c>
      <c r="D116" s="20">
        <v>43033</v>
      </c>
      <c r="E116" s="11">
        <v>354.5</v>
      </c>
      <c r="F116" s="12">
        <f t="shared" si="31"/>
        <v>6.1500000000000057</v>
      </c>
      <c r="G116" s="14"/>
      <c r="H116" s="14"/>
      <c r="I116" s="13">
        <v>45.9</v>
      </c>
      <c r="J116" s="15">
        <f t="shared" si="32"/>
        <v>1.75</v>
      </c>
      <c r="K116" s="13">
        <v>35.299999999999997</v>
      </c>
      <c r="L116" s="14"/>
      <c r="M116" s="1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3.2">
      <c r="A117" s="14"/>
      <c r="B117" s="5">
        <v>5</v>
      </c>
      <c r="C117" s="5">
        <f t="shared" si="24"/>
        <v>35</v>
      </c>
      <c r="D117" s="20">
        <v>43034</v>
      </c>
      <c r="E117" s="11">
        <v>324.60000000000002</v>
      </c>
      <c r="F117" s="12"/>
      <c r="G117" s="14"/>
      <c r="H117" s="14"/>
      <c r="I117" s="15"/>
      <c r="J117" s="15"/>
      <c r="K117" s="15"/>
      <c r="L117" s="14"/>
      <c r="M117" s="1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3.2">
      <c r="A118" s="14"/>
      <c r="B118" s="5">
        <v>5</v>
      </c>
      <c r="C118" s="5">
        <f t="shared" si="24"/>
        <v>36</v>
      </c>
      <c r="D118" s="20">
        <v>43035</v>
      </c>
      <c r="E118" s="11">
        <v>319</v>
      </c>
      <c r="F118" s="12">
        <f t="shared" ref="F118:F120" si="33">(E117-E118)/(D118-D117)</f>
        <v>5.6000000000000227</v>
      </c>
      <c r="G118" s="14"/>
      <c r="H118" s="14"/>
      <c r="I118" s="13">
        <v>40.700000000000003</v>
      </c>
      <c r="J118" s="15">
        <f>(I116-I118)/(D118-D116)</f>
        <v>2.5999999999999979</v>
      </c>
      <c r="K118" s="13">
        <v>35.6</v>
      </c>
      <c r="L118" s="14"/>
      <c r="M118" s="1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3.2">
      <c r="A119" s="14"/>
      <c r="B119" s="5">
        <v>5</v>
      </c>
      <c r="C119" s="5">
        <f t="shared" si="24"/>
        <v>39</v>
      </c>
      <c r="D119" s="20">
        <v>43038</v>
      </c>
      <c r="E119" s="11">
        <v>297.8</v>
      </c>
      <c r="F119" s="12">
        <f t="shared" si="33"/>
        <v>7.0666666666666629</v>
      </c>
      <c r="G119" s="14"/>
      <c r="H119" s="14"/>
      <c r="I119" s="13">
        <v>32.799999999999997</v>
      </c>
      <c r="J119" s="15">
        <f>(I118-I119)/(D119-D118)</f>
        <v>2.6333333333333351</v>
      </c>
      <c r="K119" s="13">
        <v>36.299999999999997</v>
      </c>
      <c r="L119" s="14"/>
      <c r="M119" s="1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3.2">
      <c r="A120" s="14"/>
      <c r="B120" s="5">
        <v>6</v>
      </c>
      <c r="C120" s="5">
        <f t="shared" si="24"/>
        <v>41</v>
      </c>
      <c r="D120" s="20">
        <v>43040</v>
      </c>
      <c r="E120" s="11">
        <v>289.2</v>
      </c>
      <c r="F120" s="12">
        <f t="shared" si="33"/>
        <v>4.3000000000000114</v>
      </c>
      <c r="G120" s="14"/>
      <c r="H120" s="14"/>
      <c r="I120" s="13">
        <v>74</v>
      </c>
      <c r="J120" s="15">
        <f>(80.2-I120)/(D120-D119)</f>
        <v>3.1000000000000014</v>
      </c>
      <c r="K120" s="13">
        <v>37.200000000000003</v>
      </c>
      <c r="L120" s="14"/>
      <c r="M120" s="1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3.2">
      <c r="A121" s="14"/>
      <c r="B121" s="5">
        <v>6</v>
      </c>
      <c r="C121" s="5">
        <f t="shared" si="24"/>
        <v>42</v>
      </c>
      <c r="D121" s="20">
        <v>43041</v>
      </c>
      <c r="E121" s="11">
        <v>318.2</v>
      </c>
      <c r="F121" s="12"/>
      <c r="G121" s="14"/>
      <c r="H121" s="14"/>
      <c r="I121" s="15"/>
      <c r="J121" s="14"/>
      <c r="K121" s="15"/>
      <c r="L121" s="14"/>
      <c r="M121" s="1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3.2">
      <c r="A122" s="14"/>
      <c r="B122" s="5">
        <v>6</v>
      </c>
      <c r="C122" s="5">
        <f t="shared" si="24"/>
        <v>43</v>
      </c>
      <c r="D122" s="20">
        <v>43042</v>
      </c>
      <c r="E122" s="11">
        <v>312.5</v>
      </c>
      <c r="F122" s="12">
        <f t="shared" ref="F122:F124" si="34">(E121-E122)/(D122-D121)</f>
        <v>5.6999999999999886</v>
      </c>
      <c r="G122" s="14"/>
      <c r="H122" s="14"/>
      <c r="I122" s="13">
        <v>66.7</v>
      </c>
      <c r="J122" s="15">
        <f>(I120-I122)/(D122-D120)</f>
        <v>3.6499999999999986</v>
      </c>
      <c r="K122" s="13">
        <v>37.700000000000003</v>
      </c>
      <c r="L122" s="14"/>
      <c r="M122" s="1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3.2">
      <c r="A123" s="14"/>
      <c r="B123" s="5">
        <v>6</v>
      </c>
      <c r="C123" s="5">
        <f t="shared" si="24"/>
        <v>46</v>
      </c>
      <c r="D123" s="20">
        <v>43045</v>
      </c>
      <c r="E123" s="11">
        <v>298.8</v>
      </c>
      <c r="F123" s="12">
        <f t="shared" si="34"/>
        <v>4.5666666666666629</v>
      </c>
      <c r="G123" s="14"/>
      <c r="H123" s="14"/>
      <c r="I123" s="13">
        <v>59</v>
      </c>
      <c r="J123" s="14">
        <f>(63.2-I123)/(D123-D122)</f>
        <v>1.400000000000001</v>
      </c>
      <c r="K123" s="13">
        <v>38.200000000000003</v>
      </c>
      <c r="L123" s="14"/>
      <c r="M123" s="1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3.2">
      <c r="A124" s="14"/>
      <c r="B124" s="5">
        <v>7</v>
      </c>
      <c r="C124" s="5">
        <f t="shared" si="24"/>
        <v>48</v>
      </c>
      <c r="D124" s="20">
        <v>43047</v>
      </c>
      <c r="E124" s="11">
        <v>291.3</v>
      </c>
      <c r="F124" s="12">
        <f t="shared" si="34"/>
        <v>3.75</v>
      </c>
      <c r="G124" s="14"/>
      <c r="H124" s="14"/>
      <c r="I124" s="13">
        <v>52.6</v>
      </c>
      <c r="J124" s="15">
        <f>(I123-I124)/(D124-D123)</f>
        <v>3.1999999999999993</v>
      </c>
      <c r="K124" s="13">
        <v>38.5</v>
      </c>
      <c r="L124" s="14"/>
      <c r="M124" s="1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3.2">
      <c r="A125" s="14"/>
      <c r="B125" s="5">
        <v>7</v>
      </c>
      <c r="C125" s="5">
        <f t="shared" si="24"/>
        <v>49</v>
      </c>
      <c r="D125" s="20">
        <v>43048</v>
      </c>
      <c r="E125" s="11">
        <v>318.8</v>
      </c>
      <c r="F125" s="12"/>
      <c r="G125" s="14"/>
      <c r="H125" s="14"/>
      <c r="I125" s="13"/>
      <c r="J125" s="14"/>
      <c r="K125" s="15"/>
      <c r="L125" s="14"/>
      <c r="M125" s="1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3.2">
      <c r="A126" s="14"/>
      <c r="B126" s="5">
        <v>7</v>
      </c>
      <c r="C126" s="5">
        <f t="shared" si="24"/>
        <v>50</v>
      </c>
      <c r="D126" s="20">
        <v>43049</v>
      </c>
      <c r="E126" s="11">
        <v>310.5</v>
      </c>
      <c r="F126" s="12">
        <f t="shared" ref="F126:F128" si="35">(E125-E126)/(D126-D125)</f>
        <v>8.3000000000000114</v>
      </c>
      <c r="G126" s="14"/>
      <c r="H126" s="14"/>
      <c r="I126" s="13">
        <v>45</v>
      </c>
      <c r="J126" s="15">
        <f>(I124-I126)/(D126-D124)</f>
        <v>3.8000000000000007</v>
      </c>
      <c r="K126" s="13">
        <v>39.299999999999997</v>
      </c>
      <c r="L126" s="14"/>
      <c r="M126" s="1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3.2">
      <c r="A127" s="14"/>
      <c r="B127" s="5">
        <v>7</v>
      </c>
      <c r="C127" s="5">
        <f t="shared" si="24"/>
        <v>53</v>
      </c>
      <c r="D127" s="20">
        <v>43052</v>
      </c>
      <c r="E127" s="11">
        <v>294.60000000000002</v>
      </c>
      <c r="F127" s="12">
        <f t="shared" si="35"/>
        <v>5.2999999999999927</v>
      </c>
      <c r="G127" s="14"/>
      <c r="H127" s="14"/>
      <c r="I127" s="13">
        <v>36</v>
      </c>
      <c r="J127" s="15"/>
      <c r="K127" s="13">
        <v>40.200000000000003</v>
      </c>
      <c r="L127" s="14"/>
      <c r="M127" s="1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3.2">
      <c r="A128" s="14"/>
      <c r="B128" s="5">
        <v>8</v>
      </c>
      <c r="C128" s="5">
        <f t="shared" si="24"/>
        <v>55</v>
      </c>
      <c r="D128" s="20">
        <v>43054</v>
      </c>
      <c r="E128" s="11">
        <v>284.5</v>
      </c>
      <c r="F128" s="12">
        <f t="shared" si="35"/>
        <v>5.0500000000000114</v>
      </c>
      <c r="G128" s="14"/>
      <c r="H128" s="14"/>
      <c r="I128" s="13">
        <v>78.2</v>
      </c>
      <c r="J128" s="15"/>
      <c r="K128" s="13">
        <v>41.5</v>
      </c>
      <c r="L128" s="14"/>
      <c r="M128" s="1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3.2">
      <c r="A129" s="14"/>
      <c r="B129" s="5">
        <v>8</v>
      </c>
      <c r="C129" s="5">
        <f t="shared" si="24"/>
        <v>56</v>
      </c>
      <c r="D129" s="20">
        <v>43055</v>
      </c>
      <c r="E129" s="11">
        <v>349.8</v>
      </c>
      <c r="F129" s="12"/>
      <c r="G129" s="14"/>
      <c r="H129" s="14"/>
      <c r="I129" s="15"/>
      <c r="J129" s="14"/>
      <c r="K129" s="15"/>
      <c r="L129" s="14"/>
      <c r="M129" s="1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3.2">
      <c r="A130" s="14"/>
      <c r="B130" s="5">
        <v>8</v>
      </c>
      <c r="C130" s="5">
        <f t="shared" si="24"/>
        <v>57</v>
      </c>
      <c r="D130" s="20">
        <v>43056</v>
      </c>
      <c r="E130" s="11">
        <v>338.9</v>
      </c>
      <c r="F130" s="12">
        <f t="shared" ref="F130:F131" si="36">(E129-E130)/(D130-D129)</f>
        <v>10.900000000000034</v>
      </c>
      <c r="G130" s="14"/>
      <c r="H130" s="14"/>
      <c r="I130" s="13">
        <v>63.6</v>
      </c>
      <c r="J130" s="14">
        <f>(I128-I130)/(D130-D128)</f>
        <v>7.3000000000000007</v>
      </c>
      <c r="K130" s="13">
        <v>41.6</v>
      </c>
      <c r="L130" s="14"/>
      <c r="M130" s="1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3.2">
      <c r="A131" s="14"/>
      <c r="B131" s="5">
        <v>8</v>
      </c>
      <c r="C131" s="5">
        <f t="shared" si="24"/>
        <v>60</v>
      </c>
      <c r="D131" s="20">
        <v>43059</v>
      </c>
      <c r="E131" s="11">
        <v>323.7</v>
      </c>
      <c r="F131" s="12">
        <f t="shared" si="36"/>
        <v>5.0666666666666629</v>
      </c>
      <c r="G131" s="14"/>
      <c r="H131" s="14"/>
      <c r="I131" s="13">
        <v>55.2</v>
      </c>
      <c r="J131" s="15">
        <f>(I130-I131)/(D131-D130)</f>
        <v>2.7999999999999994</v>
      </c>
      <c r="K131" s="13">
        <v>41.9</v>
      </c>
      <c r="L131" s="14"/>
      <c r="M131" s="1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3.2">
      <c r="A132" s="14"/>
      <c r="B132" s="5">
        <v>9</v>
      </c>
      <c r="C132" s="5">
        <f t="shared" si="24"/>
        <v>61</v>
      </c>
      <c r="D132" s="20">
        <v>43060</v>
      </c>
      <c r="E132" s="11">
        <v>351.8</v>
      </c>
      <c r="F132" s="12"/>
      <c r="G132" s="14"/>
      <c r="H132" s="14"/>
      <c r="I132" s="15"/>
      <c r="J132" s="14"/>
      <c r="K132" s="15"/>
      <c r="L132" s="14"/>
      <c r="M132" s="1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3.2">
      <c r="A133" s="14"/>
      <c r="B133" s="5">
        <v>9</v>
      </c>
      <c r="C133" s="5">
        <f t="shared" si="24"/>
        <v>62</v>
      </c>
      <c r="D133" s="20">
        <v>43061</v>
      </c>
      <c r="E133" s="11">
        <v>343.8</v>
      </c>
      <c r="F133" s="12">
        <f>(E132-E133)/(D133-D132)</f>
        <v>8</v>
      </c>
      <c r="G133" s="14"/>
      <c r="H133" s="14"/>
      <c r="I133" s="13">
        <v>43.9</v>
      </c>
      <c r="J133" s="14">
        <f>(I131-I133)/(D133-D131)</f>
        <v>5.6500000000000021</v>
      </c>
      <c r="K133" s="13">
        <v>42.9</v>
      </c>
      <c r="L133" s="14"/>
      <c r="M133" s="1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3.2">
      <c r="A134" s="14"/>
      <c r="B134" s="5">
        <v>9</v>
      </c>
      <c r="C134" s="5">
        <f t="shared" si="24"/>
        <v>63</v>
      </c>
      <c r="D134" s="20">
        <v>43062</v>
      </c>
      <c r="E134" s="11"/>
      <c r="F134" s="12"/>
      <c r="G134" s="14"/>
      <c r="H134" s="14"/>
      <c r="I134" s="13"/>
      <c r="J134" s="15"/>
      <c r="K134" s="13"/>
      <c r="L134" s="14"/>
      <c r="M134" s="1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3.2">
      <c r="A135" s="14"/>
      <c r="B135" s="5">
        <v>9</v>
      </c>
      <c r="C135" s="5">
        <f t="shared" si="24"/>
        <v>64</v>
      </c>
      <c r="D135" s="20">
        <v>43063</v>
      </c>
      <c r="E135" s="11">
        <v>334.6</v>
      </c>
      <c r="F135" s="12">
        <f>(E133-E135)/(D135-D133)</f>
        <v>4.5999999999999943</v>
      </c>
      <c r="G135" s="14"/>
      <c r="H135" s="14"/>
      <c r="I135" s="13">
        <v>38.700000000000003</v>
      </c>
      <c r="J135" s="15">
        <f>(I133-I135)/(D135-D133)</f>
        <v>2.5999999999999979</v>
      </c>
      <c r="K135" s="13">
        <v>43.1</v>
      </c>
      <c r="L135" s="14"/>
      <c r="M135" s="1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3.2">
      <c r="A136" s="14"/>
      <c r="B136" s="5">
        <v>9</v>
      </c>
      <c r="C136" s="5">
        <f t="shared" si="24"/>
        <v>67</v>
      </c>
      <c r="D136" s="23">
        <v>43066</v>
      </c>
      <c r="E136" s="11">
        <v>320</v>
      </c>
      <c r="F136" s="12">
        <f t="shared" ref="F136:F137" si="37">(E135-E136)/(D136-D135)</f>
        <v>4.8666666666666742</v>
      </c>
      <c r="G136" s="14"/>
      <c r="H136" s="14"/>
      <c r="I136" s="13">
        <v>70.3</v>
      </c>
      <c r="J136" s="16">
        <f>(80.3-I136)/(D136-D135)</f>
        <v>3.3333333333333335</v>
      </c>
      <c r="K136" s="13">
        <v>44.8</v>
      </c>
      <c r="L136" s="14"/>
      <c r="M136" s="1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3.2">
      <c r="A137" s="14"/>
      <c r="B137" s="5">
        <v>10</v>
      </c>
      <c r="C137" s="5">
        <f t="shared" si="24"/>
        <v>69</v>
      </c>
      <c r="D137" s="23">
        <v>43068</v>
      </c>
      <c r="E137" s="11">
        <v>311.7</v>
      </c>
      <c r="F137" s="12">
        <f t="shared" si="37"/>
        <v>4.1500000000000057</v>
      </c>
      <c r="G137" s="14"/>
      <c r="H137" s="14"/>
      <c r="I137" s="13">
        <v>57.5</v>
      </c>
      <c r="J137" s="15">
        <f>(I136-I137)/(D137-D136)</f>
        <v>6.3999999999999986</v>
      </c>
      <c r="K137" s="13">
        <v>45.6</v>
      </c>
      <c r="L137" s="14"/>
      <c r="M137" s="1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3.2">
      <c r="A138" s="14"/>
      <c r="B138" s="5">
        <v>10</v>
      </c>
      <c r="C138" s="5">
        <f t="shared" si="24"/>
        <v>70</v>
      </c>
      <c r="D138" s="23">
        <v>43069</v>
      </c>
      <c r="E138" s="11">
        <v>313.39999999999998</v>
      </c>
      <c r="F138" s="12"/>
      <c r="G138" s="14"/>
      <c r="H138" s="14"/>
      <c r="I138" s="15"/>
      <c r="J138" s="14"/>
      <c r="K138" s="15"/>
      <c r="L138" s="14"/>
      <c r="M138" s="1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3.2">
      <c r="A139" s="14"/>
      <c r="B139" s="5">
        <v>10</v>
      </c>
      <c r="C139" s="5">
        <f t="shared" si="24"/>
        <v>71</v>
      </c>
      <c r="D139" s="23">
        <v>43070</v>
      </c>
      <c r="E139" s="11">
        <v>306.2</v>
      </c>
      <c r="F139" s="12">
        <f t="shared" ref="F139:F141" si="38">(E138-E139)/(D139-D138)</f>
        <v>7.1999999999999886</v>
      </c>
      <c r="G139" s="14"/>
      <c r="H139" s="14"/>
      <c r="I139" s="13">
        <v>49.7</v>
      </c>
      <c r="J139" s="14">
        <f>(I137-I139)/(D139-D137)</f>
        <v>3.8999999999999986</v>
      </c>
      <c r="K139" s="13">
        <v>46.6</v>
      </c>
      <c r="L139" s="14"/>
      <c r="M139" s="1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3.2">
      <c r="A140" s="14"/>
      <c r="B140" s="5">
        <v>10</v>
      </c>
      <c r="C140" s="5">
        <f t="shared" si="24"/>
        <v>74</v>
      </c>
      <c r="D140" s="23">
        <v>43073</v>
      </c>
      <c r="E140" s="11">
        <v>294.89999999999998</v>
      </c>
      <c r="F140" s="12">
        <f t="shared" si="38"/>
        <v>3.7666666666666706</v>
      </c>
      <c r="G140" s="14"/>
      <c r="H140" s="14"/>
      <c r="I140" s="13">
        <v>40.799999999999997</v>
      </c>
      <c r="J140" s="15">
        <f t="shared" ref="J140:J141" si="39">(I139-I140)/(D140-D139)</f>
        <v>2.9666666666666686</v>
      </c>
      <c r="K140" s="13">
        <v>47.1</v>
      </c>
      <c r="L140" s="14"/>
      <c r="M140" s="1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3.2">
      <c r="A141" s="14"/>
      <c r="B141" s="5">
        <v>11</v>
      </c>
      <c r="C141" s="5">
        <f t="shared" si="24"/>
        <v>76</v>
      </c>
      <c r="D141" s="23">
        <v>43075</v>
      </c>
      <c r="E141" s="11">
        <v>282.3</v>
      </c>
      <c r="F141" s="12">
        <f t="shared" si="38"/>
        <v>6.2999999999999829</v>
      </c>
      <c r="G141" s="14"/>
      <c r="H141" s="14"/>
      <c r="I141" s="13">
        <v>31.5</v>
      </c>
      <c r="J141" s="15">
        <f t="shared" si="39"/>
        <v>4.6499999999999986</v>
      </c>
      <c r="K141" s="13">
        <v>47.7</v>
      </c>
      <c r="L141" s="14"/>
      <c r="M141" s="14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3.2">
      <c r="A142" s="14"/>
      <c r="B142" s="5">
        <v>11</v>
      </c>
      <c r="C142" s="5">
        <f t="shared" si="24"/>
        <v>77</v>
      </c>
      <c r="D142" s="24">
        <v>43076</v>
      </c>
      <c r="E142" s="11">
        <v>335.5</v>
      </c>
      <c r="F142" s="12"/>
      <c r="G142" s="14"/>
      <c r="H142" s="14"/>
      <c r="I142" s="15"/>
      <c r="J142" s="14"/>
      <c r="K142" s="15"/>
      <c r="L142" s="14"/>
      <c r="M142" s="1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3.2">
      <c r="A143" s="14"/>
      <c r="B143" s="5">
        <v>11</v>
      </c>
      <c r="C143" s="5">
        <f t="shared" si="24"/>
        <v>78</v>
      </c>
      <c r="D143" s="24">
        <v>43077</v>
      </c>
      <c r="E143" s="11">
        <v>326.39999999999998</v>
      </c>
      <c r="F143" s="12">
        <f t="shared" ref="F143:F145" si="40">(E142-E143)/(D143-D142)</f>
        <v>9.1000000000000227</v>
      </c>
      <c r="G143" s="14"/>
      <c r="H143" s="14"/>
      <c r="I143" s="13">
        <v>75</v>
      </c>
      <c r="J143" s="14">
        <f>(E142-E143)/(D143-D142)</f>
        <v>9.1000000000000227</v>
      </c>
      <c r="K143" s="13">
        <v>48.8</v>
      </c>
      <c r="L143" s="14"/>
      <c r="M143" s="1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3.2">
      <c r="A144" s="14"/>
      <c r="B144" s="5">
        <v>11</v>
      </c>
      <c r="C144" s="5">
        <f t="shared" si="24"/>
        <v>81</v>
      </c>
      <c r="D144" s="24">
        <v>43080</v>
      </c>
      <c r="E144" s="11">
        <v>315.7</v>
      </c>
      <c r="F144" s="12">
        <f t="shared" si="40"/>
        <v>3.5666666666666629</v>
      </c>
      <c r="G144" s="14"/>
      <c r="H144" s="14"/>
      <c r="I144" s="13">
        <v>66.2</v>
      </c>
      <c r="J144" s="15">
        <f t="shared" ref="J144:J145" si="41">(I143-I144)/(D144-D143)</f>
        <v>2.9333333333333322</v>
      </c>
      <c r="K144" s="13">
        <v>49</v>
      </c>
      <c r="L144" s="14"/>
      <c r="M144" s="1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3.2">
      <c r="A145" s="14"/>
      <c r="B145" s="5">
        <v>12</v>
      </c>
      <c r="C145" s="5">
        <f t="shared" si="24"/>
        <v>83</v>
      </c>
      <c r="D145" s="25">
        <v>43082</v>
      </c>
      <c r="E145" s="11">
        <v>304.60000000000002</v>
      </c>
      <c r="F145" s="12">
        <f t="shared" si="40"/>
        <v>5.5499999999999829</v>
      </c>
      <c r="G145" s="14"/>
      <c r="H145" s="14"/>
      <c r="I145" s="13">
        <v>60.2</v>
      </c>
      <c r="J145" s="15">
        <f t="shared" si="41"/>
        <v>3</v>
      </c>
      <c r="K145" s="13">
        <v>49.6</v>
      </c>
      <c r="L145" s="14"/>
      <c r="M145" s="1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3.2">
      <c r="A146" s="14"/>
      <c r="B146" s="5">
        <v>12</v>
      </c>
      <c r="C146" s="5">
        <f t="shared" si="24"/>
        <v>84</v>
      </c>
      <c r="D146" s="24">
        <v>43083</v>
      </c>
      <c r="E146" s="12"/>
      <c r="F146" s="12"/>
      <c r="G146" s="14"/>
      <c r="H146" s="14"/>
      <c r="I146" s="15"/>
      <c r="J146" s="14"/>
      <c r="K146" s="13"/>
      <c r="L146" s="14"/>
      <c r="M146" s="1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3.2">
      <c r="A147" s="80"/>
      <c r="B147" s="76">
        <v>12</v>
      </c>
      <c r="C147" s="76">
        <f t="shared" si="24"/>
        <v>85</v>
      </c>
      <c r="D147" s="90">
        <v>43084</v>
      </c>
      <c r="E147" s="91"/>
      <c r="F147" s="91"/>
      <c r="G147" s="80"/>
      <c r="H147" s="80"/>
      <c r="I147" s="92"/>
      <c r="J147" s="80"/>
      <c r="K147" s="81">
        <v>48.4</v>
      </c>
      <c r="L147" s="80"/>
      <c r="M147" s="80"/>
      <c r="N147" s="93"/>
      <c r="O147" s="93"/>
      <c r="P147" s="93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3.2">
      <c r="A148" s="14"/>
      <c r="B148" s="5">
        <v>12</v>
      </c>
      <c r="C148" s="5">
        <f t="shared" si="24"/>
        <v>98</v>
      </c>
      <c r="D148" s="32">
        <v>43097</v>
      </c>
      <c r="E148" s="12"/>
      <c r="F148" s="12"/>
      <c r="G148" s="14"/>
      <c r="H148" s="14"/>
      <c r="I148" s="33">
        <v>81.099999999999994</v>
      </c>
      <c r="J148" s="14"/>
      <c r="K148" s="33">
        <v>51.7</v>
      </c>
      <c r="L148" s="14"/>
      <c r="M148" s="1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3.2">
      <c r="A149" s="14"/>
      <c r="B149" s="14"/>
      <c r="C149" s="5">
        <f t="shared" si="24"/>
        <v>105</v>
      </c>
      <c r="D149" s="32">
        <v>43104</v>
      </c>
      <c r="E149" s="12"/>
      <c r="F149" s="12"/>
      <c r="G149" s="14"/>
      <c r="H149" s="14"/>
      <c r="I149" s="33">
        <v>60.2</v>
      </c>
      <c r="J149" s="14"/>
      <c r="K149" s="33">
        <v>51.8</v>
      </c>
      <c r="L149" s="14"/>
      <c r="M149" s="1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3.2">
      <c r="A150" s="14"/>
      <c r="B150" s="14"/>
      <c r="C150" s="5">
        <f t="shared" si="24"/>
        <v>112</v>
      </c>
      <c r="D150" s="32">
        <v>43111</v>
      </c>
      <c r="E150" s="12"/>
      <c r="F150" s="12"/>
      <c r="G150" s="14"/>
      <c r="H150" s="14"/>
      <c r="I150" s="33">
        <v>40.6</v>
      </c>
      <c r="J150" s="14"/>
      <c r="K150" s="33">
        <v>51.6</v>
      </c>
      <c r="L150" s="14"/>
      <c r="M150" s="1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3.2">
      <c r="A151" s="14"/>
      <c r="B151" s="14"/>
      <c r="C151" s="5">
        <f t="shared" si="24"/>
        <v>116</v>
      </c>
      <c r="D151" s="94">
        <v>43115</v>
      </c>
      <c r="E151" s="12"/>
      <c r="F151" s="12"/>
      <c r="G151" s="14"/>
      <c r="H151" s="14"/>
      <c r="I151" s="33"/>
      <c r="J151" s="14"/>
      <c r="K151" s="33"/>
      <c r="L151" s="14"/>
      <c r="M151" s="1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3.2">
      <c r="A152" s="14"/>
      <c r="B152" s="14"/>
      <c r="C152" s="5">
        <f t="shared" si="24"/>
        <v>117</v>
      </c>
      <c r="D152" s="32">
        <v>43116</v>
      </c>
      <c r="E152" s="12"/>
      <c r="F152" s="12"/>
      <c r="G152" s="14"/>
      <c r="H152" s="14"/>
      <c r="I152" s="33">
        <v>27.4</v>
      </c>
      <c r="J152" s="14"/>
      <c r="K152" s="33">
        <v>51.5</v>
      </c>
      <c r="L152" s="14"/>
      <c r="M152" s="1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3.2">
      <c r="A153" s="14"/>
      <c r="B153" s="14"/>
      <c r="C153" s="5">
        <v>124</v>
      </c>
      <c r="D153" s="35">
        <v>43123</v>
      </c>
      <c r="E153" s="12"/>
      <c r="F153" s="12"/>
      <c r="G153" s="14"/>
      <c r="H153" s="14"/>
      <c r="I153" s="33">
        <v>50.6</v>
      </c>
      <c r="J153" s="14"/>
      <c r="K153" s="33">
        <v>52.8</v>
      </c>
      <c r="L153" s="14"/>
      <c r="M153" s="1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3.2">
      <c r="A154" s="14"/>
      <c r="B154" s="14"/>
      <c r="C154" s="5">
        <v>131</v>
      </c>
      <c r="D154" s="20">
        <v>43130</v>
      </c>
      <c r="E154" s="12"/>
      <c r="F154" s="12"/>
      <c r="G154" s="14"/>
      <c r="H154" s="14"/>
      <c r="I154" s="36">
        <v>31.7</v>
      </c>
      <c r="J154" s="14"/>
      <c r="K154" s="36">
        <v>51.7</v>
      </c>
      <c r="L154" s="14"/>
      <c r="M154" s="1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3.2">
      <c r="A155" s="14"/>
      <c r="B155" s="14"/>
      <c r="C155" s="5">
        <v>138</v>
      </c>
      <c r="D155" s="20">
        <v>43440</v>
      </c>
      <c r="E155" s="12"/>
      <c r="F155" s="12"/>
      <c r="G155" s="14"/>
      <c r="H155" s="14"/>
      <c r="I155" s="33">
        <v>66.099999999999994</v>
      </c>
      <c r="J155" s="37"/>
      <c r="K155" s="33">
        <v>52.2</v>
      </c>
      <c r="L155" s="14"/>
      <c r="M155" s="1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3.2">
      <c r="A156" s="14"/>
      <c r="B156" s="14"/>
      <c r="C156" s="5">
        <v>145</v>
      </c>
      <c r="D156" s="20">
        <v>43144</v>
      </c>
      <c r="E156" s="12"/>
      <c r="F156" s="12"/>
      <c r="G156" s="14"/>
      <c r="H156" s="14"/>
      <c r="I156" s="13">
        <v>43.7</v>
      </c>
      <c r="J156" s="14"/>
      <c r="K156" s="13">
        <v>53.3</v>
      </c>
      <c r="L156" s="14"/>
      <c r="M156" s="1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3.2">
      <c r="A157" s="14"/>
      <c r="B157" s="14"/>
      <c r="C157" s="5">
        <v>152</v>
      </c>
      <c r="D157" s="20">
        <v>43151</v>
      </c>
      <c r="E157" s="12"/>
      <c r="F157" s="12"/>
      <c r="G157" s="14"/>
      <c r="H157" s="14"/>
      <c r="I157" s="13">
        <v>24</v>
      </c>
      <c r="J157" s="14"/>
      <c r="K157" s="13">
        <v>53.2</v>
      </c>
      <c r="L157" s="14"/>
      <c r="M157" s="1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3.2">
      <c r="A158" s="14"/>
      <c r="B158" s="14"/>
      <c r="C158" s="5">
        <v>159</v>
      </c>
      <c r="D158" s="20">
        <v>43158</v>
      </c>
      <c r="E158" s="12"/>
      <c r="F158" s="12"/>
      <c r="G158" s="14"/>
      <c r="H158" s="14"/>
      <c r="I158" s="13">
        <v>55.6</v>
      </c>
      <c r="J158" s="14"/>
      <c r="K158" s="13">
        <v>54</v>
      </c>
      <c r="L158" s="14"/>
      <c r="M158" s="1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3.2">
      <c r="A159" s="14"/>
      <c r="B159" s="14"/>
      <c r="C159" s="5">
        <v>166</v>
      </c>
      <c r="D159" s="20">
        <v>43165</v>
      </c>
      <c r="E159" s="12"/>
      <c r="F159" s="12"/>
      <c r="G159" s="14"/>
      <c r="H159" s="14"/>
      <c r="I159" s="13">
        <v>34.299999999999997</v>
      </c>
      <c r="J159" s="14"/>
      <c r="K159" s="13">
        <v>54.9</v>
      </c>
      <c r="L159" s="14"/>
      <c r="M159" s="1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3.2">
      <c r="A160" s="14"/>
      <c r="B160" s="14"/>
      <c r="C160" s="5">
        <v>173</v>
      </c>
      <c r="D160" s="20">
        <v>43172</v>
      </c>
      <c r="E160" s="12"/>
      <c r="F160" s="12"/>
      <c r="G160" s="14"/>
      <c r="H160" s="14"/>
      <c r="I160" s="13">
        <v>14.2</v>
      </c>
      <c r="J160" s="14"/>
      <c r="K160" s="13">
        <v>55.3</v>
      </c>
      <c r="L160" s="14"/>
      <c r="M160" s="14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3.2">
      <c r="A161" s="14"/>
      <c r="B161" s="14"/>
      <c r="C161" s="14"/>
      <c r="D161" s="14"/>
      <c r="E161" s="12"/>
      <c r="F161" s="12"/>
      <c r="G161" s="14"/>
      <c r="H161" s="14"/>
      <c r="I161" s="15"/>
      <c r="J161" s="14"/>
      <c r="K161" s="15"/>
      <c r="L161" s="14"/>
      <c r="M161" s="1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39.6">
      <c r="A162" s="14"/>
      <c r="B162" s="5" t="s">
        <v>60</v>
      </c>
      <c r="C162" s="97">
        <f t="shared" ref="C162:C167" si="42">1+C161</f>
        <v>1</v>
      </c>
      <c r="D162" s="98">
        <v>43192</v>
      </c>
      <c r="E162" s="12"/>
      <c r="F162" s="12"/>
      <c r="G162" s="14"/>
      <c r="H162" s="14"/>
      <c r="I162" s="15"/>
      <c r="J162" s="14"/>
      <c r="K162" s="105">
        <v>41.7</v>
      </c>
      <c r="L162" s="14"/>
      <c r="M162" s="14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3.2">
      <c r="A163" s="14"/>
      <c r="B163" s="14"/>
      <c r="C163" s="97">
        <f t="shared" si="42"/>
        <v>2</v>
      </c>
      <c r="D163" s="98">
        <v>43193</v>
      </c>
      <c r="E163" s="12"/>
      <c r="F163" s="12"/>
      <c r="G163" s="14"/>
      <c r="H163" s="14"/>
      <c r="I163" s="15"/>
      <c r="J163" s="14"/>
      <c r="K163" s="105">
        <v>41.3</v>
      </c>
      <c r="L163" s="14"/>
      <c r="M163" s="14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3.2">
      <c r="A164" s="14"/>
      <c r="B164" s="14"/>
      <c r="C164" s="97">
        <f t="shared" si="42"/>
        <v>3</v>
      </c>
      <c r="D164" s="98">
        <v>43194</v>
      </c>
      <c r="E164" s="12"/>
      <c r="F164" s="12"/>
      <c r="G164" s="14"/>
      <c r="H164" s="14"/>
      <c r="I164" s="15"/>
      <c r="J164" s="14"/>
      <c r="K164" s="105">
        <v>39.700000000000003</v>
      </c>
      <c r="L164" s="14"/>
      <c r="M164" s="1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3.2">
      <c r="A165" s="14"/>
      <c r="B165" s="14"/>
      <c r="C165" s="97">
        <f t="shared" si="42"/>
        <v>4</v>
      </c>
      <c r="D165" s="98">
        <v>43195</v>
      </c>
      <c r="E165" s="12"/>
      <c r="F165" s="12"/>
      <c r="G165" s="14"/>
      <c r="H165" s="14"/>
      <c r="I165" s="15"/>
      <c r="J165" s="14"/>
      <c r="K165" s="105">
        <v>39</v>
      </c>
      <c r="L165" s="14"/>
      <c r="M165" s="1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3.2">
      <c r="A166" s="14"/>
      <c r="B166" s="14"/>
      <c r="C166" s="97">
        <f t="shared" si="42"/>
        <v>5</v>
      </c>
      <c r="D166" s="98">
        <v>43196</v>
      </c>
      <c r="E166" s="12"/>
      <c r="F166" s="12"/>
      <c r="G166" s="14"/>
      <c r="H166" s="14"/>
      <c r="I166" s="15"/>
      <c r="J166" s="14"/>
      <c r="K166" s="105">
        <v>38</v>
      </c>
      <c r="L166" s="14"/>
      <c r="M166" s="1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3.2">
      <c r="A167" s="14"/>
      <c r="B167" s="14"/>
      <c r="C167" s="97">
        <f t="shared" si="42"/>
        <v>6</v>
      </c>
      <c r="D167" s="98">
        <v>43197</v>
      </c>
      <c r="E167" s="12"/>
      <c r="F167" s="12"/>
      <c r="G167" s="14"/>
      <c r="H167" s="14"/>
      <c r="I167" s="15"/>
      <c r="J167" s="14"/>
      <c r="K167" s="105" t="s">
        <v>63</v>
      </c>
      <c r="L167" s="14"/>
      <c r="M167" s="1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3.2">
      <c r="A168" s="14"/>
      <c r="B168" s="14"/>
      <c r="C168" s="14"/>
      <c r="D168" s="14"/>
      <c r="E168" s="12"/>
      <c r="F168" s="12"/>
      <c r="G168" s="14"/>
      <c r="H168" s="14"/>
      <c r="I168" s="15"/>
      <c r="J168" s="14"/>
      <c r="K168" s="15"/>
      <c r="L168" s="14"/>
      <c r="M168" s="1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3.2">
      <c r="A169" s="14"/>
      <c r="B169" s="14"/>
      <c r="C169" s="14"/>
      <c r="D169" s="14"/>
      <c r="E169" s="12"/>
      <c r="F169" s="12"/>
      <c r="G169" s="14"/>
      <c r="H169" s="14"/>
      <c r="I169" s="15"/>
      <c r="J169" s="14"/>
      <c r="K169" s="15"/>
      <c r="L169" s="14"/>
      <c r="M169" s="1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3.2">
      <c r="A170" s="14"/>
      <c r="B170" s="14"/>
      <c r="C170" s="14"/>
      <c r="D170" s="14"/>
      <c r="E170" s="12"/>
      <c r="F170" s="12"/>
      <c r="G170" s="14"/>
      <c r="H170" s="14"/>
      <c r="I170" s="15"/>
      <c r="J170" s="14"/>
      <c r="K170" s="15"/>
      <c r="L170" s="14"/>
      <c r="M170" s="1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3.2">
      <c r="A171" s="14"/>
      <c r="B171" s="14"/>
      <c r="C171" s="14"/>
      <c r="D171" s="14"/>
      <c r="E171" s="12"/>
      <c r="F171" s="12"/>
      <c r="G171" s="14"/>
      <c r="H171" s="14"/>
      <c r="I171" s="15"/>
      <c r="J171" s="14"/>
      <c r="K171" s="15"/>
      <c r="L171" s="14"/>
      <c r="M171" s="1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3.2">
      <c r="A172" s="14"/>
      <c r="B172" s="14"/>
      <c r="C172" s="14"/>
      <c r="D172" s="14"/>
      <c r="E172" s="12"/>
      <c r="F172" s="12"/>
      <c r="G172" s="14"/>
      <c r="H172" s="14"/>
      <c r="I172" s="15"/>
      <c r="J172" s="14"/>
      <c r="K172" s="15"/>
      <c r="L172" s="14"/>
      <c r="M172" s="1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3.2">
      <c r="A173" s="14"/>
      <c r="B173" s="14"/>
      <c r="C173" s="14"/>
      <c r="D173" s="14"/>
      <c r="E173" s="12"/>
      <c r="F173" s="12"/>
      <c r="G173" s="14"/>
      <c r="H173" s="14"/>
      <c r="I173" s="15"/>
      <c r="J173" s="14"/>
      <c r="K173" s="15"/>
      <c r="L173" s="14"/>
      <c r="M173" s="1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3.2">
      <c r="A174" s="14"/>
      <c r="B174" s="14"/>
      <c r="C174" s="14"/>
      <c r="D174" s="14"/>
      <c r="E174" s="12"/>
      <c r="F174" s="12"/>
      <c r="G174" s="14"/>
      <c r="H174" s="14"/>
      <c r="I174" s="15"/>
      <c r="J174" s="14"/>
      <c r="K174" s="15"/>
      <c r="L174" s="14"/>
      <c r="M174" s="1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3.2">
      <c r="A175" s="14"/>
      <c r="B175" s="14"/>
      <c r="C175" s="14"/>
      <c r="D175" s="14"/>
      <c r="E175" s="12"/>
      <c r="F175" s="12"/>
      <c r="G175" s="14"/>
      <c r="H175" s="14"/>
      <c r="I175" s="15"/>
      <c r="J175" s="14"/>
      <c r="K175" s="15"/>
      <c r="L175" s="14"/>
      <c r="M175" s="1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3.2">
      <c r="A176" s="14"/>
      <c r="B176" s="14"/>
      <c r="C176" s="14"/>
      <c r="D176" s="14"/>
      <c r="E176" s="12"/>
      <c r="F176" s="12"/>
      <c r="G176" s="14"/>
      <c r="H176" s="14"/>
      <c r="I176" s="15"/>
      <c r="J176" s="14"/>
      <c r="K176" s="15"/>
      <c r="L176" s="14"/>
      <c r="M176" s="14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3.2">
      <c r="A177" s="14"/>
      <c r="B177" s="14"/>
      <c r="C177" s="14"/>
      <c r="D177" s="14"/>
      <c r="E177" s="12"/>
      <c r="F177" s="12"/>
      <c r="G177" s="14"/>
      <c r="H177" s="14"/>
      <c r="I177" s="15"/>
      <c r="J177" s="14"/>
      <c r="K177" s="15"/>
      <c r="L177" s="14"/>
      <c r="M177" s="1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3.2">
      <c r="A178" s="14"/>
      <c r="B178" s="14"/>
      <c r="C178" s="14"/>
      <c r="D178" s="14"/>
      <c r="E178" s="12"/>
      <c r="F178" s="12"/>
      <c r="G178" s="14"/>
      <c r="H178" s="14"/>
      <c r="I178" s="15"/>
      <c r="J178" s="14"/>
      <c r="K178" s="15"/>
      <c r="L178" s="14"/>
      <c r="M178" s="1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3.2">
      <c r="A179" s="14"/>
      <c r="B179" s="14"/>
      <c r="C179" s="14"/>
      <c r="D179" s="14"/>
      <c r="E179" s="12"/>
      <c r="F179" s="12"/>
      <c r="G179" s="14"/>
      <c r="H179" s="14"/>
      <c r="I179" s="15"/>
      <c r="J179" s="14"/>
      <c r="K179" s="15"/>
      <c r="L179" s="14"/>
      <c r="M179" s="1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3.2">
      <c r="A180" s="14"/>
      <c r="B180" s="14"/>
      <c r="C180" s="14"/>
      <c r="D180" s="14"/>
      <c r="E180" s="12"/>
      <c r="F180" s="12"/>
      <c r="G180" s="14"/>
      <c r="H180" s="14"/>
      <c r="I180" s="15"/>
      <c r="J180" s="14"/>
      <c r="K180" s="15"/>
      <c r="L180" s="14"/>
      <c r="M180" s="1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3.2">
      <c r="A181" s="14"/>
      <c r="B181" s="14"/>
      <c r="C181" s="14"/>
      <c r="D181" s="14"/>
      <c r="E181" s="12"/>
      <c r="F181" s="12"/>
      <c r="G181" s="14"/>
      <c r="H181" s="14"/>
      <c r="I181" s="15"/>
      <c r="J181" s="14"/>
      <c r="K181" s="15"/>
      <c r="L181" s="14"/>
      <c r="M181" s="1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3.2">
      <c r="A182" s="14"/>
      <c r="B182" s="14"/>
      <c r="C182" s="14"/>
      <c r="D182" s="14"/>
      <c r="E182" s="12"/>
      <c r="F182" s="12"/>
      <c r="G182" s="14"/>
      <c r="H182" s="14"/>
      <c r="I182" s="15"/>
      <c r="J182" s="14"/>
      <c r="K182" s="15"/>
      <c r="L182" s="14"/>
      <c r="M182" s="1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3.2">
      <c r="A183" s="14"/>
      <c r="B183" s="14"/>
      <c r="C183" s="14"/>
      <c r="D183" s="14"/>
      <c r="E183" s="12"/>
      <c r="F183" s="12"/>
      <c r="G183" s="14"/>
      <c r="H183" s="14"/>
      <c r="I183" s="15"/>
      <c r="J183" s="14"/>
      <c r="K183" s="15"/>
      <c r="L183" s="14"/>
      <c r="M183" s="14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3.2">
      <c r="A184" s="14"/>
      <c r="B184" s="14"/>
      <c r="C184" s="14"/>
      <c r="D184" s="14"/>
      <c r="E184" s="12"/>
      <c r="F184" s="12"/>
      <c r="G184" s="14"/>
      <c r="H184" s="14"/>
      <c r="I184" s="15"/>
      <c r="J184" s="14"/>
      <c r="K184" s="15"/>
      <c r="L184" s="14"/>
      <c r="M184" s="14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3.2">
      <c r="A185" s="14"/>
      <c r="B185" s="14"/>
      <c r="C185" s="14"/>
      <c r="D185" s="14"/>
      <c r="E185" s="12"/>
      <c r="F185" s="12"/>
      <c r="G185" s="14"/>
      <c r="H185" s="14"/>
      <c r="I185" s="15"/>
      <c r="J185" s="14"/>
      <c r="K185" s="15"/>
      <c r="L185" s="14"/>
      <c r="M185" s="14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3.2">
      <c r="A186" s="14"/>
      <c r="B186" s="14"/>
      <c r="C186" s="14"/>
      <c r="D186" s="14"/>
      <c r="E186" s="12"/>
      <c r="F186" s="12"/>
      <c r="G186" s="14"/>
      <c r="H186" s="14"/>
      <c r="I186" s="15"/>
      <c r="J186" s="14"/>
      <c r="K186" s="15"/>
      <c r="L186" s="14"/>
      <c r="M186" s="14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3.2">
      <c r="A187" s="14"/>
      <c r="B187" s="14"/>
      <c r="C187" s="14"/>
      <c r="D187" s="14"/>
      <c r="E187" s="12"/>
      <c r="F187" s="12"/>
      <c r="G187" s="14"/>
      <c r="H187" s="14"/>
      <c r="I187" s="15"/>
      <c r="J187" s="14"/>
      <c r="K187" s="15"/>
      <c r="L187" s="14"/>
      <c r="M187" s="1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3.2">
      <c r="A188" s="14"/>
      <c r="B188" s="14"/>
      <c r="C188" s="14"/>
      <c r="D188" s="14"/>
      <c r="E188" s="12"/>
      <c r="F188" s="12"/>
      <c r="G188" s="14"/>
      <c r="H188" s="14"/>
      <c r="I188" s="15"/>
      <c r="J188" s="14"/>
      <c r="K188" s="15"/>
      <c r="L188" s="14"/>
      <c r="M188" s="1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3.2">
      <c r="A189" s="14"/>
      <c r="B189" s="14"/>
      <c r="C189" s="14"/>
      <c r="D189" s="14"/>
      <c r="E189" s="12"/>
      <c r="F189" s="12"/>
      <c r="G189" s="14"/>
      <c r="H189" s="14"/>
      <c r="I189" s="15"/>
      <c r="J189" s="14"/>
      <c r="K189" s="15"/>
      <c r="L189" s="14"/>
      <c r="M189" s="1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3.2">
      <c r="A190" s="14"/>
      <c r="B190" s="14"/>
      <c r="C190" s="14"/>
      <c r="D190" s="14"/>
      <c r="E190" s="12"/>
      <c r="F190" s="12"/>
      <c r="G190" s="14"/>
      <c r="H190" s="14"/>
      <c r="I190" s="15"/>
      <c r="J190" s="14"/>
      <c r="K190" s="15"/>
      <c r="L190" s="14"/>
      <c r="M190" s="14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3.2">
      <c r="A191" s="14"/>
      <c r="B191" s="14"/>
      <c r="C191" s="14"/>
      <c r="D191" s="14"/>
      <c r="E191" s="12"/>
      <c r="F191" s="12"/>
      <c r="G191" s="14"/>
      <c r="H191" s="14"/>
      <c r="I191" s="15"/>
      <c r="J191" s="14"/>
      <c r="K191" s="15"/>
      <c r="L191" s="14"/>
      <c r="M191" s="14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3.2">
      <c r="A192" s="14"/>
      <c r="B192" s="14"/>
      <c r="C192" s="14"/>
      <c r="D192" s="14"/>
      <c r="E192" s="12"/>
      <c r="F192" s="12"/>
      <c r="G192" s="14"/>
      <c r="H192" s="14"/>
      <c r="I192" s="15"/>
      <c r="J192" s="14"/>
      <c r="K192" s="15"/>
      <c r="L192" s="14"/>
      <c r="M192" s="14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3.2">
      <c r="A193" s="14"/>
      <c r="B193" s="14"/>
      <c r="C193" s="14"/>
      <c r="D193" s="14"/>
      <c r="E193" s="12"/>
      <c r="F193" s="12"/>
      <c r="G193" s="14"/>
      <c r="H193" s="14"/>
      <c r="I193" s="15"/>
      <c r="J193" s="14"/>
      <c r="K193" s="15"/>
      <c r="L193" s="14"/>
      <c r="M193" s="1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3.2">
      <c r="A194" s="72" t="s">
        <v>68</v>
      </c>
      <c r="B194" s="5">
        <v>0</v>
      </c>
      <c r="C194" s="5">
        <v>0</v>
      </c>
      <c r="D194" s="9">
        <v>42992</v>
      </c>
      <c r="E194" s="10">
        <v>380.2</v>
      </c>
      <c r="F194" s="11" t="s">
        <v>21</v>
      </c>
      <c r="G194" s="12">
        <f>AVERAGE(F195,F196,F197,F202)</f>
        <v>5.1916666666666584</v>
      </c>
      <c r="H194" s="14"/>
      <c r="I194" s="13">
        <v>51.3</v>
      </c>
      <c r="J194" s="14">
        <f t="shared" ref="J194:J197" si="43">(I194-I195)/(D195-D194)</f>
        <v>4.1999999999999957</v>
      </c>
      <c r="K194" s="13">
        <v>25</v>
      </c>
      <c r="L194" s="14"/>
      <c r="M194" s="14"/>
      <c r="N194" s="7"/>
      <c r="O194" s="7"/>
      <c r="P194" s="7">
        <f>SUM(O194:O206)-104.4</f>
        <v>291.89999999999986</v>
      </c>
      <c r="Q194" s="7"/>
      <c r="R194" s="7"/>
      <c r="S194" s="73">
        <f>I194-I198</f>
        <v>28.9</v>
      </c>
      <c r="T194" s="7"/>
      <c r="U194" s="7">
        <f>SUM(T194:T195)</f>
        <v>1256.5519999999999</v>
      </c>
      <c r="V194" s="7"/>
      <c r="W194" s="7"/>
      <c r="X194" s="7"/>
      <c r="Y194" s="7"/>
      <c r="Z194" s="7"/>
      <c r="AA194" s="7"/>
      <c r="AB194" s="7"/>
    </row>
    <row r="195" spans="1:28" ht="13.2">
      <c r="A195" s="5" t="s">
        <v>23</v>
      </c>
      <c r="B195" s="5">
        <v>0</v>
      </c>
      <c r="C195" s="5">
        <v>0</v>
      </c>
      <c r="D195" s="9">
        <v>42993</v>
      </c>
      <c r="E195" s="10">
        <v>375.2</v>
      </c>
      <c r="F195" s="12">
        <f>E194-E195</f>
        <v>5</v>
      </c>
      <c r="G195" s="14"/>
      <c r="H195" s="14"/>
      <c r="I195" s="13">
        <v>47.1</v>
      </c>
      <c r="J195" s="14">
        <f t="shared" si="43"/>
        <v>4.3</v>
      </c>
      <c r="K195" s="13">
        <v>24.7</v>
      </c>
      <c r="L195" s="14"/>
      <c r="M195" s="14"/>
      <c r="N195" s="7"/>
      <c r="O195" s="75">
        <f>E199-E202</f>
        <v>30.199999999999989</v>
      </c>
      <c r="P195" s="7"/>
      <c r="Q195" s="7"/>
      <c r="R195" s="7"/>
      <c r="S195" s="73">
        <f>I199-I210</f>
        <v>60.099999999999994</v>
      </c>
      <c r="T195" s="7">
        <f>SUM(S195:S200)*5.24</f>
        <v>1256.5519999999999</v>
      </c>
      <c r="U195" s="7"/>
      <c r="V195" s="7"/>
      <c r="W195" s="7"/>
      <c r="X195" s="7"/>
      <c r="Y195" s="7"/>
      <c r="Z195" s="7"/>
      <c r="AA195" s="7"/>
      <c r="AB195" s="7"/>
    </row>
    <row r="196" spans="1:28" ht="13.2">
      <c r="A196" s="14"/>
      <c r="B196" s="5">
        <v>0</v>
      </c>
      <c r="C196" s="5">
        <v>0</v>
      </c>
      <c r="D196" s="9">
        <v>42996</v>
      </c>
      <c r="E196" s="10">
        <v>357.6</v>
      </c>
      <c r="F196" s="12">
        <f t="shared" ref="F196:F198" si="44">(E195-E196)/(D196-D195)</f>
        <v>5.8666666666666556</v>
      </c>
      <c r="G196" s="14"/>
      <c r="H196" s="14"/>
      <c r="I196" s="13">
        <v>34.200000000000003</v>
      </c>
      <c r="J196" s="14">
        <f t="shared" si="43"/>
        <v>3.9500000000000011</v>
      </c>
      <c r="K196" s="13">
        <v>24.7</v>
      </c>
      <c r="L196" s="14"/>
      <c r="M196" s="14"/>
      <c r="N196" s="7"/>
      <c r="O196" s="75">
        <f>E203-E206</f>
        <v>39.599999999999966</v>
      </c>
      <c r="P196" s="7"/>
      <c r="Q196" s="7"/>
      <c r="R196" s="7"/>
      <c r="S196" s="73">
        <f>I211-I217</f>
        <v>36.400000000000006</v>
      </c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3.2">
      <c r="A197" s="14"/>
      <c r="B197" s="5">
        <v>0</v>
      </c>
      <c r="C197" s="5">
        <v>0</v>
      </c>
      <c r="D197" s="9">
        <v>42998</v>
      </c>
      <c r="E197" s="10">
        <v>344.6</v>
      </c>
      <c r="F197" s="12">
        <f t="shared" si="44"/>
        <v>6.5</v>
      </c>
      <c r="G197" s="14"/>
      <c r="H197" s="14"/>
      <c r="I197" s="13">
        <v>26.3</v>
      </c>
      <c r="J197" s="14">
        <f t="shared" si="43"/>
        <v>3.9000000000000021</v>
      </c>
      <c r="K197" s="13">
        <v>24.8</v>
      </c>
      <c r="L197" s="14"/>
      <c r="M197" s="14"/>
      <c r="N197" s="7"/>
      <c r="O197" s="75">
        <f>E207-E210</f>
        <v>29.199999999999989</v>
      </c>
      <c r="P197" s="7"/>
      <c r="Q197" s="7"/>
      <c r="R197" s="7"/>
      <c r="S197" s="73">
        <f>65.5-I224</f>
        <v>32.200000000000003</v>
      </c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3.2">
      <c r="A198" s="14"/>
      <c r="B198" s="5">
        <v>0</v>
      </c>
      <c r="C198" s="5">
        <v>0</v>
      </c>
      <c r="D198" s="17">
        <v>42999</v>
      </c>
      <c r="E198" s="10">
        <v>338.3</v>
      </c>
      <c r="F198" s="12">
        <f t="shared" si="44"/>
        <v>6.3000000000000114</v>
      </c>
      <c r="G198" s="14"/>
      <c r="H198" s="14"/>
      <c r="I198" s="13">
        <v>22.4</v>
      </c>
      <c r="J198" s="14">
        <f>(I197-I198)/(D198-D197)</f>
        <v>3.9000000000000021</v>
      </c>
      <c r="K198" s="13">
        <v>25.3</v>
      </c>
      <c r="L198" s="14"/>
      <c r="M198" s="14"/>
      <c r="N198" s="7"/>
      <c r="O198" s="75">
        <f>E211-E214</f>
        <v>36.099999999999966</v>
      </c>
      <c r="P198" s="7"/>
      <c r="Q198" s="7"/>
      <c r="R198" s="7"/>
      <c r="S198" s="73">
        <f>63.2-I229</f>
        <v>30.5</v>
      </c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3.2">
      <c r="A199" s="14"/>
      <c r="B199" s="5">
        <v>0.5</v>
      </c>
      <c r="C199" s="5">
        <v>0</v>
      </c>
      <c r="D199" s="17">
        <v>42999</v>
      </c>
      <c r="E199" s="10">
        <v>395.3</v>
      </c>
      <c r="F199" s="12"/>
      <c r="G199" s="14"/>
      <c r="H199" s="14"/>
      <c r="I199" s="13">
        <v>78.3</v>
      </c>
      <c r="J199" s="14"/>
      <c r="K199" s="13"/>
      <c r="L199" s="14"/>
      <c r="M199" s="14"/>
      <c r="N199" s="7"/>
      <c r="O199" s="75">
        <f>E215-E218</f>
        <v>36.099999999999966</v>
      </c>
      <c r="P199" s="7"/>
      <c r="Q199" s="7"/>
      <c r="R199" s="7"/>
      <c r="S199" s="73">
        <f>I230-I239</f>
        <v>41.7</v>
      </c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3.2">
      <c r="A200" s="14"/>
      <c r="B200" s="5">
        <v>0.5</v>
      </c>
      <c r="C200" s="5">
        <f t="shared" ref="C200:C255" si="45">D200-$D$7</f>
        <v>1</v>
      </c>
      <c r="D200" s="17">
        <v>43000</v>
      </c>
      <c r="E200" s="10">
        <v>386.6</v>
      </c>
      <c r="F200" s="12">
        <f t="shared" ref="F200:F202" si="46">(E199-E200)/(D200-D199)</f>
        <v>8.6999999999999886</v>
      </c>
      <c r="G200" s="14"/>
      <c r="H200" s="14"/>
      <c r="I200" s="13">
        <v>74.099999999999994</v>
      </c>
      <c r="J200" s="14">
        <f t="shared" ref="J200:J202" si="47">(I199-I200)/(D200-D199)</f>
        <v>4.2000000000000028</v>
      </c>
      <c r="K200" s="13">
        <v>26.3</v>
      </c>
      <c r="L200" s="14"/>
      <c r="M200" s="14"/>
      <c r="N200" s="7"/>
      <c r="O200" s="75">
        <f>E219-E222</f>
        <v>34.100000000000023</v>
      </c>
      <c r="P200" s="7"/>
      <c r="Q200" s="7"/>
      <c r="R200" s="7"/>
      <c r="S200" s="73">
        <f>115.1-I247</f>
        <v>38.899999999999991</v>
      </c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3.2">
      <c r="A201" s="14"/>
      <c r="B201" s="5">
        <v>0.5</v>
      </c>
      <c r="C201" s="5">
        <f t="shared" si="45"/>
        <v>4</v>
      </c>
      <c r="D201" s="9">
        <v>43003</v>
      </c>
      <c r="E201" s="10">
        <v>371.9</v>
      </c>
      <c r="F201" s="12">
        <f t="shared" si="46"/>
        <v>4.9000000000000155</v>
      </c>
      <c r="G201" s="14"/>
      <c r="H201" s="14"/>
      <c r="I201" s="13">
        <v>64.3</v>
      </c>
      <c r="J201" s="16">
        <f t="shared" si="47"/>
        <v>3.2666666666666657</v>
      </c>
      <c r="K201" s="13">
        <v>26.8</v>
      </c>
      <c r="L201" s="14"/>
      <c r="M201" s="14"/>
      <c r="N201" s="7"/>
      <c r="O201" s="75">
        <f>E223-E226</f>
        <v>30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3.2">
      <c r="A202" s="14"/>
      <c r="B202" s="5">
        <v>0.5</v>
      </c>
      <c r="C202" s="5">
        <f t="shared" si="45"/>
        <v>6</v>
      </c>
      <c r="D202" s="9">
        <v>43005</v>
      </c>
      <c r="E202" s="10">
        <v>365.1</v>
      </c>
      <c r="F202" s="12">
        <f t="shared" si="46"/>
        <v>3.3999999999999773</v>
      </c>
      <c r="G202" s="14"/>
      <c r="H202" s="14"/>
      <c r="I202" s="13">
        <v>59.3</v>
      </c>
      <c r="J202" s="14">
        <f t="shared" si="47"/>
        <v>2.5</v>
      </c>
      <c r="K202" s="18">
        <v>26.9</v>
      </c>
      <c r="L202" s="14"/>
      <c r="M202" s="14"/>
      <c r="N202" s="7"/>
      <c r="O202" s="75">
        <f>E227-E230</f>
        <v>32.399999999999977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3.2">
      <c r="A203" s="14"/>
      <c r="B203" s="76">
        <v>1</v>
      </c>
      <c r="C203" s="5">
        <f t="shared" si="45"/>
        <v>6</v>
      </c>
      <c r="D203" s="9">
        <v>43005</v>
      </c>
      <c r="E203" s="10">
        <v>371.4</v>
      </c>
      <c r="F203" s="11"/>
      <c r="H203" s="14"/>
      <c r="I203" s="13"/>
      <c r="J203" s="14"/>
      <c r="K203" s="13"/>
      <c r="L203" s="14"/>
      <c r="M203" s="14"/>
      <c r="N203" s="7"/>
      <c r="O203" s="75">
        <f>E231-E233</f>
        <v>24.5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3.2">
      <c r="A204" s="14"/>
      <c r="B204" s="5">
        <v>1</v>
      </c>
      <c r="C204" s="5">
        <f t="shared" si="45"/>
        <v>8</v>
      </c>
      <c r="D204" s="9">
        <v>43007</v>
      </c>
      <c r="E204" s="10">
        <v>359.5</v>
      </c>
      <c r="F204" s="12">
        <f t="shared" ref="F204:F206" si="48">(E203-E204)/(D204-D203)</f>
        <v>5.9499999999999886</v>
      </c>
      <c r="G204" s="14"/>
      <c r="H204" s="14"/>
      <c r="I204" s="13">
        <v>53.9</v>
      </c>
      <c r="J204" s="14">
        <f>(I202-I204)/(D204-D202)</f>
        <v>2.6999999999999993</v>
      </c>
      <c r="K204" s="13">
        <v>27.1</v>
      </c>
      <c r="L204" s="14"/>
      <c r="M204" s="14"/>
      <c r="N204" s="7"/>
      <c r="O204" s="75">
        <f>E234-E239</f>
        <v>37.899999999999977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3.2">
      <c r="A205" s="14"/>
      <c r="B205" s="5">
        <v>1</v>
      </c>
      <c r="C205" s="5">
        <f t="shared" si="45"/>
        <v>11</v>
      </c>
      <c r="D205" s="19">
        <v>43010</v>
      </c>
      <c r="E205" s="11">
        <v>346.9</v>
      </c>
      <c r="F205" s="12">
        <f t="shared" si="48"/>
        <v>4.2000000000000073</v>
      </c>
      <c r="G205" s="14"/>
      <c r="H205" s="14"/>
      <c r="I205" s="13">
        <v>45.6</v>
      </c>
      <c r="J205" s="16">
        <f t="shared" ref="J205:J206" si="49">(I204-I205)/(D205-D204)</f>
        <v>2.7666666666666657</v>
      </c>
      <c r="K205" s="13">
        <v>27.8</v>
      </c>
      <c r="L205" s="14"/>
      <c r="M205" s="14"/>
      <c r="N205" s="7"/>
      <c r="O205" s="75">
        <f>E240-E243</f>
        <v>32.199999999999989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3.2">
      <c r="A206" s="14"/>
      <c r="B206" s="5">
        <v>1</v>
      </c>
      <c r="C206" s="5">
        <f t="shared" si="45"/>
        <v>13</v>
      </c>
      <c r="D206" s="19">
        <v>43012</v>
      </c>
      <c r="E206" s="11">
        <v>331.8</v>
      </c>
      <c r="F206" s="12">
        <f t="shared" si="48"/>
        <v>7.5499999999999829</v>
      </c>
      <c r="G206" s="14"/>
      <c r="H206" s="14"/>
      <c r="I206" s="13">
        <v>40.4</v>
      </c>
      <c r="J206" s="16">
        <f t="shared" si="49"/>
        <v>2.6000000000000014</v>
      </c>
      <c r="K206" s="13">
        <v>28</v>
      </c>
      <c r="L206" s="14"/>
      <c r="M206" s="14"/>
      <c r="N206" s="7"/>
      <c r="O206" s="75">
        <f>E244-E247</f>
        <v>34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3.2">
      <c r="A207" s="14"/>
      <c r="B207" s="5">
        <v>2</v>
      </c>
      <c r="C207" s="5">
        <f t="shared" si="45"/>
        <v>14</v>
      </c>
      <c r="D207" s="20">
        <v>43013</v>
      </c>
      <c r="E207" s="11">
        <v>332.2</v>
      </c>
      <c r="F207" s="11"/>
      <c r="G207" s="14"/>
      <c r="H207" s="14"/>
      <c r="I207" s="13"/>
      <c r="J207" s="16"/>
      <c r="K207" s="13"/>
      <c r="L207" s="14"/>
      <c r="M207" s="14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3.2">
      <c r="A208" s="14"/>
      <c r="B208" s="5">
        <v>2</v>
      </c>
      <c r="C208" s="5">
        <f t="shared" si="45"/>
        <v>15</v>
      </c>
      <c r="D208" s="20">
        <v>43014</v>
      </c>
      <c r="E208" s="11">
        <v>325.39999999999998</v>
      </c>
      <c r="F208" s="12">
        <f t="shared" ref="F208:F210" si="50">(E207-E208)/(D208-D207)</f>
        <v>6.8000000000000114</v>
      </c>
      <c r="G208" s="14"/>
      <c r="H208" s="14"/>
      <c r="I208" s="13">
        <v>34.6</v>
      </c>
      <c r="J208" s="16">
        <f>(I206-I208)/(D208-D206)</f>
        <v>2.8999999999999986</v>
      </c>
      <c r="K208" s="13">
        <v>29</v>
      </c>
      <c r="L208" s="14"/>
      <c r="M208" s="14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3.2">
      <c r="A209" s="14"/>
      <c r="B209" s="5">
        <v>2</v>
      </c>
      <c r="C209" s="5">
        <f t="shared" si="45"/>
        <v>18</v>
      </c>
      <c r="D209" s="20">
        <v>43017</v>
      </c>
      <c r="E209" s="11">
        <v>312.60000000000002</v>
      </c>
      <c r="F209" s="12">
        <f t="shared" si="50"/>
        <v>4.2666666666666515</v>
      </c>
      <c r="G209" s="14"/>
      <c r="H209" s="14"/>
      <c r="I209" s="13">
        <v>24.8</v>
      </c>
      <c r="J209" s="16">
        <f t="shared" ref="J209:J210" si="51">(I208-I209)/(D209-D208)</f>
        <v>3.2666666666666671</v>
      </c>
      <c r="K209" s="13">
        <v>30.8</v>
      </c>
      <c r="L209" s="14"/>
      <c r="M209" s="14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3.2">
      <c r="A210" s="14"/>
      <c r="B210" s="5">
        <v>2</v>
      </c>
      <c r="C210" s="5">
        <f t="shared" si="45"/>
        <v>20</v>
      </c>
      <c r="D210" s="20">
        <v>43019</v>
      </c>
      <c r="E210" s="11">
        <v>303</v>
      </c>
      <c r="F210" s="12">
        <f t="shared" si="50"/>
        <v>4.8000000000000114</v>
      </c>
      <c r="G210" s="14"/>
      <c r="H210" s="14"/>
      <c r="I210" s="13">
        <v>18.2</v>
      </c>
      <c r="J210" s="14">
        <f t="shared" si="51"/>
        <v>3.3000000000000007</v>
      </c>
      <c r="K210" s="13">
        <v>31.8</v>
      </c>
      <c r="L210" s="14"/>
      <c r="M210" s="14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3.2">
      <c r="A211" s="14"/>
      <c r="B211" s="5">
        <v>3</v>
      </c>
      <c r="C211" s="5">
        <f t="shared" si="45"/>
        <v>21</v>
      </c>
      <c r="D211" s="20">
        <v>43020</v>
      </c>
      <c r="E211" s="11">
        <v>341.2</v>
      </c>
      <c r="F211" s="12"/>
      <c r="G211" s="14"/>
      <c r="H211" s="14"/>
      <c r="I211" s="13">
        <v>73.2</v>
      </c>
      <c r="J211" s="14"/>
      <c r="K211" s="13"/>
      <c r="L211" s="14"/>
      <c r="M211" s="14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3.2">
      <c r="A212" s="14"/>
      <c r="B212" s="5">
        <v>3</v>
      </c>
      <c r="C212" s="5">
        <f t="shared" si="45"/>
        <v>22</v>
      </c>
      <c r="D212" s="20">
        <f>D210+2</f>
        <v>43021</v>
      </c>
      <c r="E212" s="11">
        <v>332.8</v>
      </c>
      <c r="F212" s="12">
        <f t="shared" ref="F212:F214" si="52">(E211-E212)/(D212-D211)</f>
        <v>8.3999999999999773</v>
      </c>
      <c r="G212" s="12">
        <f>AVERAGE(F200:F243)</f>
        <v>5.8489898989898954</v>
      </c>
      <c r="H212" s="14"/>
      <c r="I212" s="13">
        <v>65.7</v>
      </c>
      <c r="J212" s="14">
        <f t="shared" ref="J212:J214" si="53">(I211-I212)/(D212-D210)</f>
        <v>3.75</v>
      </c>
      <c r="K212" s="13">
        <v>33.1</v>
      </c>
      <c r="L212" s="14"/>
      <c r="M212" s="14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3.2">
      <c r="A213" s="14"/>
      <c r="B213" s="5">
        <v>3</v>
      </c>
      <c r="C213" s="5">
        <f t="shared" si="45"/>
        <v>25</v>
      </c>
      <c r="D213" s="20">
        <f>D212+3</f>
        <v>43024</v>
      </c>
      <c r="E213" s="11">
        <v>316.2</v>
      </c>
      <c r="F213" s="12">
        <f t="shared" si="52"/>
        <v>5.5333333333333412</v>
      </c>
      <c r="G213" s="14"/>
      <c r="H213" s="14"/>
      <c r="I213" s="13">
        <v>57.5</v>
      </c>
      <c r="J213" s="14">
        <f t="shared" si="53"/>
        <v>2.0500000000000007</v>
      </c>
      <c r="K213" s="13">
        <v>34.4</v>
      </c>
      <c r="L213" s="14"/>
      <c r="M213" s="14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3.2">
      <c r="A214" s="14"/>
      <c r="B214" s="5">
        <v>3</v>
      </c>
      <c r="C214" s="5">
        <f t="shared" si="45"/>
        <v>27</v>
      </c>
      <c r="D214" s="20">
        <f>D213+2</f>
        <v>43026</v>
      </c>
      <c r="E214" s="11">
        <v>305.10000000000002</v>
      </c>
      <c r="F214" s="12">
        <f t="shared" si="52"/>
        <v>5.5499999999999829</v>
      </c>
      <c r="G214" s="14"/>
      <c r="H214" s="14"/>
      <c r="I214" s="13">
        <v>50.9</v>
      </c>
      <c r="J214" s="14">
        <f t="shared" si="53"/>
        <v>1.3200000000000003</v>
      </c>
      <c r="K214" s="13">
        <v>34</v>
      </c>
      <c r="L214" s="14"/>
      <c r="M214" s="14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3.2">
      <c r="A215" s="14"/>
      <c r="B215" s="5">
        <v>4</v>
      </c>
      <c r="C215" s="5">
        <f t="shared" si="45"/>
        <v>28</v>
      </c>
      <c r="D215" s="20">
        <v>43027</v>
      </c>
      <c r="E215" s="11">
        <v>375.9</v>
      </c>
      <c r="F215" s="12"/>
      <c r="G215" s="14"/>
      <c r="H215" s="14"/>
      <c r="I215" s="15"/>
      <c r="J215" s="14"/>
      <c r="K215" s="15"/>
      <c r="L215" s="14"/>
      <c r="M215" s="14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3.2">
      <c r="A216" s="14"/>
      <c r="B216" s="5">
        <v>4</v>
      </c>
      <c r="C216" s="5">
        <f t="shared" si="45"/>
        <v>29</v>
      </c>
      <c r="D216" s="20">
        <f>D214+2</f>
        <v>43028</v>
      </c>
      <c r="E216" s="11">
        <v>369.1</v>
      </c>
      <c r="F216" s="12">
        <f t="shared" ref="F216:F218" si="54">(E215-E216)/(D216-D215)</f>
        <v>6.7999999999999545</v>
      </c>
      <c r="G216" s="14"/>
      <c r="H216" s="14"/>
      <c r="I216" s="13">
        <v>45.2</v>
      </c>
      <c r="J216" s="15">
        <f>(I214-I216)/(D216-D214)</f>
        <v>2.8499999999999979</v>
      </c>
      <c r="K216" s="13">
        <v>34.4</v>
      </c>
      <c r="L216" s="14"/>
      <c r="M216" s="14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3.2">
      <c r="A217" s="14"/>
      <c r="B217" s="5">
        <v>4</v>
      </c>
      <c r="C217" s="5">
        <f t="shared" si="45"/>
        <v>32</v>
      </c>
      <c r="D217" s="20">
        <v>43031</v>
      </c>
      <c r="E217" s="11">
        <v>354.9</v>
      </c>
      <c r="F217" s="12">
        <f t="shared" si="54"/>
        <v>4.7333333333333485</v>
      </c>
      <c r="G217" s="14"/>
      <c r="H217" s="14"/>
      <c r="I217" s="13">
        <v>36.799999999999997</v>
      </c>
      <c r="J217" s="15">
        <f>(I216-I217)/(D217-D216)</f>
        <v>2.800000000000002</v>
      </c>
      <c r="K217" s="13">
        <v>35.200000000000003</v>
      </c>
      <c r="L217" s="14"/>
      <c r="M217" s="14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3.2">
      <c r="A218" s="14"/>
      <c r="B218" s="5">
        <v>4</v>
      </c>
      <c r="C218" s="5">
        <f t="shared" si="45"/>
        <v>34</v>
      </c>
      <c r="D218" s="20">
        <v>43033</v>
      </c>
      <c r="E218" s="11">
        <v>339.8</v>
      </c>
      <c r="F218" s="12">
        <f t="shared" si="54"/>
        <v>7.5499999999999829</v>
      </c>
      <c r="G218" s="14"/>
      <c r="H218" s="14"/>
      <c r="I218" s="13">
        <v>59.4</v>
      </c>
      <c r="J218" s="15">
        <f>(65.5-I218)/(D218-D217)</f>
        <v>3.0500000000000007</v>
      </c>
      <c r="K218" s="13">
        <v>35.9</v>
      </c>
      <c r="L218" s="14"/>
      <c r="M218" s="14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3.2">
      <c r="A219" s="14"/>
      <c r="B219" s="5">
        <v>5</v>
      </c>
      <c r="C219" s="5">
        <f t="shared" si="45"/>
        <v>35</v>
      </c>
      <c r="D219" s="20">
        <v>43034</v>
      </c>
      <c r="E219" s="11">
        <v>322</v>
      </c>
      <c r="F219" s="12"/>
      <c r="G219" s="14"/>
      <c r="H219" s="14"/>
      <c r="I219" s="15"/>
      <c r="J219" s="15"/>
      <c r="K219" s="15"/>
      <c r="L219" s="14"/>
      <c r="M219" s="14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3.2">
      <c r="A220" s="14"/>
      <c r="B220" s="5">
        <v>5</v>
      </c>
      <c r="C220" s="5">
        <f t="shared" si="45"/>
        <v>36</v>
      </c>
      <c r="D220" s="20">
        <v>43035</v>
      </c>
      <c r="E220" s="11">
        <v>316.39999999999998</v>
      </c>
      <c r="F220" s="12">
        <f t="shared" ref="F220:F222" si="55">(E219-E220)/(D220-D219)</f>
        <v>5.6000000000000227</v>
      </c>
      <c r="G220" s="14"/>
      <c r="H220" s="14"/>
      <c r="I220" s="13">
        <v>53.8</v>
      </c>
      <c r="J220" s="15">
        <f>(I218-I220)/(D220-D218)</f>
        <v>2.8000000000000007</v>
      </c>
      <c r="K220" s="13">
        <v>36.1</v>
      </c>
      <c r="L220" s="14"/>
      <c r="M220" s="14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3.2">
      <c r="A221" s="14"/>
      <c r="B221" s="5">
        <v>5</v>
      </c>
      <c r="C221" s="5">
        <f t="shared" si="45"/>
        <v>39</v>
      </c>
      <c r="D221" s="20">
        <v>43038</v>
      </c>
      <c r="E221" s="11">
        <v>295.8</v>
      </c>
      <c r="F221" s="12">
        <f t="shared" si="55"/>
        <v>6.8666666666666556</v>
      </c>
      <c r="G221" s="14"/>
      <c r="H221" s="14"/>
      <c r="I221" s="13">
        <v>45.2</v>
      </c>
      <c r="J221" s="15">
        <f t="shared" ref="J221:J222" si="56">(I220-I221)/(D221-D220)</f>
        <v>2.8666666666666649</v>
      </c>
      <c r="K221" s="13">
        <v>37.4</v>
      </c>
      <c r="L221" s="14"/>
      <c r="M221" s="14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3.2">
      <c r="A222" s="14"/>
      <c r="B222" s="5">
        <v>5</v>
      </c>
      <c r="C222" s="5">
        <f t="shared" si="45"/>
        <v>41</v>
      </c>
      <c r="D222" s="20">
        <v>43040</v>
      </c>
      <c r="E222" s="11">
        <v>287.89999999999998</v>
      </c>
      <c r="F222" s="12">
        <f t="shared" si="55"/>
        <v>3.9500000000000171</v>
      </c>
      <c r="G222" s="14"/>
      <c r="H222" s="14"/>
      <c r="I222" s="13">
        <v>38.700000000000003</v>
      </c>
      <c r="J222" s="15">
        <f t="shared" si="56"/>
        <v>3.25</v>
      </c>
      <c r="K222" s="13">
        <v>38.6</v>
      </c>
      <c r="L222" s="14"/>
      <c r="M222" s="14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3.2">
      <c r="A223" s="14"/>
      <c r="B223" s="5">
        <v>6</v>
      </c>
      <c r="C223" s="5">
        <f t="shared" si="45"/>
        <v>42</v>
      </c>
      <c r="D223" s="20">
        <v>43041</v>
      </c>
      <c r="E223" s="11">
        <v>325.3</v>
      </c>
      <c r="F223" s="12"/>
      <c r="G223" s="14"/>
      <c r="H223" s="14"/>
      <c r="I223" s="15"/>
      <c r="J223" s="14"/>
      <c r="K223" s="15"/>
      <c r="L223" s="14"/>
      <c r="M223" s="1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3.2">
      <c r="A224" s="14"/>
      <c r="B224" s="5">
        <v>6</v>
      </c>
      <c r="C224" s="5">
        <f t="shared" si="45"/>
        <v>43</v>
      </c>
      <c r="D224" s="20">
        <v>43042</v>
      </c>
      <c r="E224" s="11">
        <v>319.7</v>
      </c>
      <c r="F224" s="12">
        <f t="shared" ref="F224:F226" si="57">(E223-E224)/(D224-D223)</f>
        <v>5.6000000000000227</v>
      </c>
      <c r="G224" s="14"/>
      <c r="H224" s="14"/>
      <c r="I224" s="13">
        <v>33.299999999999997</v>
      </c>
      <c r="J224" s="15">
        <f>(I222-I224)/(D224-D222)</f>
        <v>2.7000000000000028</v>
      </c>
      <c r="K224" s="13">
        <v>38.9</v>
      </c>
      <c r="L224" s="14"/>
      <c r="M224" s="1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3.2">
      <c r="A225" s="14"/>
      <c r="B225" s="5">
        <v>6</v>
      </c>
      <c r="C225" s="5">
        <f t="shared" si="45"/>
        <v>46</v>
      </c>
      <c r="D225" s="20">
        <v>43045</v>
      </c>
      <c r="E225" s="11">
        <v>304.10000000000002</v>
      </c>
      <c r="F225" s="12">
        <f t="shared" si="57"/>
        <v>5.1999999999999886</v>
      </c>
      <c r="G225" s="14"/>
      <c r="H225" s="14"/>
      <c r="I225" s="13">
        <v>53.7</v>
      </c>
      <c r="J225" s="16">
        <f>(63.2-I225)/(D225-D224)</f>
        <v>3.1666666666666665</v>
      </c>
      <c r="K225" s="13">
        <v>40.4</v>
      </c>
      <c r="L225" s="14"/>
      <c r="M225" s="1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3.2">
      <c r="A226" s="14"/>
      <c r="B226" s="5">
        <v>6</v>
      </c>
      <c r="C226" s="5">
        <f t="shared" si="45"/>
        <v>48</v>
      </c>
      <c r="D226" s="20">
        <v>43047</v>
      </c>
      <c r="E226" s="11">
        <v>295.3</v>
      </c>
      <c r="F226" s="12">
        <f t="shared" si="57"/>
        <v>4.4000000000000057</v>
      </c>
      <c r="G226" s="14"/>
      <c r="H226" s="14"/>
      <c r="I226" s="13">
        <v>47.7</v>
      </c>
      <c r="J226" s="15">
        <f>(I225-I226)/(D226-D225)</f>
        <v>3</v>
      </c>
      <c r="K226" s="13">
        <v>40.799999999999997</v>
      </c>
      <c r="L226" s="14"/>
      <c r="M226" s="14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3.2">
      <c r="A227" s="14"/>
      <c r="B227" s="5">
        <v>7</v>
      </c>
      <c r="C227" s="5">
        <f t="shared" si="45"/>
        <v>49</v>
      </c>
      <c r="D227" s="20">
        <v>43048</v>
      </c>
      <c r="E227" s="11">
        <v>331.7</v>
      </c>
      <c r="F227" s="12"/>
      <c r="G227" s="14"/>
      <c r="H227" s="14"/>
      <c r="I227" s="15"/>
      <c r="J227" s="14"/>
      <c r="K227" s="15"/>
      <c r="L227" s="14"/>
      <c r="M227" s="14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3.2">
      <c r="A228" s="14"/>
      <c r="B228" s="5">
        <v>7</v>
      </c>
      <c r="C228" s="5">
        <f t="shared" si="45"/>
        <v>50</v>
      </c>
      <c r="D228" s="20">
        <v>43049</v>
      </c>
      <c r="E228" s="11">
        <v>323.10000000000002</v>
      </c>
      <c r="F228" s="12">
        <f t="shared" ref="F228:F230" si="58">(E227-E228)/(D228-D227)</f>
        <v>8.5999999999999659</v>
      </c>
      <c r="G228" s="14"/>
      <c r="H228" s="14"/>
      <c r="I228" s="13">
        <v>41.7</v>
      </c>
      <c r="J228" s="15">
        <f>(I226-I228)/(D228-D226)</f>
        <v>3</v>
      </c>
      <c r="K228" s="13">
        <v>41.6</v>
      </c>
      <c r="L228" s="14"/>
      <c r="M228" s="14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3.2">
      <c r="A229" s="14"/>
      <c r="B229" s="5">
        <v>7</v>
      </c>
      <c r="C229" s="5">
        <f t="shared" si="45"/>
        <v>53</v>
      </c>
      <c r="D229" s="20">
        <v>43052</v>
      </c>
      <c r="E229" s="11">
        <v>309.2</v>
      </c>
      <c r="F229" s="12">
        <f t="shared" si="58"/>
        <v>4.6333333333333444</v>
      </c>
      <c r="G229" s="14"/>
      <c r="H229" s="14"/>
      <c r="I229" s="13">
        <v>32.700000000000003</v>
      </c>
      <c r="J229" s="15">
        <f>(I228-I229)/(D229-D228)</f>
        <v>3</v>
      </c>
      <c r="K229" s="13">
        <v>42.9</v>
      </c>
      <c r="L229" s="14"/>
      <c r="M229" s="14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3.2">
      <c r="A230" s="14"/>
      <c r="B230" s="5">
        <v>7</v>
      </c>
      <c r="C230" s="5">
        <f t="shared" si="45"/>
        <v>55</v>
      </c>
      <c r="D230" s="20">
        <v>43054</v>
      </c>
      <c r="E230" s="11">
        <v>299.3</v>
      </c>
      <c r="F230" s="12">
        <f t="shared" si="58"/>
        <v>4.9499999999999886</v>
      </c>
      <c r="G230" s="14"/>
      <c r="H230" s="14"/>
      <c r="I230" s="13">
        <v>78.400000000000006</v>
      </c>
      <c r="J230" s="15"/>
      <c r="K230" s="13">
        <v>44.3</v>
      </c>
      <c r="L230" s="14"/>
      <c r="M230" s="14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3.2">
      <c r="A231" s="14"/>
      <c r="B231" s="5">
        <v>8</v>
      </c>
      <c r="C231" s="5">
        <f t="shared" si="45"/>
        <v>56</v>
      </c>
      <c r="D231" s="20">
        <v>43055</v>
      </c>
      <c r="E231" s="11">
        <v>345.7</v>
      </c>
      <c r="F231" s="12"/>
      <c r="G231" s="14"/>
      <c r="H231" s="14"/>
      <c r="I231" s="15"/>
      <c r="J231" s="14"/>
      <c r="K231" s="15"/>
      <c r="L231" s="14"/>
      <c r="M231" s="14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3.2">
      <c r="A232" s="14"/>
      <c r="B232" s="5">
        <v>8</v>
      </c>
      <c r="C232" s="5">
        <f t="shared" si="45"/>
        <v>57</v>
      </c>
      <c r="D232" s="20">
        <v>43056</v>
      </c>
      <c r="E232" s="11">
        <v>336.3</v>
      </c>
      <c r="F232" s="12">
        <f t="shared" ref="F232:F233" si="59">(E231-E232)/(D232-D231)</f>
        <v>9.3999999999999773</v>
      </c>
      <c r="G232" s="14"/>
      <c r="H232" s="14"/>
      <c r="I232" s="13">
        <v>73.2</v>
      </c>
      <c r="J232" s="15">
        <f>(I230-I232)/(D232-D230)</f>
        <v>2.6000000000000014</v>
      </c>
      <c r="K232" s="13">
        <v>44</v>
      </c>
      <c r="L232" s="14"/>
      <c r="M232" s="14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3.2">
      <c r="A233" s="14"/>
      <c r="B233" s="5">
        <v>8</v>
      </c>
      <c r="C233" s="5">
        <f t="shared" si="45"/>
        <v>60</v>
      </c>
      <c r="D233" s="20">
        <v>43059</v>
      </c>
      <c r="E233" s="11">
        <v>321.2</v>
      </c>
      <c r="F233" s="12">
        <f t="shared" si="59"/>
        <v>5.0333333333333412</v>
      </c>
      <c r="G233" s="14"/>
      <c r="H233" s="14"/>
      <c r="I233" s="13">
        <v>63.8</v>
      </c>
      <c r="J233" s="15">
        <f>(I232-I233)/(D233-D232)</f>
        <v>3.1333333333333351</v>
      </c>
      <c r="K233" s="13">
        <v>45.2</v>
      </c>
      <c r="L233" s="14"/>
      <c r="M233" s="14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3.2">
      <c r="A234" s="14"/>
      <c r="B234" s="5">
        <v>8</v>
      </c>
      <c r="C234" s="5">
        <f t="shared" si="45"/>
        <v>61</v>
      </c>
      <c r="D234" s="20">
        <v>43060</v>
      </c>
      <c r="E234" s="11">
        <v>350.4</v>
      </c>
      <c r="F234" s="12"/>
      <c r="G234" s="14"/>
      <c r="H234" s="14"/>
      <c r="J234" s="14"/>
      <c r="K234" s="15"/>
      <c r="L234" s="14"/>
      <c r="M234" s="14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3.2">
      <c r="A235" s="14"/>
      <c r="B235" s="5">
        <v>9</v>
      </c>
      <c r="C235" s="5">
        <f t="shared" si="45"/>
        <v>62</v>
      </c>
      <c r="D235" s="20">
        <v>43061</v>
      </c>
      <c r="E235" s="11">
        <v>341.9</v>
      </c>
      <c r="F235" s="12">
        <f>(E234-E235)/(D235-D234)</f>
        <v>8.5</v>
      </c>
      <c r="G235" s="14"/>
      <c r="H235" s="14"/>
      <c r="I235" s="13">
        <v>57.4</v>
      </c>
      <c r="J235" s="15">
        <f>(I233-I235)/(D235-D233)</f>
        <v>3.1999999999999993</v>
      </c>
      <c r="K235" s="13">
        <v>46.1</v>
      </c>
      <c r="L235" s="14"/>
      <c r="M235" s="14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3.2">
      <c r="A236" s="14"/>
      <c r="B236" s="5">
        <v>9</v>
      </c>
      <c r="C236" s="5">
        <f t="shared" si="45"/>
        <v>63</v>
      </c>
      <c r="D236" s="20">
        <v>43062</v>
      </c>
      <c r="E236" s="11"/>
      <c r="F236" s="12"/>
      <c r="G236" s="14"/>
      <c r="H236" s="14"/>
      <c r="I236" s="13"/>
      <c r="J236" s="15"/>
      <c r="K236" s="13"/>
      <c r="L236" s="14"/>
      <c r="M236" s="14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3.2">
      <c r="A237" s="14"/>
      <c r="B237" s="5">
        <v>9</v>
      </c>
      <c r="C237" s="5">
        <f t="shared" si="45"/>
        <v>64</v>
      </c>
      <c r="D237" s="20">
        <v>43063</v>
      </c>
      <c r="E237" s="11">
        <v>334</v>
      </c>
      <c r="F237" s="12">
        <f>(E235-E237)/(D237-D235)</f>
        <v>3.9499999999999886</v>
      </c>
      <c r="G237" s="14"/>
      <c r="H237" s="14"/>
      <c r="I237" s="13">
        <v>51.4</v>
      </c>
      <c r="J237" s="15">
        <f>(I235-I237)/(D237-D235)</f>
        <v>3</v>
      </c>
      <c r="K237" s="13">
        <v>46.8</v>
      </c>
      <c r="L237" s="14"/>
      <c r="M237" s="14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3.2">
      <c r="A238" s="14"/>
      <c r="B238" s="5">
        <v>9</v>
      </c>
      <c r="C238" s="5">
        <f t="shared" si="45"/>
        <v>67</v>
      </c>
      <c r="D238" s="23">
        <v>43066</v>
      </c>
      <c r="E238" s="11">
        <v>320.10000000000002</v>
      </c>
      <c r="F238" s="12">
        <f t="shared" ref="F238:F239" si="60">(E237-E238)/(D238-D237)</f>
        <v>4.6333333333333258</v>
      </c>
      <c r="G238" s="14"/>
      <c r="H238" s="14"/>
      <c r="I238" s="13">
        <v>42.2</v>
      </c>
      <c r="J238" s="15">
        <f t="shared" ref="J238:J239" si="61">(I237-I238)/(D238-D237)</f>
        <v>3.0666666666666651</v>
      </c>
      <c r="K238" s="13">
        <v>48.1</v>
      </c>
      <c r="L238" s="14"/>
      <c r="M238" s="14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3.2">
      <c r="A239" s="14"/>
      <c r="B239" s="5">
        <v>9</v>
      </c>
      <c r="C239" s="5">
        <f t="shared" si="45"/>
        <v>69</v>
      </c>
      <c r="D239" s="23">
        <v>43068</v>
      </c>
      <c r="E239" s="11">
        <v>312.5</v>
      </c>
      <c r="F239" s="12">
        <f t="shared" si="60"/>
        <v>3.8000000000000114</v>
      </c>
      <c r="G239" s="14"/>
      <c r="H239" s="14"/>
      <c r="I239" s="13">
        <v>36.700000000000003</v>
      </c>
      <c r="J239" s="15">
        <f t="shared" si="61"/>
        <v>2.75</v>
      </c>
      <c r="K239" s="13">
        <v>48.3</v>
      </c>
      <c r="L239" s="14"/>
      <c r="M239" s="14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3.2">
      <c r="A240" s="14"/>
      <c r="B240" s="5">
        <v>10</v>
      </c>
      <c r="C240" s="5">
        <f t="shared" si="45"/>
        <v>70</v>
      </c>
      <c r="D240" s="23">
        <v>43069</v>
      </c>
      <c r="E240" s="11">
        <v>335.5</v>
      </c>
      <c r="F240" s="12"/>
      <c r="G240" s="14"/>
      <c r="H240" s="14"/>
      <c r="I240" s="15"/>
      <c r="J240" s="14"/>
      <c r="K240" s="15"/>
      <c r="L240" s="14"/>
      <c r="M240" s="14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3.2">
      <c r="A241" s="14"/>
      <c r="B241" s="5">
        <v>10</v>
      </c>
      <c r="C241" s="5">
        <f t="shared" si="45"/>
        <v>71</v>
      </c>
      <c r="D241" s="23">
        <v>43070</v>
      </c>
      <c r="E241" s="11">
        <v>326.3</v>
      </c>
      <c r="F241" s="12">
        <f t="shared" ref="F241:F243" si="62">(E240-E241)/(D241-D240)</f>
        <v>9.1999999999999886</v>
      </c>
      <c r="G241" s="14"/>
      <c r="H241" s="14"/>
      <c r="I241" s="13">
        <v>110.1</v>
      </c>
      <c r="J241" s="14">
        <f>(115.1-I241)/(D241-D239)</f>
        <v>2.5</v>
      </c>
      <c r="K241" s="13">
        <v>48.7</v>
      </c>
      <c r="L241" s="14"/>
      <c r="M241" s="14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3.2">
      <c r="A242" s="14"/>
      <c r="B242" s="5">
        <v>10</v>
      </c>
      <c r="C242" s="5">
        <f t="shared" si="45"/>
        <v>74</v>
      </c>
      <c r="D242" s="23">
        <v>43073</v>
      </c>
      <c r="E242" s="11">
        <v>314.7</v>
      </c>
      <c r="F242" s="12">
        <f t="shared" si="62"/>
        <v>3.8666666666666742</v>
      </c>
      <c r="G242" s="14"/>
      <c r="H242" s="14"/>
      <c r="I242" s="13">
        <v>101.1</v>
      </c>
      <c r="J242" s="15">
        <f t="shared" ref="J242:J243" si="63">(I241-I242)/(D242-D241)</f>
        <v>3</v>
      </c>
      <c r="K242" s="13">
        <v>48.9</v>
      </c>
      <c r="L242" s="14"/>
      <c r="M242" s="14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3.2">
      <c r="A243" s="14"/>
      <c r="B243" s="5">
        <v>10</v>
      </c>
      <c r="C243" s="5">
        <f t="shared" si="45"/>
        <v>76</v>
      </c>
      <c r="D243" s="23">
        <v>43075</v>
      </c>
      <c r="E243" s="11">
        <v>303.3</v>
      </c>
      <c r="F243" s="12">
        <f t="shared" si="62"/>
        <v>5.6999999999999886</v>
      </c>
      <c r="G243" s="14"/>
      <c r="H243" s="14"/>
      <c r="I243" s="13">
        <v>96</v>
      </c>
      <c r="J243" s="15">
        <f t="shared" si="63"/>
        <v>2.5499999999999972</v>
      </c>
      <c r="K243" s="13">
        <v>49</v>
      </c>
      <c r="L243" s="14"/>
      <c r="M243" s="14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3.2">
      <c r="A244" s="14"/>
      <c r="B244" s="5">
        <v>11</v>
      </c>
      <c r="C244" s="5">
        <f t="shared" si="45"/>
        <v>77</v>
      </c>
      <c r="D244" s="24">
        <v>43076</v>
      </c>
      <c r="E244" s="11">
        <v>328.6</v>
      </c>
      <c r="F244" s="12"/>
      <c r="G244" s="14"/>
      <c r="H244" s="14"/>
      <c r="I244" s="15"/>
      <c r="J244" s="14"/>
      <c r="K244" s="15"/>
      <c r="L244" s="14"/>
      <c r="M244" s="14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3.2">
      <c r="A245" s="14"/>
      <c r="B245" s="5">
        <v>11</v>
      </c>
      <c r="C245" s="5">
        <f t="shared" si="45"/>
        <v>78</v>
      </c>
      <c r="D245" s="24">
        <v>43077</v>
      </c>
      <c r="E245" s="11">
        <v>319.10000000000002</v>
      </c>
      <c r="F245" s="12">
        <f t="shared" ref="F245:F247" si="64">(E244-E245)/(D245-D244)</f>
        <v>9.5</v>
      </c>
      <c r="G245" s="14"/>
      <c r="H245" s="14"/>
      <c r="I245" s="13">
        <v>90.4</v>
      </c>
      <c r="J245" s="14">
        <f>(I243-I245)/(D245-D243)</f>
        <v>2.7999999999999972</v>
      </c>
      <c r="K245" s="13">
        <v>49.5</v>
      </c>
      <c r="L245" s="14"/>
      <c r="M245" s="14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3.2">
      <c r="A246" s="14"/>
      <c r="B246" s="5">
        <v>11</v>
      </c>
      <c r="C246" s="5">
        <f t="shared" si="45"/>
        <v>81</v>
      </c>
      <c r="D246" s="24">
        <v>43080</v>
      </c>
      <c r="E246" s="11">
        <v>307.89999999999998</v>
      </c>
      <c r="F246" s="12">
        <f t="shared" si="64"/>
        <v>3.7333333333333485</v>
      </c>
      <c r="G246" s="14"/>
      <c r="H246" s="14"/>
      <c r="I246" s="13">
        <v>81.900000000000006</v>
      </c>
      <c r="J246" s="15">
        <f t="shared" ref="J246:J247" si="65">(I245-I246)/(D246-D245)</f>
        <v>2.8333333333333335</v>
      </c>
      <c r="K246" s="13">
        <v>49.4</v>
      </c>
      <c r="L246" s="14"/>
      <c r="M246" s="14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3.2">
      <c r="A247" s="14"/>
      <c r="B247" s="5">
        <v>11</v>
      </c>
      <c r="C247" s="5">
        <f t="shared" si="45"/>
        <v>83</v>
      </c>
      <c r="D247" s="25">
        <v>43082</v>
      </c>
      <c r="E247" s="11">
        <v>294.60000000000002</v>
      </c>
      <c r="F247" s="12">
        <f t="shared" si="64"/>
        <v>6.6499999999999773</v>
      </c>
      <c r="G247" s="14"/>
      <c r="H247" s="14"/>
      <c r="I247" s="13">
        <v>76.2</v>
      </c>
      <c r="J247" s="15">
        <f t="shared" si="65"/>
        <v>2.8500000000000014</v>
      </c>
      <c r="K247" s="13">
        <v>48.1</v>
      </c>
      <c r="L247" s="14"/>
      <c r="M247" s="14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3.2">
      <c r="A248" s="14"/>
      <c r="B248" s="5">
        <v>12</v>
      </c>
      <c r="C248" s="5">
        <f t="shared" si="45"/>
        <v>84</v>
      </c>
      <c r="D248" s="24">
        <v>43083</v>
      </c>
      <c r="E248" s="12"/>
      <c r="F248" s="12"/>
      <c r="G248" s="14"/>
      <c r="H248" s="14"/>
      <c r="I248" s="15"/>
      <c r="J248" s="14"/>
      <c r="K248" s="36"/>
      <c r="L248" s="14"/>
      <c r="M248" s="14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3.2">
      <c r="A249" s="80"/>
      <c r="B249" s="76">
        <v>12</v>
      </c>
      <c r="C249" s="76">
        <f t="shared" si="45"/>
        <v>85</v>
      </c>
      <c r="D249" s="90">
        <v>43084</v>
      </c>
      <c r="E249" s="91"/>
      <c r="F249" s="91"/>
      <c r="G249" s="80"/>
      <c r="H249" s="80"/>
      <c r="I249" s="92"/>
      <c r="J249" s="80"/>
      <c r="K249" s="109">
        <v>48.1</v>
      </c>
      <c r="L249" s="80"/>
      <c r="M249" s="80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3.2">
      <c r="A250" s="14"/>
      <c r="B250" s="5">
        <v>12</v>
      </c>
      <c r="C250" s="5">
        <f t="shared" si="45"/>
        <v>98</v>
      </c>
      <c r="D250" s="32">
        <v>43097</v>
      </c>
      <c r="E250" s="12"/>
      <c r="F250" s="12"/>
      <c r="G250" s="14"/>
      <c r="H250" s="14"/>
      <c r="I250" s="33">
        <v>65.7</v>
      </c>
      <c r="J250" s="14"/>
      <c r="K250" s="33">
        <v>49.4</v>
      </c>
      <c r="L250" s="14"/>
      <c r="M250" s="14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3.2">
      <c r="A251" s="14"/>
      <c r="B251" s="5">
        <v>12</v>
      </c>
      <c r="C251" s="5">
        <f t="shared" si="45"/>
        <v>105</v>
      </c>
      <c r="D251" s="32">
        <v>43104</v>
      </c>
      <c r="E251" s="12"/>
      <c r="F251" s="12"/>
      <c r="G251" s="14"/>
      <c r="H251" s="14"/>
      <c r="I251" s="33">
        <v>43.9</v>
      </c>
      <c r="J251" s="14"/>
      <c r="K251" s="33">
        <v>50</v>
      </c>
      <c r="L251" s="14"/>
      <c r="M251" s="14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3.2">
      <c r="A252" s="14"/>
      <c r="B252" s="14"/>
      <c r="C252" s="5">
        <f t="shared" si="45"/>
        <v>112</v>
      </c>
      <c r="D252" s="32">
        <v>43111</v>
      </c>
      <c r="E252" s="12"/>
      <c r="F252" s="12"/>
      <c r="G252" s="14"/>
      <c r="H252" s="14"/>
      <c r="I252" s="33">
        <v>23.8</v>
      </c>
      <c r="J252" s="14"/>
      <c r="K252" s="33">
        <v>50.4</v>
      </c>
      <c r="L252" s="14"/>
      <c r="M252" s="14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3.2">
      <c r="A253" s="1"/>
      <c r="B253" s="14"/>
      <c r="C253" s="5">
        <f t="shared" si="45"/>
        <v>116</v>
      </c>
      <c r="D253" s="94">
        <v>43115</v>
      </c>
      <c r="E253" s="10"/>
      <c r="F253" s="11"/>
      <c r="G253" s="14"/>
      <c r="H253" s="14"/>
      <c r="I253" s="33"/>
      <c r="J253" s="16"/>
      <c r="K253" s="33"/>
      <c r="L253" s="14"/>
      <c r="M253" s="14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3.2">
      <c r="A254" s="1"/>
      <c r="B254" s="14"/>
      <c r="C254" s="5">
        <f t="shared" si="45"/>
        <v>117</v>
      </c>
      <c r="D254" s="32">
        <v>43116</v>
      </c>
      <c r="E254" s="10"/>
      <c r="F254" s="11"/>
      <c r="G254" s="14"/>
      <c r="H254" s="14"/>
      <c r="I254" s="33">
        <v>33.9</v>
      </c>
      <c r="J254" s="16"/>
      <c r="K254" s="33">
        <v>48.8</v>
      </c>
      <c r="L254" s="14"/>
      <c r="M254" s="14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3.2">
      <c r="A255" s="1"/>
      <c r="B255" s="14"/>
      <c r="C255" s="5">
        <f t="shared" si="45"/>
        <v>124</v>
      </c>
      <c r="D255" s="35">
        <v>43123</v>
      </c>
      <c r="E255" s="10"/>
      <c r="F255" s="11"/>
      <c r="G255" s="14"/>
      <c r="H255" s="14"/>
      <c r="I255" s="33">
        <v>35.4</v>
      </c>
      <c r="J255" s="16"/>
      <c r="K255" s="33">
        <v>50.7</v>
      </c>
      <c r="L255" s="14"/>
      <c r="M255" s="14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3.2">
      <c r="A256" s="1"/>
      <c r="B256" s="5"/>
      <c r="C256" s="5">
        <v>131</v>
      </c>
      <c r="D256" s="17">
        <v>43130</v>
      </c>
      <c r="E256" s="10"/>
      <c r="F256" s="11"/>
      <c r="G256" s="14"/>
      <c r="H256" s="14"/>
      <c r="I256" s="36">
        <v>65.3</v>
      </c>
      <c r="J256" s="16"/>
      <c r="K256" s="36">
        <v>52.2</v>
      </c>
      <c r="L256" s="14"/>
      <c r="M256" s="14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3.2">
      <c r="A257" s="1"/>
      <c r="B257" s="5"/>
      <c r="C257" s="5">
        <v>138</v>
      </c>
      <c r="D257" s="17">
        <v>43137</v>
      </c>
      <c r="E257" s="10"/>
      <c r="F257" s="11"/>
      <c r="G257" s="14"/>
      <c r="H257" s="14"/>
      <c r="I257" s="33">
        <v>44.5</v>
      </c>
      <c r="J257" s="110"/>
      <c r="K257" s="33">
        <v>52</v>
      </c>
      <c r="L257" s="14"/>
      <c r="M257" s="14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3.2">
      <c r="A258" s="1"/>
      <c r="B258" s="5"/>
      <c r="C258" s="5">
        <v>145</v>
      </c>
      <c r="D258" s="20">
        <v>43144</v>
      </c>
      <c r="E258" s="10"/>
      <c r="F258" s="11"/>
      <c r="G258" s="14"/>
      <c r="H258" s="14"/>
      <c r="I258" s="13">
        <v>24.4</v>
      </c>
      <c r="J258" s="16"/>
      <c r="K258" s="13">
        <v>52.4</v>
      </c>
      <c r="L258" s="14"/>
      <c r="M258" s="14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3.2">
      <c r="A259" s="1"/>
      <c r="B259" s="5"/>
      <c r="C259" s="5">
        <v>152</v>
      </c>
      <c r="D259" s="20">
        <v>43151</v>
      </c>
      <c r="E259" s="10"/>
      <c r="F259" s="11"/>
      <c r="G259" s="14"/>
      <c r="H259" s="14"/>
      <c r="I259" s="13">
        <v>75.400000000000006</v>
      </c>
      <c r="J259" s="16"/>
      <c r="K259" s="13">
        <v>54</v>
      </c>
      <c r="L259" s="14"/>
      <c r="M259" s="1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3.2">
      <c r="A260" s="1"/>
      <c r="B260" s="5"/>
      <c r="C260" s="5">
        <v>159</v>
      </c>
      <c r="D260" s="20">
        <v>43158</v>
      </c>
      <c r="E260" s="10"/>
      <c r="F260" s="11"/>
      <c r="G260" s="14"/>
      <c r="H260" s="14"/>
      <c r="I260" s="13">
        <v>54.3</v>
      </c>
      <c r="J260" s="16"/>
      <c r="K260" s="13">
        <v>54.1</v>
      </c>
      <c r="L260" s="14"/>
      <c r="M260" s="1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3.2">
      <c r="A261" s="1"/>
      <c r="B261" s="5"/>
      <c r="C261" s="5">
        <v>166</v>
      </c>
      <c r="D261" s="20">
        <v>43165</v>
      </c>
      <c r="E261" s="10"/>
      <c r="F261" s="11"/>
      <c r="G261" s="14"/>
      <c r="H261" s="14"/>
      <c r="I261" s="13">
        <v>33.1</v>
      </c>
      <c r="J261" s="16"/>
      <c r="K261" s="13">
        <v>54.8</v>
      </c>
      <c r="L261" s="14"/>
      <c r="M261" s="1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3.2">
      <c r="A262" s="1"/>
      <c r="B262" s="5"/>
      <c r="C262" s="5">
        <v>173</v>
      </c>
      <c r="D262" s="20">
        <v>43172</v>
      </c>
      <c r="E262" s="10"/>
      <c r="F262" s="11"/>
      <c r="G262" s="14"/>
      <c r="H262" s="14"/>
      <c r="I262" s="13">
        <v>11.8</v>
      </c>
      <c r="J262" s="16"/>
      <c r="K262" s="13">
        <v>55.9</v>
      </c>
      <c r="L262" s="14"/>
      <c r="M262" s="14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3.2">
      <c r="A263" s="1"/>
      <c r="B263" s="5"/>
      <c r="C263" s="5"/>
      <c r="D263" s="9"/>
      <c r="E263" s="10"/>
      <c r="F263" s="11"/>
      <c r="G263" s="14"/>
      <c r="H263" s="14"/>
      <c r="I263" s="13"/>
      <c r="J263" s="16"/>
      <c r="K263" s="13"/>
      <c r="L263" s="14"/>
      <c r="M263" s="14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39.6">
      <c r="A264" s="1"/>
      <c r="B264" s="5" t="s">
        <v>60</v>
      </c>
      <c r="C264" s="97">
        <f t="shared" ref="C264:C291" si="66">1+C263</f>
        <v>1</v>
      </c>
      <c r="D264" s="98">
        <v>43192</v>
      </c>
      <c r="E264" s="10"/>
      <c r="F264" s="11"/>
      <c r="G264" s="14"/>
      <c r="H264" s="14"/>
      <c r="I264" s="13"/>
      <c r="J264" s="16"/>
      <c r="K264" s="105">
        <v>39.700000000000003</v>
      </c>
      <c r="L264" s="14"/>
      <c r="M264" s="14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3.2">
      <c r="A265" s="1"/>
      <c r="B265" s="14"/>
      <c r="C265" s="97">
        <f t="shared" si="66"/>
        <v>2</v>
      </c>
      <c r="D265" s="98">
        <v>43193</v>
      </c>
      <c r="E265" s="10"/>
      <c r="F265" s="11"/>
      <c r="G265" s="14"/>
      <c r="H265" s="14"/>
      <c r="I265" s="13"/>
      <c r="J265" s="16"/>
      <c r="K265" s="105">
        <v>38.299999999999997</v>
      </c>
      <c r="L265" s="14"/>
      <c r="M265" s="14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3.2">
      <c r="A266" s="1"/>
      <c r="B266" s="14"/>
      <c r="C266" s="97">
        <f t="shared" si="66"/>
        <v>3</v>
      </c>
      <c r="D266" s="98">
        <v>43194</v>
      </c>
      <c r="E266" s="10"/>
      <c r="F266" s="11"/>
      <c r="G266" s="14"/>
      <c r="H266" s="14"/>
      <c r="I266" s="13"/>
      <c r="J266" s="16"/>
      <c r="K266" s="105">
        <v>36.799999999999997</v>
      </c>
      <c r="L266" s="14"/>
      <c r="M266" s="14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3.2">
      <c r="A267" s="1"/>
      <c r="B267" s="14"/>
      <c r="C267" s="97">
        <f t="shared" si="66"/>
        <v>4</v>
      </c>
      <c r="D267" s="98">
        <v>43195</v>
      </c>
      <c r="E267" s="10"/>
      <c r="F267" s="11"/>
      <c r="G267" s="14"/>
      <c r="H267" s="14"/>
      <c r="I267" s="13"/>
      <c r="J267" s="16"/>
      <c r="K267" s="105">
        <v>36</v>
      </c>
      <c r="L267" s="14"/>
      <c r="M267" s="14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3.2">
      <c r="A268" s="1"/>
      <c r="B268" s="14"/>
      <c r="C268" s="97">
        <f t="shared" si="66"/>
        <v>5</v>
      </c>
      <c r="D268" s="98">
        <v>43196</v>
      </c>
      <c r="E268" s="10"/>
      <c r="F268" s="11"/>
      <c r="G268" s="14"/>
      <c r="H268" s="14"/>
      <c r="I268" s="13"/>
      <c r="J268" s="16"/>
      <c r="K268" s="105">
        <v>35.200000000000003</v>
      </c>
      <c r="L268" s="14"/>
      <c r="M268" s="14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3.2">
      <c r="A269" s="1"/>
      <c r="B269" s="14"/>
      <c r="C269" s="97">
        <f t="shared" si="66"/>
        <v>6</v>
      </c>
      <c r="D269" s="98">
        <v>43197</v>
      </c>
      <c r="E269" s="10"/>
      <c r="F269" s="11"/>
      <c r="G269" s="14"/>
      <c r="H269" s="14"/>
      <c r="I269" s="13"/>
      <c r="J269" s="16"/>
      <c r="K269" s="105">
        <v>34.299999999999997</v>
      </c>
      <c r="L269" s="14"/>
      <c r="M269" s="14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3.2">
      <c r="A270" s="1"/>
      <c r="B270" s="14"/>
      <c r="C270" s="97">
        <f t="shared" si="66"/>
        <v>7</v>
      </c>
      <c r="D270" s="98">
        <v>43198</v>
      </c>
      <c r="E270" s="10"/>
      <c r="F270" s="11"/>
      <c r="G270" s="14"/>
      <c r="H270" s="14"/>
      <c r="I270" s="13"/>
      <c r="J270" s="16"/>
      <c r="K270" s="105">
        <v>33.4</v>
      </c>
      <c r="L270" s="14"/>
      <c r="M270" s="14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3.2">
      <c r="A271" s="1"/>
      <c r="B271" s="14"/>
      <c r="C271" s="97">
        <f t="shared" si="66"/>
        <v>8</v>
      </c>
      <c r="D271" s="98">
        <v>43199</v>
      </c>
      <c r="E271" s="10"/>
      <c r="F271" s="11"/>
      <c r="G271" s="14"/>
      <c r="H271" s="14"/>
      <c r="I271" s="13"/>
      <c r="J271" s="16"/>
      <c r="K271" s="105">
        <v>32.1</v>
      </c>
      <c r="L271" s="14"/>
      <c r="M271" s="14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3.2">
      <c r="A272" s="1"/>
      <c r="B272" s="14"/>
      <c r="C272" s="97">
        <f t="shared" si="66"/>
        <v>9</v>
      </c>
      <c r="D272" s="98">
        <v>43200</v>
      </c>
      <c r="E272" s="10"/>
      <c r="F272" s="11"/>
      <c r="G272" s="14"/>
      <c r="H272" s="14"/>
      <c r="I272" s="13"/>
      <c r="J272" s="16"/>
      <c r="K272" s="105">
        <v>31.6</v>
      </c>
      <c r="L272" s="14"/>
      <c r="M272" s="14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3.2">
      <c r="A273" s="1"/>
      <c r="B273" s="14"/>
      <c r="C273" s="97">
        <f t="shared" si="66"/>
        <v>10</v>
      </c>
      <c r="D273" s="98">
        <v>43201</v>
      </c>
      <c r="E273" s="10"/>
      <c r="F273" s="11"/>
      <c r="G273" s="14"/>
      <c r="H273" s="14"/>
      <c r="I273" s="13"/>
      <c r="J273" s="16"/>
      <c r="K273" s="105">
        <v>30.6</v>
      </c>
      <c r="L273" s="14"/>
      <c r="M273" s="14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3.2">
      <c r="A274" s="1"/>
      <c r="B274" s="14"/>
      <c r="C274" s="97">
        <f t="shared" si="66"/>
        <v>11</v>
      </c>
      <c r="D274" s="98">
        <v>43202</v>
      </c>
      <c r="E274" s="10"/>
      <c r="F274" s="11"/>
      <c r="G274" s="14"/>
      <c r="H274" s="14"/>
      <c r="I274" s="13"/>
      <c r="J274" s="16"/>
      <c r="K274" s="105">
        <v>29.8</v>
      </c>
      <c r="L274" s="14"/>
      <c r="M274" s="14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3.2">
      <c r="A275" s="1"/>
      <c r="B275" s="14"/>
      <c r="C275" s="97">
        <f t="shared" si="66"/>
        <v>12</v>
      </c>
      <c r="D275" s="98">
        <v>43203</v>
      </c>
      <c r="E275" s="10"/>
      <c r="F275" s="11"/>
      <c r="G275" s="14"/>
      <c r="H275" s="14"/>
      <c r="I275" s="13"/>
      <c r="J275" s="16"/>
      <c r="K275" s="105">
        <v>28.8</v>
      </c>
      <c r="L275" s="14"/>
      <c r="M275" s="14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3.2">
      <c r="A276" s="1"/>
      <c r="B276" s="14"/>
      <c r="C276" s="97">
        <f t="shared" si="66"/>
        <v>13</v>
      </c>
      <c r="D276" s="98">
        <v>43204</v>
      </c>
      <c r="E276" s="10"/>
      <c r="F276" s="11"/>
      <c r="G276" s="14"/>
      <c r="H276" s="14"/>
      <c r="I276" s="13"/>
      <c r="J276" s="16"/>
      <c r="K276" s="105">
        <v>28.1</v>
      </c>
      <c r="L276" s="14"/>
      <c r="M276" s="14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3.2">
      <c r="A277" s="1"/>
      <c r="B277" s="14"/>
      <c r="C277" s="97">
        <f t="shared" si="66"/>
        <v>14</v>
      </c>
      <c r="D277" s="98">
        <v>43205</v>
      </c>
      <c r="E277" s="10"/>
      <c r="F277" s="11"/>
      <c r="G277" s="14"/>
      <c r="H277" s="14"/>
      <c r="I277" s="13"/>
      <c r="J277" s="16"/>
      <c r="K277" s="105">
        <v>27.3</v>
      </c>
      <c r="L277" s="14"/>
      <c r="M277" s="14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3.2">
      <c r="A278" s="1"/>
      <c r="B278" s="14"/>
      <c r="C278" s="97">
        <f t="shared" si="66"/>
        <v>15</v>
      </c>
      <c r="D278" s="98">
        <v>43206</v>
      </c>
      <c r="E278" s="10"/>
      <c r="F278" s="11"/>
      <c r="G278" s="14"/>
      <c r="H278" s="14"/>
      <c r="I278" s="13"/>
      <c r="J278" s="16"/>
      <c r="K278" s="105">
        <v>26.8</v>
      </c>
      <c r="L278" s="14"/>
      <c r="M278" s="14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3.2">
      <c r="A279" s="1"/>
      <c r="B279" s="14"/>
      <c r="C279" s="97">
        <f t="shared" si="66"/>
        <v>16</v>
      </c>
      <c r="D279" s="98">
        <v>43207</v>
      </c>
      <c r="E279" s="10"/>
      <c r="F279" s="11"/>
      <c r="G279" s="14"/>
      <c r="H279" s="14"/>
      <c r="I279" s="13"/>
      <c r="J279" s="16"/>
      <c r="K279" s="105">
        <v>26.1</v>
      </c>
      <c r="L279" s="14"/>
      <c r="M279" s="14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3.2">
      <c r="A280" s="1"/>
      <c r="B280" s="14"/>
      <c r="C280" s="97">
        <f t="shared" si="66"/>
        <v>17</v>
      </c>
      <c r="D280" s="98">
        <v>43208</v>
      </c>
      <c r="E280" s="10"/>
      <c r="F280" s="11"/>
      <c r="G280" s="14"/>
      <c r="H280" s="14"/>
      <c r="I280" s="13"/>
      <c r="J280" s="16"/>
      <c r="K280" s="105">
        <v>25.7</v>
      </c>
      <c r="L280" s="14"/>
      <c r="M280" s="14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3.2">
      <c r="A281" s="1"/>
      <c r="B281" s="14"/>
      <c r="C281" s="97">
        <f t="shared" si="66"/>
        <v>18</v>
      </c>
      <c r="D281" s="98">
        <v>43209</v>
      </c>
      <c r="E281" s="10"/>
      <c r="F281" s="11"/>
      <c r="G281" s="14"/>
      <c r="H281" s="14"/>
      <c r="I281" s="13"/>
      <c r="J281" s="16"/>
      <c r="K281" s="105">
        <v>25.4</v>
      </c>
      <c r="L281" s="14"/>
      <c r="M281" s="14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3.2">
      <c r="A282" s="1"/>
      <c r="B282" s="14"/>
      <c r="C282" s="97">
        <f t="shared" si="66"/>
        <v>19</v>
      </c>
      <c r="D282" s="98">
        <v>43210</v>
      </c>
      <c r="E282" s="10"/>
      <c r="F282" s="11"/>
      <c r="G282" s="14"/>
      <c r="H282" s="14"/>
      <c r="I282" s="13"/>
      <c r="J282" s="16"/>
      <c r="K282" s="105">
        <v>24.6</v>
      </c>
      <c r="L282" s="14"/>
      <c r="M282" s="14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3.2">
      <c r="A283" s="1"/>
      <c r="B283" s="14"/>
      <c r="C283" s="97">
        <f t="shared" si="66"/>
        <v>20</v>
      </c>
      <c r="D283" s="98">
        <v>43211</v>
      </c>
      <c r="E283" s="10"/>
      <c r="F283" s="11"/>
      <c r="G283" s="14"/>
      <c r="H283" s="14"/>
      <c r="I283" s="13"/>
      <c r="J283" s="16"/>
      <c r="K283" s="105">
        <v>24.1</v>
      </c>
      <c r="L283" s="14"/>
      <c r="M283" s="14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3.2">
      <c r="A284" s="1"/>
      <c r="B284" s="14"/>
      <c r="C284" s="97">
        <f t="shared" si="66"/>
        <v>21</v>
      </c>
      <c r="D284" s="98">
        <v>43212</v>
      </c>
      <c r="E284" s="10"/>
      <c r="F284" s="11"/>
      <c r="G284" s="14"/>
      <c r="H284" s="14"/>
      <c r="I284" s="13"/>
      <c r="J284" s="16"/>
      <c r="K284" s="105">
        <v>24.3</v>
      </c>
      <c r="L284" s="14"/>
      <c r="M284" s="14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3.2">
      <c r="A285" s="1"/>
      <c r="B285" s="14"/>
      <c r="C285" s="97">
        <f t="shared" si="66"/>
        <v>22</v>
      </c>
      <c r="D285" s="98">
        <v>43213</v>
      </c>
      <c r="E285" s="10"/>
      <c r="F285" s="11"/>
      <c r="G285" s="14"/>
      <c r="H285" s="14"/>
      <c r="I285" s="13"/>
      <c r="J285" s="16"/>
      <c r="K285" s="105">
        <v>23.8</v>
      </c>
      <c r="L285" s="14"/>
      <c r="M285" s="14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3.2">
      <c r="A286" s="1"/>
      <c r="B286" s="14"/>
      <c r="C286" s="97">
        <f t="shared" si="66"/>
        <v>23</v>
      </c>
      <c r="D286" s="98">
        <v>43214</v>
      </c>
      <c r="E286" s="10"/>
      <c r="F286" s="11"/>
      <c r="G286" s="14"/>
      <c r="H286" s="14"/>
      <c r="I286" s="13"/>
      <c r="J286" s="16"/>
      <c r="K286" s="105">
        <v>23.2</v>
      </c>
      <c r="L286" s="14"/>
      <c r="M286" s="14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3.2">
      <c r="A287" s="1"/>
      <c r="B287" s="14"/>
      <c r="C287" s="97">
        <f t="shared" si="66"/>
        <v>24</v>
      </c>
      <c r="D287" s="98">
        <v>43215</v>
      </c>
      <c r="E287" s="10"/>
      <c r="F287" s="11"/>
      <c r="G287" s="14"/>
      <c r="H287" s="14"/>
      <c r="I287" s="13"/>
      <c r="J287" s="16"/>
      <c r="K287" s="105">
        <v>23</v>
      </c>
      <c r="L287" s="14"/>
      <c r="M287" s="14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3.2">
      <c r="A288" s="1"/>
      <c r="B288" s="14"/>
      <c r="C288" s="97">
        <f t="shared" si="66"/>
        <v>25</v>
      </c>
      <c r="D288" s="98">
        <v>43216</v>
      </c>
      <c r="E288" s="10"/>
      <c r="F288" s="11"/>
      <c r="G288" s="14"/>
      <c r="H288" s="14"/>
      <c r="I288" s="13"/>
      <c r="J288" s="16"/>
      <c r="K288" s="105" t="s">
        <v>75</v>
      </c>
      <c r="L288" s="14"/>
      <c r="M288" s="14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3.2">
      <c r="A289" s="1"/>
      <c r="B289" s="14"/>
      <c r="C289" s="97">
        <f t="shared" si="66"/>
        <v>26</v>
      </c>
      <c r="D289" s="98">
        <v>43217</v>
      </c>
      <c r="E289" s="10"/>
      <c r="F289" s="11"/>
      <c r="G289" s="14"/>
      <c r="H289" s="14"/>
      <c r="I289" s="13"/>
      <c r="J289" s="16"/>
      <c r="K289" s="105">
        <v>21.9</v>
      </c>
      <c r="L289" s="14"/>
      <c r="M289" s="14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3.2">
      <c r="A290" s="1"/>
      <c r="B290" s="14"/>
      <c r="C290" s="97">
        <f t="shared" si="66"/>
        <v>27</v>
      </c>
      <c r="D290" s="98">
        <v>43218</v>
      </c>
      <c r="E290" s="10"/>
      <c r="F290" s="11"/>
      <c r="G290" s="14"/>
      <c r="H290" s="14"/>
      <c r="I290" s="13"/>
      <c r="J290" s="16"/>
      <c r="K290" s="105">
        <v>27.6</v>
      </c>
      <c r="L290" s="14"/>
      <c r="M290" s="14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3.2">
      <c r="A291" s="1"/>
      <c r="B291" s="14"/>
      <c r="C291" s="97">
        <f t="shared" si="66"/>
        <v>28</v>
      </c>
      <c r="D291" s="98">
        <v>43219</v>
      </c>
      <c r="E291" s="10"/>
      <c r="F291" s="11"/>
      <c r="G291" s="14"/>
      <c r="H291" s="14"/>
      <c r="I291" s="13"/>
      <c r="J291" s="16"/>
      <c r="K291" s="105" t="s">
        <v>63</v>
      </c>
      <c r="L291" s="14"/>
      <c r="M291" s="14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3.2">
      <c r="A292" s="1"/>
      <c r="B292" s="5"/>
      <c r="C292" s="5"/>
      <c r="D292" s="9"/>
      <c r="E292" s="10"/>
      <c r="F292" s="11"/>
      <c r="G292" s="14"/>
      <c r="H292" s="14"/>
      <c r="I292" s="13"/>
      <c r="J292" s="16"/>
      <c r="K292" s="13"/>
      <c r="L292" s="14"/>
      <c r="M292" s="14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3.2">
      <c r="A293" s="1"/>
      <c r="B293" s="5"/>
      <c r="C293" s="5"/>
      <c r="D293" s="9"/>
      <c r="E293" s="10"/>
      <c r="F293" s="11"/>
      <c r="G293" s="14"/>
      <c r="H293" s="14"/>
      <c r="I293" s="13"/>
      <c r="J293" s="16"/>
      <c r="K293" s="13"/>
      <c r="L293" s="14"/>
      <c r="M293" s="14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3.2">
      <c r="A294" s="1"/>
      <c r="B294" s="5"/>
      <c r="C294" s="5"/>
      <c r="D294" s="9"/>
      <c r="E294" s="10"/>
      <c r="F294" s="11"/>
      <c r="G294" s="14"/>
      <c r="H294" s="14"/>
      <c r="I294" s="13"/>
      <c r="J294" s="16"/>
      <c r="K294" s="13"/>
      <c r="L294" s="14"/>
      <c r="M294" s="14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3.2">
      <c r="A295" s="1"/>
      <c r="B295" s="5"/>
      <c r="C295" s="5"/>
      <c r="D295" s="9"/>
      <c r="E295" s="10"/>
      <c r="F295" s="11"/>
      <c r="G295" s="14"/>
      <c r="H295" s="14"/>
      <c r="I295" s="13"/>
      <c r="J295" s="16"/>
      <c r="K295" s="13"/>
      <c r="L295" s="14"/>
      <c r="M295" s="14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3.2">
      <c r="A296" s="72" t="s">
        <v>76</v>
      </c>
      <c r="B296" s="5">
        <v>0</v>
      </c>
      <c r="C296" s="5">
        <v>0</v>
      </c>
      <c r="D296" s="9">
        <v>42992</v>
      </c>
      <c r="E296" s="10">
        <v>363.3</v>
      </c>
      <c r="F296" s="11" t="s">
        <v>21</v>
      </c>
      <c r="G296" s="12">
        <f>AVERAGE(F297,F298,F299,F304)</f>
        <v>4.9055555555555559</v>
      </c>
      <c r="H296" s="14"/>
      <c r="I296" s="13">
        <v>62.2</v>
      </c>
      <c r="J296" s="16">
        <f t="shared" ref="J296:J299" si="67">(I296-I297)/(D297-D296)</f>
        <v>4.4000000000000057</v>
      </c>
      <c r="K296" s="13">
        <v>22.2</v>
      </c>
      <c r="L296" s="14"/>
      <c r="M296" s="14"/>
      <c r="N296" s="7"/>
      <c r="O296" s="7"/>
      <c r="P296" s="7"/>
      <c r="Q296" s="7">
        <f>SUM(P296:P297)</f>
        <v>310.39999999999986</v>
      </c>
      <c r="R296" s="7"/>
      <c r="S296" s="73">
        <f>I296-I300</f>
        <v>24.700000000000003</v>
      </c>
      <c r="T296" s="7"/>
      <c r="U296" s="7">
        <f>SUM(T296:T297)</f>
        <v>1133.9359999999999</v>
      </c>
      <c r="V296" s="7"/>
      <c r="W296" s="7"/>
      <c r="X296" s="7"/>
      <c r="Y296" s="7"/>
      <c r="Z296" s="7"/>
      <c r="AA296" s="7"/>
      <c r="AB296" s="7"/>
    </row>
    <row r="297" spans="1:28" ht="13.2">
      <c r="A297" s="5" t="s">
        <v>23</v>
      </c>
      <c r="B297" s="5">
        <v>0</v>
      </c>
      <c r="C297" s="5">
        <v>0</v>
      </c>
      <c r="D297" s="9">
        <v>42993</v>
      </c>
      <c r="E297" s="10">
        <v>363.9</v>
      </c>
      <c r="F297" s="12"/>
      <c r="G297" s="14"/>
      <c r="H297" s="14"/>
      <c r="I297" s="13">
        <v>57.8</v>
      </c>
      <c r="J297" s="16">
        <f t="shared" si="67"/>
        <v>3.1666666666666665</v>
      </c>
      <c r="K297" s="13">
        <v>22.3</v>
      </c>
      <c r="L297" s="14"/>
      <c r="M297" s="14"/>
      <c r="N297" s="7"/>
      <c r="O297" s="75">
        <f>E301-E304</f>
        <v>28.699999999999989</v>
      </c>
      <c r="P297" s="75">
        <f>SUM(O297:O309)-104.4</f>
        <v>310.39999999999986</v>
      </c>
      <c r="Q297" s="7"/>
      <c r="R297" s="7"/>
      <c r="S297" s="73">
        <f>I301-I312</f>
        <v>57.7</v>
      </c>
      <c r="T297" s="7">
        <f>SUM(S297:S301)*5.24</f>
        <v>1133.9359999999999</v>
      </c>
      <c r="U297" s="7"/>
      <c r="V297" s="7"/>
      <c r="W297" s="7"/>
      <c r="X297" s="7"/>
      <c r="Y297" s="7"/>
      <c r="Z297" s="7"/>
      <c r="AA297" s="7"/>
      <c r="AB297" s="7"/>
    </row>
    <row r="298" spans="1:28" ht="13.2">
      <c r="A298" s="14"/>
      <c r="B298" s="5">
        <v>0</v>
      </c>
      <c r="C298" s="5">
        <v>0</v>
      </c>
      <c r="D298" s="9">
        <v>42996</v>
      </c>
      <c r="E298" s="10">
        <v>348.1</v>
      </c>
      <c r="F298" s="12">
        <f t="shared" ref="F298:F300" si="68">(E297-E298)/(D298-D297)</f>
        <v>5.2666666666666515</v>
      </c>
      <c r="G298" s="14"/>
      <c r="H298" s="14"/>
      <c r="I298" s="13">
        <v>48.3</v>
      </c>
      <c r="J298" s="16">
        <f t="shared" si="67"/>
        <v>3.7999999999999972</v>
      </c>
      <c r="K298" s="13">
        <v>21.3</v>
      </c>
      <c r="L298" s="14"/>
      <c r="M298" s="14"/>
      <c r="N298" s="7"/>
      <c r="O298" s="75">
        <f>E305-E308</f>
        <v>40</v>
      </c>
      <c r="P298" s="7"/>
      <c r="Q298" s="7"/>
      <c r="R298" s="7"/>
      <c r="S298" s="73">
        <f>I314-I323</f>
        <v>45.599999999999994</v>
      </c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3.2">
      <c r="A299" s="14"/>
      <c r="B299" s="5">
        <v>0</v>
      </c>
      <c r="C299" s="5">
        <v>0</v>
      </c>
      <c r="D299" s="9">
        <v>42998</v>
      </c>
      <c r="E299" s="10">
        <v>337.4</v>
      </c>
      <c r="F299" s="12">
        <f t="shared" si="68"/>
        <v>5.3500000000000227</v>
      </c>
      <c r="G299" s="14"/>
      <c r="H299" s="14"/>
      <c r="I299" s="13">
        <v>40.700000000000003</v>
      </c>
      <c r="J299" s="16">
        <f t="shared" si="67"/>
        <v>3.2000000000000028</v>
      </c>
      <c r="K299" s="13">
        <v>22.1</v>
      </c>
      <c r="L299" s="14"/>
      <c r="M299" s="14"/>
      <c r="N299" s="7"/>
      <c r="O299" s="75">
        <f>E309-E312</f>
        <v>30.399999999999977</v>
      </c>
      <c r="P299" s="7"/>
      <c r="Q299" s="7"/>
      <c r="R299" s="7"/>
      <c r="S299" s="73">
        <f>69.8-I331</f>
        <v>43.5</v>
      </c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3.2">
      <c r="A300" s="14"/>
      <c r="B300" s="5">
        <v>0</v>
      </c>
      <c r="C300" s="5">
        <v>0</v>
      </c>
      <c r="D300" s="17">
        <v>42999</v>
      </c>
      <c r="E300" s="10">
        <v>331.2</v>
      </c>
      <c r="F300" s="12">
        <f t="shared" si="68"/>
        <v>6.1999999999999886</v>
      </c>
      <c r="G300" s="14"/>
      <c r="H300" s="14"/>
      <c r="I300" s="13">
        <v>37.5</v>
      </c>
      <c r="J300" s="16">
        <f>(I299-I300)/(D300-D299)</f>
        <v>3.2000000000000028</v>
      </c>
      <c r="K300" s="13">
        <v>22.2</v>
      </c>
      <c r="L300" s="14"/>
      <c r="M300" s="14"/>
      <c r="N300" s="7"/>
      <c r="O300" s="75">
        <f>E313-E316</f>
        <v>38.199999999999989</v>
      </c>
      <c r="P300" s="7"/>
      <c r="Q300" s="7"/>
      <c r="R300" s="7"/>
      <c r="S300" s="73">
        <f>I332-I345</f>
        <v>53.399999999999991</v>
      </c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3.2">
      <c r="A301" s="14"/>
      <c r="B301" s="5">
        <v>0.5</v>
      </c>
      <c r="C301" s="5">
        <v>0</v>
      </c>
      <c r="D301" s="17">
        <v>42999</v>
      </c>
      <c r="E301" s="10">
        <v>372.3</v>
      </c>
      <c r="F301" s="12"/>
      <c r="G301" s="14"/>
      <c r="H301" s="14"/>
      <c r="I301" s="13">
        <v>86.2</v>
      </c>
      <c r="J301" s="16"/>
      <c r="K301" s="13"/>
      <c r="L301" s="14"/>
      <c r="M301" s="14"/>
      <c r="N301" s="7"/>
      <c r="O301" s="118">
        <f>E317-E319</f>
        <v>21.400000000000034</v>
      </c>
      <c r="P301" s="7"/>
      <c r="Q301" s="7"/>
      <c r="R301" s="7"/>
      <c r="S301" s="73">
        <f>I347-I349</f>
        <v>16.199999999999996</v>
      </c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3.2">
      <c r="A302" s="14"/>
      <c r="B302" s="5">
        <v>0.5</v>
      </c>
      <c r="C302" s="5">
        <f t="shared" ref="C302:C357" si="69">D302-$D$7</f>
        <v>1</v>
      </c>
      <c r="D302" s="17">
        <v>43000</v>
      </c>
      <c r="E302" s="10">
        <v>366.8</v>
      </c>
      <c r="F302" s="12">
        <f t="shared" ref="F302:F304" si="70">(E301-E302)/(D302-D301)</f>
        <v>5.5</v>
      </c>
      <c r="G302" s="14"/>
      <c r="H302" s="14"/>
      <c r="I302" s="13">
        <v>81.900000000000006</v>
      </c>
      <c r="J302" s="16">
        <f t="shared" ref="J302:J304" si="71">(I301-I302)/(D302-D301)</f>
        <v>4.2999999999999972</v>
      </c>
      <c r="K302" s="13">
        <v>23.4</v>
      </c>
      <c r="L302" s="14"/>
      <c r="M302" s="14"/>
      <c r="N302" s="7"/>
      <c r="O302" s="75">
        <f>E321-E324</f>
        <v>33.399999999999977</v>
      </c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3.2">
      <c r="A303" s="14"/>
      <c r="B303" s="5">
        <v>0.5</v>
      </c>
      <c r="C303" s="5">
        <f t="shared" si="69"/>
        <v>4</v>
      </c>
      <c r="D303" s="9">
        <v>43003</v>
      </c>
      <c r="E303" s="10">
        <v>351.8</v>
      </c>
      <c r="F303" s="12">
        <f t="shared" si="70"/>
        <v>5</v>
      </c>
      <c r="G303" s="14"/>
      <c r="H303" s="14"/>
      <c r="I303" s="13">
        <v>71.7</v>
      </c>
      <c r="J303" s="16">
        <f t="shared" si="71"/>
        <v>3.4000000000000008</v>
      </c>
      <c r="K303" s="13">
        <v>25.7</v>
      </c>
      <c r="L303" s="14"/>
      <c r="M303" s="14"/>
      <c r="N303" s="7"/>
      <c r="O303" s="75">
        <f>E325-E328</f>
        <v>33.300000000000011</v>
      </c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3.2">
      <c r="A304" s="14"/>
      <c r="B304" s="5">
        <v>0.5</v>
      </c>
      <c r="C304" s="5">
        <f t="shared" si="69"/>
        <v>6</v>
      </c>
      <c r="D304" s="9">
        <v>43005</v>
      </c>
      <c r="E304" s="10">
        <v>343.6</v>
      </c>
      <c r="F304" s="12">
        <f t="shared" si="70"/>
        <v>4.0999999999999943</v>
      </c>
      <c r="G304" s="14"/>
      <c r="H304" s="14"/>
      <c r="I304" s="13">
        <v>66</v>
      </c>
      <c r="J304" s="16">
        <f t="shared" si="71"/>
        <v>2.8500000000000014</v>
      </c>
      <c r="K304" s="18">
        <v>26.7</v>
      </c>
      <c r="L304" s="14"/>
      <c r="M304" s="14"/>
      <c r="N304" s="7"/>
      <c r="O304" s="75">
        <f>E329-E332</f>
        <v>34.399999999999977</v>
      </c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3.2">
      <c r="A305" s="14"/>
      <c r="B305" s="76">
        <v>1</v>
      </c>
      <c r="C305" s="5">
        <f t="shared" si="69"/>
        <v>6</v>
      </c>
      <c r="D305" s="9">
        <v>43005</v>
      </c>
      <c r="E305" s="10">
        <v>327.7</v>
      </c>
      <c r="F305" s="11"/>
      <c r="H305" s="14"/>
      <c r="I305" s="13" t="s">
        <v>57</v>
      </c>
      <c r="J305" s="16"/>
      <c r="K305" s="13"/>
      <c r="L305" s="14"/>
      <c r="M305" s="14"/>
      <c r="N305" s="7"/>
      <c r="O305" s="75">
        <f>E329-E332</f>
        <v>34.399999999999977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3.2">
      <c r="A306" s="14"/>
      <c r="B306" s="5">
        <v>1</v>
      </c>
      <c r="C306" s="5">
        <f t="shared" si="69"/>
        <v>8</v>
      </c>
      <c r="D306" s="9">
        <v>43007</v>
      </c>
      <c r="E306" s="10">
        <v>315.8</v>
      </c>
      <c r="F306" s="12">
        <f t="shared" ref="F306:F308" si="72">(E305-E306)/(D306-D305)</f>
        <v>5.9499999999999886</v>
      </c>
      <c r="G306" s="14"/>
      <c r="H306" s="14"/>
      <c r="I306" s="13">
        <v>60</v>
      </c>
      <c r="J306" s="16">
        <f>(I304-I306)/(D306-D304)</f>
        <v>3</v>
      </c>
      <c r="K306" s="13">
        <v>27.3</v>
      </c>
      <c r="L306" s="14"/>
      <c r="M306" s="14"/>
      <c r="N306" s="7"/>
      <c r="O306" s="75">
        <f>E333-E335</f>
        <v>25.299999999999955</v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3.2">
      <c r="A307" s="14"/>
      <c r="B307" s="5">
        <v>1</v>
      </c>
      <c r="C307" s="5">
        <f t="shared" si="69"/>
        <v>11</v>
      </c>
      <c r="D307" s="19">
        <v>43010</v>
      </c>
      <c r="E307" s="11">
        <v>302.5</v>
      </c>
      <c r="F307" s="12">
        <f t="shared" si="72"/>
        <v>4.4333333333333371</v>
      </c>
      <c r="G307" s="14"/>
      <c r="H307" s="14"/>
      <c r="I307" s="13">
        <v>52.7</v>
      </c>
      <c r="J307" s="16">
        <f t="shared" ref="J307:J308" si="73">(I306-I307)/(D307-D306)</f>
        <v>2.4333333333333322</v>
      </c>
      <c r="K307" s="13">
        <v>27.4</v>
      </c>
      <c r="L307" s="14"/>
      <c r="M307" s="14"/>
      <c r="N307" s="7"/>
      <c r="O307" s="75">
        <f>E336-E341</f>
        <v>38.199999999999989</v>
      </c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3.2">
      <c r="A308" s="14"/>
      <c r="B308" s="5">
        <v>1</v>
      </c>
      <c r="C308" s="5">
        <f t="shared" si="69"/>
        <v>13</v>
      </c>
      <c r="D308" s="19">
        <v>43012</v>
      </c>
      <c r="E308" s="11">
        <v>287.7</v>
      </c>
      <c r="F308" s="12">
        <f t="shared" si="72"/>
        <v>7.4000000000000057</v>
      </c>
      <c r="G308" s="14"/>
      <c r="H308" s="14"/>
      <c r="I308" s="13">
        <v>47.9</v>
      </c>
      <c r="J308" s="16">
        <f t="shared" si="73"/>
        <v>2.4000000000000021</v>
      </c>
      <c r="K308" s="13">
        <v>27.8</v>
      </c>
      <c r="L308" s="14"/>
      <c r="M308" s="14"/>
      <c r="N308" s="7"/>
      <c r="O308" s="75">
        <f>E342-E345</f>
        <v>27.100000000000023</v>
      </c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3.2">
      <c r="A309" s="14"/>
      <c r="B309" s="5">
        <v>2</v>
      </c>
      <c r="C309" s="5">
        <f t="shared" si="69"/>
        <v>14</v>
      </c>
      <c r="D309" s="20">
        <v>43013</v>
      </c>
      <c r="E309" s="11">
        <v>343.2</v>
      </c>
      <c r="F309" s="11"/>
      <c r="G309" s="14"/>
      <c r="H309" s="14"/>
      <c r="I309" s="13" t="s">
        <v>24</v>
      </c>
      <c r="J309" s="16"/>
      <c r="K309" s="13"/>
      <c r="L309" s="14"/>
      <c r="M309" s="14"/>
      <c r="N309" s="7"/>
      <c r="O309" s="75">
        <f>E346-E349</f>
        <v>30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3.2">
      <c r="A310" s="14"/>
      <c r="B310" s="5">
        <v>2</v>
      </c>
      <c r="C310" s="5">
        <f t="shared" si="69"/>
        <v>15</v>
      </c>
      <c r="D310" s="20">
        <v>43014</v>
      </c>
      <c r="E310" s="11">
        <v>336.2</v>
      </c>
      <c r="F310" s="12">
        <f t="shared" ref="F310:F312" si="74">(E309-E310)/(D310-D309)</f>
        <v>7</v>
      </c>
      <c r="G310" s="14"/>
      <c r="H310" s="14"/>
      <c r="I310" s="13">
        <v>42.9</v>
      </c>
      <c r="J310" s="16">
        <f>(I308-I310)/(D310-D308)</f>
        <v>2.5</v>
      </c>
      <c r="K310" s="13">
        <v>28.1</v>
      </c>
      <c r="L310" s="14"/>
      <c r="M310" s="14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3.2">
      <c r="A311" s="14"/>
      <c r="B311" s="5">
        <v>2</v>
      </c>
      <c r="C311" s="5">
        <f t="shared" si="69"/>
        <v>18</v>
      </c>
      <c r="D311" s="20">
        <v>43017</v>
      </c>
      <c r="E311" s="11">
        <v>322.8</v>
      </c>
      <c r="F311" s="12">
        <f t="shared" si="74"/>
        <v>4.4666666666666588</v>
      </c>
      <c r="G311" s="14"/>
      <c r="H311" s="14"/>
      <c r="I311" s="13">
        <v>34.1</v>
      </c>
      <c r="J311" s="16">
        <f t="shared" ref="J311:J312" si="75">(I310-I311)/(D311-D310)</f>
        <v>2.9333333333333322</v>
      </c>
      <c r="K311" s="13">
        <v>29.2</v>
      </c>
      <c r="L311" s="14"/>
      <c r="M311" s="14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3.2">
      <c r="A312" s="14"/>
      <c r="B312" s="5">
        <v>2</v>
      </c>
      <c r="C312" s="5">
        <f t="shared" si="69"/>
        <v>20</v>
      </c>
      <c r="D312" s="20">
        <v>43019</v>
      </c>
      <c r="E312" s="11">
        <v>312.8</v>
      </c>
      <c r="F312" s="12">
        <f t="shared" si="74"/>
        <v>5</v>
      </c>
      <c r="G312" s="14"/>
      <c r="H312" s="14"/>
      <c r="I312" s="13">
        <v>28.5</v>
      </c>
      <c r="J312" s="16">
        <f t="shared" si="75"/>
        <v>2.8000000000000007</v>
      </c>
      <c r="K312" s="13">
        <v>30.4</v>
      </c>
      <c r="L312" s="14"/>
      <c r="M312" s="14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3.2">
      <c r="A313" s="14"/>
      <c r="B313" s="5">
        <v>3</v>
      </c>
      <c r="C313" s="5">
        <f t="shared" si="69"/>
        <v>21</v>
      </c>
      <c r="D313" s="20">
        <v>43020</v>
      </c>
      <c r="E313" s="11">
        <v>345.2</v>
      </c>
      <c r="F313" s="12"/>
      <c r="G313" s="14"/>
      <c r="H313" s="14"/>
      <c r="I313" s="15"/>
      <c r="J313" s="14"/>
      <c r="K313" s="15"/>
      <c r="L313" s="14"/>
      <c r="M313" s="14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3.2">
      <c r="A314" s="14"/>
      <c r="B314" s="5">
        <v>3</v>
      </c>
      <c r="C314" s="5">
        <f t="shared" si="69"/>
        <v>22</v>
      </c>
      <c r="D314" s="20">
        <f>D312+2</f>
        <v>43021</v>
      </c>
      <c r="E314" s="11">
        <v>336</v>
      </c>
      <c r="F314" s="12">
        <f t="shared" ref="F314:F316" si="76">(E313-E314)/(D314-D313)</f>
        <v>9.1999999999999886</v>
      </c>
      <c r="G314" s="12">
        <f>AVERAGE(F302:F345)</f>
        <v>5.9065656565656575</v>
      </c>
      <c r="H314" s="14"/>
      <c r="I314" s="13">
        <v>70.599999999999994</v>
      </c>
      <c r="J314" s="14"/>
      <c r="K314" s="13">
        <v>30.9</v>
      </c>
      <c r="L314" s="14"/>
      <c r="M314" s="14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3.2">
      <c r="A315" s="14"/>
      <c r="B315" s="5">
        <v>3</v>
      </c>
      <c r="C315" s="5">
        <f t="shared" si="69"/>
        <v>25</v>
      </c>
      <c r="D315" s="20">
        <f>D314+3</f>
        <v>43024</v>
      </c>
      <c r="E315" s="11">
        <v>319</v>
      </c>
      <c r="F315" s="12">
        <f t="shared" si="76"/>
        <v>5.666666666666667</v>
      </c>
      <c r="G315" s="14"/>
      <c r="H315" s="14"/>
      <c r="I315" s="13">
        <v>62.4</v>
      </c>
      <c r="J315" s="16">
        <f t="shared" ref="J315:J316" si="77">(I314-I315)/(D315-D314)</f>
        <v>2.7333333333333321</v>
      </c>
      <c r="K315" s="13">
        <v>31.8</v>
      </c>
      <c r="L315" s="14"/>
      <c r="M315" s="14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3.2">
      <c r="A316" s="14"/>
      <c r="B316" s="5">
        <v>3</v>
      </c>
      <c r="C316" s="5">
        <f t="shared" si="69"/>
        <v>27</v>
      </c>
      <c r="D316" s="20">
        <f>D315+2</f>
        <v>43026</v>
      </c>
      <c r="E316" s="11">
        <v>307</v>
      </c>
      <c r="F316" s="12">
        <f t="shared" si="76"/>
        <v>6</v>
      </c>
      <c r="G316" s="14"/>
      <c r="H316" s="14"/>
      <c r="I316" s="13">
        <v>56.3</v>
      </c>
      <c r="J316" s="16">
        <f t="shared" si="77"/>
        <v>3.0500000000000007</v>
      </c>
      <c r="K316" s="13">
        <v>32.5</v>
      </c>
      <c r="L316" s="14"/>
      <c r="M316" s="14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3.2">
      <c r="A317" s="14"/>
      <c r="B317" s="5">
        <v>4</v>
      </c>
      <c r="C317" s="5">
        <f t="shared" si="69"/>
        <v>28</v>
      </c>
      <c r="D317" s="20">
        <v>43027</v>
      </c>
      <c r="E317" s="11">
        <v>389.6</v>
      </c>
      <c r="F317" s="12"/>
      <c r="G317" s="14"/>
      <c r="H317" s="14"/>
      <c r="I317" s="15"/>
      <c r="J317" s="14"/>
      <c r="K317" s="15"/>
      <c r="L317" s="14"/>
      <c r="M317" s="1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3.2">
      <c r="A318" s="14"/>
      <c r="B318" s="5">
        <v>4</v>
      </c>
      <c r="C318" s="5">
        <f t="shared" si="69"/>
        <v>29</v>
      </c>
      <c r="D318" s="20">
        <f>D316+2</f>
        <v>43028</v>
      </c>
      <c r="E318" s="11">
        <v>383</v>
      </c>
      <c r="F318" s="12">
        <f t="shared" ref="F318:F320" si="78">(E317-E318)/(D318-D317)</f>
        <v>6.6000000000000227</v>
      </c>
      <c r="G318" s="14"/>
      <c r="H318" s="14"/>
      <c r="I318" s="13">
        <v>49.8</v>
      </c>
      <c r="J318" s="15">
        <f>(I316-I318)/(D318-D316)</f>
        <v>3.25</v>
      </c>
      <c r="K318" s="13">
        <v>33.200000000000003</v>
      </c>
      <c r="L318" s="14"/>
      <c r="M318" s="14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3.2">
      <c r="A319" s="14"/>
      <c r="B319" s="5">
        <v>4</v>
      </c>
      <c r="C319" s="5">
        <f t="shared" si="69"/>
        <v>32</v>
      </c>
      <c r="D319" s="20">
        <v>43031</v>
      </c>
      <c r="E319" s="11">
        <v>368.2</v>
      </c>
      <c r="F319" s="12">
        <f t="shared" si="78"/>
        <v>4.9333333333333371</v>
      </c>
      <c r="G319" s="14"/>
      <c r="H319" s="14"/>
      <c r="I319" s="13">
        <v>41.5</v>
      </c>
      <c r="J319" s="15">
        <f t="shared" ref="J319:J320" si="79">(I318-I319)/(D319-D318)</f>
        <v>2.7666666666666657</v>
      </c>
      <c r="K319" s="13">
        <v>34.200000000000003</v>
      </c>
      <c r="L319" s="14"/>
      <c r="M319" s="14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3.2">
      <c r="A320" s="14"/>
      <c r="B320" s="5">
        <v>4</v>
      </c>
      <c r="C320" s="5">
        <f t="shared" si="69"/>
        <v>34</v>
      </c>
      <c r="D320" s="20">
        <v>43033</v>
      </c>
      <c r="E320" s="11">
        <v>353.7</v>
      </c>
      <c r="F320" s="12">
        <f t="shared" si="78"/>
        <v>7.25</v>
      </c>
      <c r="G320" s="14"/>
      <c r="H320" s="14"/>
      <c r="I320" s="13">
        <v>37.200000000000003</v>
      </c>
      <c r="J320" s="15">
        <f t="shared" si="79"/>
        <v>2.1499999999999986</v>
      </c>
      <c r="K320" s="13">
        <v>34.1</v>
      </c>
      <c r="L320" s="14"/>
      <c r="M320" s="14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3.2">
      <c r="A321" s="14"/>
      <c r="B321" s="5">
        <v>5</v>
      </c>
      <c r="C321" s="5">
        <f t="shared" si="69"/>
        <v>35</v>
      </c>
      <c r="D321" s="20">
        <v>43034</v>
      </c>
      <c r="E321" s="11">
        <v>312.7</v>
      </c>
      <c r="F321" s="12"/>
      <c r="G321" s="14"/>
      <c r="H321" s="14"/>
      <c r="I321" s="15"/>
      <c r="J321" s="15"/>
      <c r="K321" s="15"/>
      <c r="L321" s="14"/>
      <c r="M321" s="14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3.2">
      <c r="A322" s="14"/>
      <c r="B322" s="5">
        <v>5</v>
      </c>
      <c r="C322" s="5">
        <f t="shared" si="69"/>
        <v>36</v>
      </c>
      <c r="D322" s="20">
        <v>43035</v>
      </c>
      <c r="E322" s="11">
        <v>307.7</v>
      </c>
      <c r="F322" s="12">
        <f t="shared" ref="F322:F324" si="80">(E321-E322)/(D322-D321)</f>
        <v>5</v>
      </c>
      <c r="G322" s="14"/>
      <c r="H322" s="14"/>
      <c r="I322" s="13">
        <v>32.4</v>
      </c>
      <c r="J322" s="15">
        <f>(I320-I322)/(D322-D320)</f>
        <v>2.4000000000000021</v>
      </c>
      <c r="K322" s="13">
        <v>34.299999999999997</v>
      </c>
      <c r="L322" s="14"/>
      <c r="M322" s="14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3.2">
      <c r="A323" s="14"/>
      <c r="B323" s="5">
        <v>5</v>
      </c>
      <c r="C323" s="5">
        <f t="shared" si="69"/>
        <v>39</v>
      </c>
      <c r="D323" s="20">
        <v>43038</v>
      </c>
      <c r="E323" s="11">
        <v>288.3</v>
      </c>
      <c r="F323" s="12">
        <f t="shared" si="80"/>
        <v>6.4666666666666588</v>
      </c>
      <c r="G323" s="14"/>
      <c r="H323" s="14"/>
      <c r="I323" s="13">
        <v>25</v>
      </c>
      <c r="J323" s="15">
        <f>(I322-I323)/(D323-D322)</f>
        <v>2.4666666666666663</v>
      </c>
      <c r="K323" s="13">
        <v>34.799999999999997</v>
      </c>
      <c r="L323" s="14"/>
      <c r="M323" s="14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3.2">
      <c r="A324" s="14"/>
      <c r="B324" s="5">
        <v>5</v>
      </c>
      <c r="C324" s="5">
        <f t="shared" si="69"/>
        <v>41</v>
      </c>
      <c r="D324" s="20">
        <v>43040</v>
      </c>
      <c r="E324" s="11">
        <v>279.3</v>
      </c>
      <c r="F324" s="12">
        <f t="shared" si="80"/>
        <v>4.5</v>
      </c>
      <c r="G324" s="14"/>
      <c r="H324" s="14"/>
      <c r="I324" s="13">
        <v>63.3</v>
      </c>
      <c r="J324" s="15">
        <f>(69.8-I324)/(D324-D323)</f>
        <v>3.25</v>
      </c>
      <c r="K324" s="13">
        <v>36</v>
      </c>
      <c r="L324" s="14"/>
      <c r="M324" s="14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3.2">
      <c r="A325" s="14"/>
      <c r="B325" s="5">
        <v>6</v>
      </c>
      <c r="C325" s="5">
        <f t="shared" si="69"/>
        <v>42</v>
      </c>
      <c r="D325" s="20">
        <v>43041</v>
      </c>
      <c r="E325" s="11">
        <v>317.3</v>
      </c>
      <c r="F325" s="12"/>
      <c r="G325" s="14"/>
      <c r="H325" s="14"/>
      <c r="I325" s="15"/>
      <c r="J325" s="14"/>
      <c r="K325" s="15"/>
      <c r="L325" s="14"/>
      <c r="M325" s="14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3.2">
      <c r="A326" s="14"/>
      <c r="B326" s="5">
        <v>6</v>
      </c>
      <c r="C326" s="5">
        <f t="shared" si="69"/>
        <v>43</v>
      </c>
      <c r="D326" s="20">
        <v>43042</v>
      </c>
      <c r="E326" s="11">
        <v>309.89999999999998</v>
      </c>
      <c r="F326" s="12">
        <f t="shared" ref="F326:F328" si="81">(E325-E326)/(D326-D325)</f>
        <v>7.4000000000000341</v>
      </c>
      <c r="G326" s="14"/>
      <c r="H326" s="14"/>
      <c r="I326" s="13">
        <v>56.6</v>
      </c>
      <c r="J326" s="15">
        <f>(I324-I326)/(D326-D324)</f>
        <v>3.3499999999999979</v>
      </c>
      <c r="K326" s="13">
        <v>36.799999999999997</v>
      </c>
      <c r="L326" s="14"/>
      <c r="M326" s="14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3.2">
      <c r="A327" s="14"/>
      <c r="B327" s="5">
        <v>6</v>
      </c>
      <c r="C327" s="5">
        <f t="shared" si="69"/>
        <v>46</v>
      </c>
      <c r="D327" s="20">
        <v>43045</v>
      </c>
      <c r="E327" s="11">
        <v>293.60000000000002</v>
      </c>
      <c r="F327" s="12">
        <f t="shared" si="81"/>
        <v>5.4333333333333185</v>
      </c>
      <c r="G327" s="14"/>
      <c r="H327" s="14"/>
      <c r="I327" s="13">
        <v>47.6</v>
      </c>
      <c r="J327" s="15">
        <f t="shared" ref="J327:J328" si="82">(I326-I327)/(D327-D326)</f>
        <v>3</v>
      </c>
      <c r="K327" s="13">
        <v>37.9</v>
      </c>
      <c r="L327" s="14"/>
      <c r="M327" s="14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3.2">
      <c r="A328" s="14"/>
      <c r="B328" s="5">
        <v>6</v>
      </c>
      <c r="C328" s="5">
        <f t="shared" si="69"/>
        <v>48</v>
      </c>
      <c r="D328" s="20">
        <v>43047</v>
      </c>
      <c r="E328" s="11">
        <v>284</v>
      </c>
      <c r="F328" s="12">
        <f t="shared" si="81"/>
        <v>4.8000000000000114</v>
      </c>
      <c r="G328" s="14"/>
      <c r="H328" s="14"/>
      <c r="I328" s="13">
        <v>41.1</v>
      </c>
      <c r="J328" s="15">
        <f t="shared" si="82"/>
        <v>3.25</v>
      </c>
      <c r="K328" s="13">
        <v>38.799999999999997</v>
      </c>
      <c r="L328" s="14"/>
      <c r="M328" s="14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3.2">
      <c r="A329" s="14"/>
      <c r="B329" s="5">
        <v>7</v>
      </c>
      <c r="C329" s="5">
        <f t="shared" si="69"/>
        <v>49</v>
      </c>
      <c r="D329" s="20">
        <v>43048</v>
      </c>
      <c r="E329" s="11">
        <v>325.7</v>
      </c>
      <c r="F329" s="12"/>
      <c r="G329" s="14"/>
      <c r="H329" s="14"/>
      <c r="I329" s="15"/>
      <c r="J329" s="14"/>
      <c r="K329" s="15"/>
      <c r="L329" s="14"/>
      <c r="M329" s="14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3.2">
      <c r="A330" s="14"/>
      <c r="B330" s="5">
        <v>7</v>
      </c>
      <c r="C330" s="5">
        <f t="shared" si="69"/>
        <v>50</v>
      </c>
      <c r="D330" s="20">
        <v>43049</v>
      </c>
      <c r="E330" s="11">
        <v>315.7</v>
      </c>
      <c r="F330" s="12">
        <f t="shared" ref="F330:F332" si="83">(E329-E330)/(D330-D329)</f>
        <v>10</v>
      </c>
      <c r="G330" s="14"/>
      <c r="H330" s="14"/>
      <c r="I330" s="13">
        <v>35</v>
      </c>
      <c r="J330" s="15">
        <f>(I328-I330)/(D330-D328)</f>
        <v>3.0500000000000007</v>
      </c>
      <c r="K330" s="13">
        <v>39.299999999999997</v>
      </c>
      <c r="L330" s="14"/>
      <c r="M330" s="14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3.2">
      <c r="A331" s="14"/>
      <c r="B331" s="5">
        <v>7</v>
      </c>
      <c r="C331" s="5">
        <f t="shared" si="69"/>
        <v>53</v>
      </c>
      <c r="D331" s="20">
        <v>43052</v>
      </c>
      <c r="E331" s="11">
        <v>301</v>
      </c>
      <c r="F331" s="12">
        <f t="shared" si="83"/>
        <v>4.8999999999999959</v>
      </c>
      <c r="G331" s="14"/>
      <c r="H331" s="14"/>
      <c r="I331" s="13">
        <v>26.3</v>
      </c>
      <c r="J331" s="15">
        <f>(I330-I331)/(D331-D330)</f>
        <v>2.9</v>
      </c>
      <c r="K331" s="13">
        <v>40.4</v>
      </c>
      <c r="L331" s="14"/>
      <c r="M331" s="14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3.2">
      <c r="A332" s="14"/>
      <c r="B332" s="5">
        <v>7</v>
      </c>
      <c r="C332" s="5">
        <f t="shared" si="69"/>
        <v>55</v>
      </c>
      <c r="D332" s="20">
        <v>43054</v>
      </c>
      <c r="E332" s="11">
        <v>291.3</v>
      </c>
      <c r="F332" s="12">
        <f t="shared" si="83"/>
        <v>4.8499999999999943</v>
      </c>
      <c r="G332" s="14"/>
      <c r="H332" s="14"/>
      <c r="I332" s="13">
        <v>92.1</v>
      </c>
      <c r="J332" s="14"/>
      <c r="K332" s="13">
        <v>41.7</v>
      </c>
      <c r="L332" s="14"/>
      <c r="M332" s="14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3.2">
      <c r="A333" s="14"/>
      <c r="B333" s="5">
        <v>8</v>
      </c>
      <c r="C333" s="5">
        <f t="shared" si="69"/>
        <v>56</v>
      </c>
      <c r="D333" s="20">
        <v>43055</v>
      </c>
      <c r="E333" s="11">
        <v>343.9</v>
      </c>
      <c r="F333" s="12"/>
      <c r="G333" s="14"/>
      <c r="H333" s="14"/>
      <c r="I333" s="15"/>
      <c r="J333" s="14"/>
      <c r="K333" s="15"/>
      <c r="L333" s="14"/>
      <c r="M333" s="14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3.2">
      <c r="A334" s="14"/>
      <c r="B334" s="5">
        <v>8</v>
      </c>
      <c r="C334" s="5">
        <f t="shared" si="69"/>
        <v>57</v>
      </c>
      <c r="D334" s="20">
        <v>43056</v>
      </c>
      <c r="E334" s="11">
        <v>331.6</v>
      </c>
      <c r="F334" s="12">
        <f t="shared" ref="F334:F335" si="84">(E333-E334)/(D334-D333)</f>
        <v>12.299999999999955</v>
      </c>
      <c r="G334" s="14"/>
      <c r="H334" s="14"/>
      <c r="I334" s="13">
        <v>86.5</v>
      </c>
      <c r="J334" s="15">
        <f>(I332-I334)/(D334-D332)</f>
        <v>2.7999999999999972</v>
      </c>
      <c r="K334" s="13">
        <v>41.9</v>
      </c>
      <c r="L334" s="14"/>
      <c r="M334" s="14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3.2">
      <c r="A335" s="14"/>
      <c r="B335" s="5">
        <v>8</v>
      </c>
      <c r="C335" s="5">
        <f t="shared" si="69"/>
        <v>60</v>
      </c>
      <c r="D335" s="20">
        <v>43059</v>
      </c>
      <c r="E335" s="11">
        <v>318.60000000000002</v>
      </c>
      <c r="F335" s="12">
        <f t="shared" si="84"/>
        <v>4.333333333333333</v>
      </c>
      <c r="G335" s="14"/>
      <c r="H335" s="14"/>
      <c r="I335" s="13">
        <v>79.3</v>
      </c>
      <c r="J335" s="15">
        <f>(I334-I335)/(D335-D334)</f>
        <v>2.4000000000000008</v>
      </c>
      <c r="K335" s="13">
        <v>41.6</v>
      </c>
      <c r="L335" s="14"/>
      <c r="M335" s="14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3.2">
      <c r="A336" s="14"/>
      <c r="B336" s="5">
        <v>8</v>
      </c>
      <c r="C336" s="5">
        <f t="shared" si="69"/>
        <v>61</v>
      </c>
      <c r="D336" s="20">
        <v>43060</v>
      </c>
      <c r="E336" s="11">
        <v>365.2</v>
      </c>
      <c r="F336" s="12"/>
      <c r="G336" s="14"/>
      <c r="H336" s="14"/>
      <c r="I336" s="15"/>
      <c r="J336" s="14"/>
      <c r="K336" s="15"/>
      <c r="L336" s="14"/>
      <c r="M336" s="1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3.2">
      <c r="A337" s="14"/>
      <c r="B337" s="5">
        <v>9</v>
      </c>
      <c r="C337" s="5">
        <f t="shared" si="69"/>
        <v>62</v>
      </c>
      <c r="D337" s="20">
        <v>43061</v>
      </c>
      <c r="E337" s="11">
        <v>356.6</v>
      </c>
      <c r="F337" s="12">
        <f>(E336-E337)/(D337-D336)</f>
        <v>8.5999999999999659</v>
      </c>
      <c r="G337" s="14"/>
      <c r="H337" s="14"/>
      <c r="I337" s="13">
        <v>73.8</v>
      </c>
      <c r="J337" s="15">
        <f>(I335-I337)/(D337-D335)</f>
        <v>2.75</v>
      </c>
      <c r="K337" s="13">
        <v>42.2</v>
      </c>
      <c r="L337" s="14"/>
      <c r="M337" s="14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3.2">
      <c r="A338" s="14"/>
      <c r="B338" s="5">
        <v>9</v>
      </c>
      <c r="C338" s="5">
        <f t="shared" si="69"/>
        <v>63</v>
      </c>
      <c r="D338" s="20">
        <v>43062</v>
      </c>
      <c r="E338" s="11"/>
      <c r="F338" s="12"/>
      <c r="G338" s="14"/>
      <c r="H338" s="14"/>
      <c r="I338" s="13"/>
      <c r="J338" s="15"/>
      <c r="K338" s="13"/>
      <c r="L338" s="14"/>
      <c r="M338" s="14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3.2">
      <c r="A339" s="14"/>
      <c r="B339" s="5">
        <v>9</v>
      </c>
      <c r="C339" s="5">
        <f t="shared" si="69"/>
        <v>64</v>
      </c>
      <c r="D339" s="20">
        <v>43063</v>
      </c>
      <c r="E339" s="11">
        <v>348.3</v>
      </c>
      <c r="F339" s="12">
        <f>(E337-E339)/(D339-D337)</f>
        <v>4.1500000000000057</v>
      </c>
      <c r="G339" s="14"/>
      <c r="H339" s="14"/>
      <c r="I339" s="13">
        <v>68.3</v>
      </c>
      <c r="J339" s="15">
        <f>(I337-I339)/(D339-D337)</f>
        <v>2.75</v>
      </c>
      <c r="K339" s="13">
        <v>42.2</v>
      </c>
      <c r="L339" s="14"/>
      <c r="M339" s="14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3.2">
      <c r="A340" s="14"/>
      <c r="B340" s="5">
        <v>9</v>
      </c>
      <c r="C340" s="5">
        <f t="shared" si="69"/>
        <v>67</v>
      </c>
      <c r="D340" s="23">
        <v>43066</v>
      </c>
      <c r="E340" s="11">
        <v>335.1</v>
      </c>
      <c r="F340" s="12">
        <f t="shared" ref="F340:F341" si="85">(E339-E340)/(D340-D339)</f>
        <v>4.3999999999999959</v>
      </c>
      <c r="G340" s="14"/>
      <c r="H340" s="14"/>
      <c r="I340" s="13">
        <v>60.5</v>
      </c>
      <c r="J340" s="15">
        <f t="shared" ref="J340:J341" si="86">(I339-I340)/(D340-D339)</f>
        <v>2.5999999999999992</v>
      </c>
      <c r="K340" s="13">
        <v>42.5</v>
      </c>
      <c r="L340" s="14"/>
      <c r="M340" s="14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3.2">
      <c r="A341" s="14"/>
      <c r="B341" s="5">
        <v>9</v>
      </c>
      <c r="C341" s="5">
        <f t="shared" si="69"/>
        <v>69</v>
      </c>
      <c r="D341" s="23">
        <v>43068</v>
      </c>
      <c r="E341" s="11">
        <v>327</v>
      </c>
      <c r="F341" s="12">
        <f t="shared" si="85"/>
        <v>4.0500000000000114</v>
      </c>
      <c r="G341" s="14"/>
      <c r="H341" s="14"/>
      <c r="I341" s="13">
        <v>55.3</v>
      </c>
      <c r="J341" s="15">
        <f t="shared" si="86"/>
        <v>2.6000000000000014</v>
      </c>
      <c r="K341" s="13">
        <v>42.9</v>
      </c>
      <c r="L341" s="14"/>
      <c r="M341" s="14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3.2">
      <c r="A342" s="14"/>
      <c r="B342" s="5">
        <v>10</v>
      </c>
      <c r="C342" s="5">
        <f t="shared" si="69"/>
        <v>70</v>
      </c>
      <c r="D342" s="23">
        <v>43069</v>
      </c>
      <c r="E342" s="11">
        <v>341.6</v>
      </c>
      <c r="F342" s="12"/>
      <c r="G342" s="14"/>
      <c r="H342" s="14"/>
      <c r="I342" s="15"/>
      <c r="J342" s="14"/>
      <c r="K342" s="15"/>
      <c r="L342" s="14"/>
      <c r="M342" s="14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3.2">
      <c r="A343" s="14"/>
      <c r="B343" s="5">
        <v>10</v>
      </c>
      <c r="C343" s="5">
        <f t="shared" si="69"/>
        <v>71</v>
      </c>
      <c r="D343" s="23">
        <v>43070</v>
      </c>
      <c r="E343" s="11">
        <v>335.2</v>
      </c>
      <c r="F343" s="12">
        <f t="shared" ref="F343:F345" si="87">(E342-E343)/(D343-D342)</f>
        <v>6.4000000000000341</v>
      </c>
      <c r="G343" s="14"/>
      <c r="H343" s="14"/>
      <c r="I343" s="13">
        <v>53.5</v>
      </c>
      <c r="J343" s="15">
        <f>(I341-I343)/(D343-D341)</f>
        <v>0.89999999999999858</v>
      </c>
      <c r="K343" s="13">
        <v>40</v>
      </c>
      <c r="L343" s="14"/>
      <c r="M343" s="14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3.2">
      <c r="A344" s="14"/>
      <c r="B344" s="5">
        <v>10</v>
      </c>
      <c r="C344" s="5">
        <f t="shared" si="69"/>
        <v>74</v>
      </c>
      <c r="D344" s="23">
        <v>43073</v>
      </c>
      <c r="E344" s="11">
        <v>326.10000000000002</v>
      </c>
      <c r="F344" s="12">
        <f t="shared" si="87"/>
        <v>3.0333333333333221</v>
      </c>
      <c r="G344" s="14"/>
      <c r="H344" s="14"/>
      <c r="I344" s="13">
        <v>45.8</v>
      </c>
      <c r="J344" s="15">
        <f t="shared" ref="J344:J345" si="88">(I343-I344)/(D344-D343)</f>
        <v>2.5666666666666678</v>
      </c>
      <c r="K344" s="13">
        <v>40.799999999999997</v>
      </c>
      <c r="L344" s="14"/>
      <c r="M344" s="14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3.2">
      <c r="A345" s="14"/>
      <c r="B345" s="5">
        <v>10</v>
      </c>
      <c r="C345" s="5">
        <f t="shared" si="69"/>
        <v>76</v>
      </c>
      <c r="D345" s="23">
        <v>43075</v>
      </c>
      <c r="E345" s="11">
        <v>314.5</v>
      </c>
      <c r="F345" s="12">
        <f t="shared" si="87"/>
        <v>5.8000000000000114</v>
      </c>
      <c r="G345" s="14"/>
      <c r="H345" s="14"/>
      <c r="I345" s="13">
        <v>38.700000000000003</v>
      </c>
      <c r="J345" s="15">
        <f t="shared" si="88"/>
        <v>3.5499999999999972</v>
      </c>
      <c r="K345" s="13">
        <v>41.8</v>
      </c>
      <c r="L345" s="14"/>
      <c r="M345" s="14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3.2">
      <c r="A346" s="14"/>
      <c r="B346" s="5">
        <v>11</v>
      </c>
      <c r="C346" s="5">
        <f t="shared" si="69"/>
        <v>77</v>
      </c>
      <c r="D346" s="24">
        <v>43076</v>
      </c>
      <c r="E346" s="11">
        <v>326.10000000000002</v>
      </c>
      <c r="F346" s="12"/>
      <c r="G346" s="14"/>
      <c r="H346" s="14"/>
      <c r="I346" s="15"/>
      <c r="J346" s="14"/>
      <c r="K346" s="15"/>
      <c r="L346" s="14"/>
      <c r="M346" s="14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3.2">
      <c r="A347" s="14"/>
      <c r="B347" s="5">
        <v>11</v>
      </c>
      <c r="C347" s="5">
        <f t="shared" si="69"/>
        <v>78</v>
      </c>
      <c r="D347" s="24">
        <v>43077</v>
      </c>
      <c r="E347" s="11">
        <v>319.39999999999998</v>
      </c>
      <c r="F347" s="12">
        <f t="shared" ref="F347:F349" si="89">(E346-E347)/(D347-D346)</f>
        <v>6.7000000000000455</v>
      </c>
      <c r="G347" s="14"/>
      <c r="H347" s="14"/>
      <c r="I347" s="13">
        <v>68.3</v>
      </c>
      <c r="J347" s="14"/>
      <c r="K347" s="13">
        <v>43.9</v>
      </c>
      <c r="L347" s="14"/>
      <c r="M347" s="14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3.2">
      <c r="A348" s="14"/>
      <c r="B348" s="5">
        <v>11</v>
      </c>
      <c r="C348" s="5">
        <f t="shared" si="69"/>
        <v>81</v>
      </c>
      <c r="D348" s="24">
        <v>43080</v>
      </c>
      <c r="E348" s="11">
        <v>307.89999999999998</v>
      </c>
      <c r="F348" s="12">
        <f t="shared" si="89"/>
        <v>3.8333333333333335</v>
      </c>
      <c r="G348" s="14"/>
      <c r="H348" s="14"/>
      <c r="I348" s="13">
        <v>58.6</v>
      </c>
      <c r="J348" s="15">
        <f t="shared" ref="J348:J349" si="90">(I347-I348)/(D348-D347)</f>
        <v>3.2333333333333321</v>
      </c>
      <c r="K348" s="13">
        <v>45.3</v>
      </c>
      <c r="L348" s="14"/>
      <c r="M348" s="14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3.2">
      <c r="A349" s="14"/>
      <c r="B349" s="5">
        <v>11</v>
      </c>
      <c r="C349" s="5">
        <f t="shared" si="69"/>
        <v>83</v>
      </c>
      <c r="D349" s="25">
        <v>43082</v>
      </c>
      <c r="E349" s="11">
        <v>296.10000000000002</v>
      </c>
      <c r="F349" s="12">
        <f t="shared" si="89"/>
        <v>5.8999999999999773</v>
      </c>
      <c r="G349" s="14"/>
      <c r="H349" s="14"/>
      <c r="I349" s="13">
        <v>52.1</v>
      </c>
      <c r="J349" s="15">
        <f t="shared" si="90"/>
        <v>3.25</v>
      </c>
      <c r="K349" s="13">
        <v>45.9</v>
      </c>
      <c r="L349" s="14"/>
      <c r="M349" s="14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3.2">
      <c r="A350" s="14"/>
      <c r="B350" s="5">
        <v>12</v>
      </c>
      <c r="C350" s="5">
        <f t="shared" si="69"/>
        <v>84</v>
      </c>
      <c r="D350" s="24">
        <v>43083</v>
      </c>
      <c r="E350" s="12"/>
      <c r="F350" s="12"/>
      <c r="G350" s="14"/>
      <c r="H350" s="14"/>
      <c r="I350" s="15"/>
      <c r="J350" s="14"/>
      <c r="K350" s="13"/>
      <c r="L350" s="14"/>
      <c r="M350" s="14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3.2">
      <c r="A351" s="80"/>
      <c r="B351" s="76">
        <v>12</v>
      </c>
      <c r="C351" s="76">
        <f t="shared" si="69"/>
        <v>85</v>
      </c>
      <c r="D351" s="90">
        <v>43084</v>
      </c>
      <c r="E351" s="91"/>
      <c r="F351" s="91"/>
      <c r="G351" s="80"/>
      <c r="H351" s="80"/>
      <c r="I351" s="92"/>
      <c r="J351" s="80"/>
      <c r="K351" s="81">
        <v>45</v>
      </c>
      <c r="L351" s="80"/>
      <c r="M351" s="80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3.2">
      <c r="A352" s="14"/>
      <c r="B352" s="5">
        <v>12</v>
      </c>
      <c r="C352" s="5">
        <f t="shared" si="69"/>
        <v>98</v>
      </c>
      <c r="D352" s="32">
        <v>43097</v>
      </c>
      <c r="E352" s="12"/>
      <c r="F352" s="12"/>
      <c r="G352" s="14"/>
      <c r="H352" s="14"/>
      <c r="I352" s="33">
        <v>67.599999999999994</v>
      </c>
      <c r="J352" s="14"/>
      <c r="K352" s="33">
        <v>47.1</v>
      </c>
      <c r="L352" s="14"/>
      <c r="M352" s="14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3.2">
      <c r="A353" s="14"/>
      <c r="B353" s="5">
        <v>12</v>
      </c>
      <c r="C353" s="5">
        <f t="shared" si="69"/>
        <v>105</v>
      </c>
      <c r="D353" s="32">
        <v>43104</v>
      </c>
      <c r="E353" s="12"/>
      <c r="F353" s="12"/>
      <c r="G353" s="14"/>
      <c r="H353" s="14"/>
      <c r="I353" s="33">
        <v>43.8</v>
      </c>
      <c r="J353" s="14"/>
      <c r="K353" s="33">
        <v>51.6</v>
      </c>
      <c r="L353" s="14"/>
      <c r="M353" s="14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3.2">
      <c r="A354" s="14"/>
      <c r="B354" s="14"/>
      <c r="C354" s="5">
        <f t="shared" si="69"/>
        <v>112</v>
      </c>
      <c r="D354" s="32">
        <v>43111</v>
      </c>
      <c r="E354" s="12"/>
      <c r="F354" s="12"/>
      <c r="G354" s="14"/>
      <c r="H354" s="14"/>
      <c r="I354" s="33">
        <v>21.7</v>
      </c>
      <c r="J354" s="14"/>
      <c r="K354" s="33">
        <v>51.8</v>
      </c>
      <c r="L354" s="14"/>
      <c r="M354" s="14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3.2">
      <c r="A355" s="14"/>
      <c r="B355" s="14"/>
      <c r="C355" s="5">
        <f t="shared" si="69"/>
        <v>116</v>
      </c>
      <c r="D355" s="94">
        <v>43115</v>
      </c>
      <c r="E355" s="12"/>
      <c r="F355" s="12"/>
      <c r="G355" s="14"/>
      <c r="H355" s="14"/>
      <c r="J355" s="14"/>
      <c r="K355" s="126"/>
      <c r="L355" s="14"/>
      <c r="M355" s="14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3.2">
      <c r="A356" s="14"/>
      <c r="B356" s="14"/>
      <c r="C356" s="5">
        <f t="shared" si="69"/>
        <v>117</v>
      </c>
      <c r="D356" s="32">
        <v>43116</v>
      </c>
      <c r="E356" s="12"/>
      <c r="F356" s="12"/>
      <c r="G356" s="14"/>
      <c r="H356" s="14"/>
      <c r="I356" s="33">
        <v>22.7</v>
      </c>
      <c r="J356" s="14"/>
      <c r="K356" s="33">
        <v>51.9</v>
      </c>
      <c r="L356" s="14"/>
      <c r="M356" s="14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3.2">
      <c r="A357" s="14"/>
      <c r="B357" s="14"/>
      <c r="C357" s="5">
        <f t="shared" si="69"/>
        <v>124</v>
      </c>
      <c r="D357" s="35">
        <v>43123</v>
      </c>
      <c r="E357" s="12"/>
      <c r="F357" s="12"/>
      <c r="G357" s="14"/>
      <c r="H357" s="14"/>
      <c r="I357" s="33">
        <v>49</v>
      </c>
      <c r="J357" s="14"/>
      <c r="K357" s="33">
        <v>52.5</v>
      </c>
      <c r="L357" s="14"/>
      <c r="M357" s="14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3.2">
      <c r="A358" s="14"/>
      <c r="B358" s="14"/>
      <c r="C358" s="5">
        <v>131</v>
      </c>
      <c r="D358" s="20">
        <v>43130</v>
      </c>
      <c r="E358" s="12"/>
      <c r="F358" s="12"/>
      <c r="G358" s="14"/>
      <c r="H358" s="14"/>
      <c r="I358" s="36">
        <v>27.8</v>
      </c>
      <c r="J358" s="14"/>
      <c r="K358" s="36">
        <v>52.3</v>
      </c>
      <c r="L358" s="14"/>
      <c r="M358" s="14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3.2">
      <c r="A359" s="14"/>
      <c r="B359" s="14"/>
      <c r="C359" s="5">
        <v>138</v>
      </c>
      <c r="D359" s="20">
        <v>43137</v>
      </c>
      <c r="E359" s="12"/>
      <c r="F359" s="12"/>
      <c r="G359" s="14"/>
      <c r="H359" s="14"/>
      <c r="I359" s="33">
        <v>68.3</v>
      </c>
      <c r="J359" s="37"/>
      <c r="K359" s="37">
        <v>52.5</v>
      </c>
      <c r="L359" s="14"/>
      <c r="M359" s="14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3.2">
      <c r="A360" s="14"/>
      <c r="B360" s="14"/>
      <c r="C360" s="5">
        <v>145</v>
      </c>
      <c r="D360" s="20">
        <v>43144</v>
      </c>
      <c r="E360" s="12"/>
      <c r="F360" s="12"/>
      <c r="G360" s="14"/>
      <c r="H360" s="14"/>
      <c r="I360" s="13">
        <v>44.9</v>
      </c>
      <c r="J360" s="14"/>
      <c r="K360" s="95">
        <v>52.6</v>
      </c>
      <c r="L360" s="14"/>
      <c r="M360" s="14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3.2">
      <c r="A361" s="14"/>
      <c r="B361" s="14"/>
      <c r="C361" s="5">
        <v>152</v>
      </c>
      <c r="D361" s="20">
        <v>43151</v>
      </c>
      <c r="E361" s="12"/>
      <c r="F361" s="12"/>
      <c r="G361" s="14"/>
      <c r="H361" s="14"/>
      <c r="I361" s="13">
        <v>21.2</v>
      </c>
      <c r="J361" s="14"/>
      <c r="K361" s="95">
        <v>53.5</v>
      </c>
      <c r="L361" s="14"/>
      <c r="M361" s="14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3.2">
      <c r="A362" s="14"/>
      <c r="B362" s="14"/>
      <c r="C362" s="5">
        <v>159</v>
      </c>
      <c r="D362" s="20">
        <v>43158</v>
      </c>
      <c r="E362" s="12"/>
      <c r="F362" s="12"/>
      <c r="G362" s="14"/>
      <c r="H362" s="14"/>
      <c r="I362" s="13">
        <v>55.7</v>
      </c>
      <c r="J362" s="14"/>
      <c r="K362" s="95">
        <v>55</v>
      </c>
      <c r="L362" s="14"/>
      <c r="M362" s="14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3.2">
      <c r="A363" s="14"/>
      <c r="B363" s="14"/>
      <c r="C363" s="5">
        <v>166</v>
      </c>
      <c r="D363" s="20">
        <v>43165</v>
      </c>
      <c r="E363" s="12"/>
      <c r="F363" s="12"/>
      <c r="G363" s="14"/>
      <c r="H363" s="14"/>
      <c r="I363" s="13">
        <v>31.8</v>
      </c>
      <c r="J363" s="14"/>
      <c r="K363" s="95">
        <v>55.4</v>
      </c>
      <c r="L363" s="14"/>
      <c r="M363" s="14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3.2">
      <c r="A364" s="14"/>
      <c r="B364" s="14"/>
      <c r="C364" s="5">
        <v>173</v>
      </c>
      <c r="D364" s="20">
        <v>43172</v>
      </c>
      <c r="E364" s="12"/>
      <c r="F364" s="12"/>
      <c r="G364" s="14"/>
      <c r="H364" s="14"/>
      <c r="I364" s="13">
        <v>8.1999999999999993</v>
      </c>
      <c r="J364" s="14"/>
      <c r="K364" s="95">
        <v>55.8</v>
      </c>
      <c r="L364" s="14"/>
      <c r="M364" s="14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3.2">
      <c r="A365" s="14"/>
      <c r="B365" s="14"/>
      <c r="C365" s="14"/>
      <c r="D365" s="14"/>
      <c r="E365" s="12"/>
      <c r="F365" s="12"/>
      <c r="G365" s="14"/>
      <c r="H365" s="14"/>
      <c r="I365" s="15"/>
      <c r="J365" s="14"/>
      <c r="K365" s="126"/>
      <c r="L365" s="14"/>
      <c r="M365" s="14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39.6">
      <c r="A366" s="14"/>
      <c r="B366" s="5" t="s">
        <v>60</v>
      </c>
      <c r="C366" s="97">
        <f t="shared" ref="C366:C393" si="91">1+C365</f>
        <v>1</v>
      </c>
      <c r="D366" s="98">
        <v>43192</v>
      </c>
      <c r="E366" s="12"/>
      <c r="F366" s="12"/>
      <c r="G366" s="14"/>
      <c r="H366" s="14"/>
      <c r="I366" s="15"/>
      <c r="J366" s="14"/>
      <c r="K366" s="97">
        <v>43.9</v>
      </c>
      <c r="L366" s="14"/>
      <c r="M366" s="14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3.2">
      <c r="A367" s="14"/>
      <c r="B367" s="14"/>
      <c r="C367" s="97">
        <f t="shared" si="91"/>
        <v>2</v>
      </c>
      <c r="D367" s="98">
        <v>43193</v>
      </c>
      <c r="E367" s="12"/>
      <c r="F367" s="12"/>
      <c r="G367" s="14"/>
      <c r="H367" s="14"/>
      <c r="I367" s="15"/>
      <c r="J367" s="14"/>
      <c r="K367" s="97">
        <v>42.8</v>
      </c>
      <c r="L367" s="14"/>
      <c r="M367" s="14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3.2">
      <c r="A368" s="14"/>
      <c r="B368" s="14"/>
      <c r="C368" s="97">
        <f t="shared" si="91"/>
        <v>3</v>
      </c>
      <c r="D368" s="98">
        <v>43194</v>
      </c>
      <c r="E368" s="12"/>
      <c r="F368" s="12"/>
      <c r="G368" s="14"/>
      <c r="H368" s="14"/>
      <c r="I368" s="15"/>
      <c r="J368" s="14"/>
      <c r="K368" s="97">
        <v>41.9</v>
      </c>
      <c r="L368" s="14"/>
      <c r="M368" s="14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3.2">
      <c r="A369" s="14"/>
      <c r="B369" s="14"/>
      <c r="C369" s="97">
        <f t="shared" si="91"/>
        <v>4</v>
      </c>
      <c r="D369" s="98">
        <v>43195</v>
      </c>
      <c r="E369" s="12"/>
      <c r="F369" s="12"/>
      <c r="G369" s="14"/>
      <c r="H369" s="14"/>
      <c r="I369" s="15"/>
      <c r="J369" s="14"/>
      <c r="K369" s="97">
        <v>41</v>
      </c>
      <c r="L369" s="14"/>
      <c r="M369" s="14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3.2">
      <c r="A370" s="14"/>
      <c r="B370" s="14"/>
      <c r="C370" s="97">
        <f t="shared" si="91"/>
        <v>5</v>
      </c>
      <c r="D370" s="98">
        <v>43196</v>
      </c>
      <c r="E370" s="12"/>
      <c r="F370" s="12"/>
      <c r="G370" s="14"/>
      <c r="H370" s="14"/>
      <c r="I370" s="15"/>
      <c r="J370" s="14"/>
      <c r="K370" s="97">
        <v>39.9</v>
      </c>
      <c r="L370" s="14"/>
      <c r="M370" s="14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3.2">
      <c r="A371" s="14"/>
      <c r="B371" s="14"/>
      <c r="C371" s="97">
        <f t="shared" si="91"/>
        <v>6</v>
      </c>
      <c r="D371" s="98">
        <v>43197</v>
      </c>
      <c r="E371" s="12"/>
      <c r="F371" s="12"/>
      <c r="G371" s="14"/>
      <c r="H371" s="14"/>
      <c r="I371" s="15"/>
      <c r="J371" s="14"/>
      <c r="K371" s="97">
        <v>39.200000000000003</v>
      </c>
      <c r="L371" s="14"/>
      <c r="M371" s="14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3.2">
      <c r="A372" s="14"/>
      <c r="B372" s="14"/>
      <c r="C372" s="97">
        <f t="shared" si="91"/>
        <v>7</v>
      </c>
      <c r="D372" s="98">
        <v>43198</v>
      </c>
      <c r="E372" s="12"/>
      <c r="F372" s="12"/>
      <c r="G372" s="14"/>
      <c r="H372" s="14"/>
      <c r="I372" s="15"/>
      <c r="J372" s="14"/>
      <c r="K372" s="97">
        <v>37.9</v>
      </c>
      <c r="L372" s="14"/>
      <c r="M372" s="14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3.2">
      <c r="A373" s="14"/>
      <c r="B373" s="14"/>
      <c r="C373" s="97">
        <f t="shared" si="91"/>
        <v>8</v>
      </c>
      <c r="D373" s="98">
        <v>43199</v>
      </c>
      <c r="E373" s="12"/>
      <c r="F373" s="12"/>
      <c r="G373" s="14"/>
      <c r="H373" s="14"/>
      <c r="I373" s="15"/>
      <c r="J373" s="14"/>
      <c r="K373" s="97">
        <v>36.700000000000003</v>
      </c>
      <c r="L373" s="14"/>
      <c r="M373" s="14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3.2">
      <c r="A374" s="14"/>
      <c r="B374" s="14"/>
      <c r="C374" s="97">
        <f t="shared" si="91"/>
        <v>9</v>
      </c>
      <c r="D374" s="98">
        <v>43200</v>
      </c>
      <c r="E374" s="12"/>
      <c r="F374" s="12"/>
      <c r="G374" s="14"/>
      <c r="H374" s="14"/>
      <c r="I374" s="15"/>
      <c r="J374" s="14"/>
      <c r="K374" s="97">
        <v>35.700000000000003</v>
      </c>
      <c r="L374" s="14"/>
      <c r="M374" s="14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3.2">
      <c r="A375" s="14"/>
      <c r="B375" s="14"/>
      <c r="C375" s="97">
        <f t="shared" si="91"/>
        <v>10</v>
      </c>
      <c r="D375" s="98">
        <v>43201</v>
      </c>
      <c r="E375" s="12"/>
      <c r="F375" s="12"/>
      <c r="G375" s="14"/>
      <c r="H375" s="14"/>
      <c r="I375" s="15"/>
      <c r="J375" s="14"/>
      <c r="K375" s="97">
        <v>34.799999999999997</v>
      </c>
      <c r="L375" s="14"/>
      <c r="M375" s="14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3.2">
      <c r="A376" s="14"/>
      <c r="B376" s="14"/>
      <c r="C376" s="97">
        <f t="shared" si="91"/>
        <v>11</v>
      </c>
      <c r="D376" s="98">
        <v>43202</v>
      </c>
      <c r="E376" s="12"/>
      <c r="F376" s="12"/>
      <c r="G376" s="14"/>
      <c r="H376" s="14"/>
      <c r="I376" s="15"/>
      <c r="J376" s="14"/>
      <c r="K376" s="97">
        <v>33.5</v>
      </c>
      <c r="L376" s="14"/>
      <c r="M376" s="14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3.2">
      <c r="A377" s="14"/>
      <c r="B377" s="14"/>
      <c r="C377" s="97">
        <f t="shared" si="91"/>
        <v>12</v>
      </c>
      <c r="D377" s="98">
        <v>43203</v>
      </c>
      <c r="E377" s="12"/>
      <c r="F377" s="12"/>
      <c r="G377" s="14"/>
      <c r="H377" s="14"/>
      <c r="I377" s="15"/>
      <c r="J377" s="14"/>
      <c r="K377" s="97">
        <v>32.700000000000003</v>
      </c>
      <c r="L377" s="14"/>
      <c r="M377" s="14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3.2">
      <c r="A378" s="14"/>
      <c r="B378" s="14"/>
      <c r="C378" s="97">
        <f t="shared" si="91"/>
        <v>13</v>
      </c>
      <c r="D378" s="98">
        <v>43204</v>
      </c>
      <c r="E378" s="12"/>
      <c r="F378" s="12"/>
      <c r="G378" s="14"/>
      <c r="H378" s="14"/>
      <c r="I378" s="15"/>
      <c r="J378" s="14"/>
      <c r="K378" s="97">
        <v>31.6</v>
      </c>
      <c r="L378" s="14"/>
      <c r="M378" s="14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3.2">
      <c r="A379" s="14"/>
      <c r="B379" s="14"/>
      <c r="C379" s="97">
        <f t="shared" si="91"/>
        <v>14</v>
      </c>
      <c r="D379" s="98">
        <v>43205</v>
      </c>
      <c r="E379" s="12"/>
      <c r="F379" s="12"/>
      <c r="G379" s="14"/>
      <c r="H379" s="14"/>
      <c r="I379" s="15"/>
      <c r="J379" s="14"/>
      <c r="K379" s="97">
        <v>30.8</v>
      </c>
      <c r="L379" s="14"/>
      <c r="M379" s="14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3.2">
      <c r="A380" s="14"/>
      <c r="B380" s="14"/>
      <c r="C380" s="97">
        <f t="shared" si="91"/>
        <v>15</v>
      </c>
      <c r="D380" s="98">
        <v>43206</v>
      </c>
      <c r="E380" s="12"/>
      <c r="F380" s="12"/>
      <c r="G380" s="14"/>
      <c r="H380" s="14"/>
      <c r="I380" s="15"/>
      <c r="J380" s="14"/>
      <c r="K380" s="97">
        <v>30.9</v>
      </c>
      <c r="L380" s="14"/>
      <c r="M380" s="14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3.2">
      <c r="A381" s="14"/>
      <c r="B381" s="14"/>
      <c r="C381" s="97">
        <f t="shared" si="91"/>
        <v>16</v>
      </c>
      <c r="D381" s="98">
        <v>43207</v>
      </c>
      <c r="E381" s="12"/>
      <c r="F381" s="12"/>
      <c r="G381" s="14"/>
      <c r="H381" s="14"/>
      <c r="I381" s="15"/>
      <c r="J381" s="14"/>
      <c r="K381" s="97">
        <v>29.7</v>
      </c>
      <c r="L381" s="14"/>
      <c r="M381" s="14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3.2">
      <c r="A382" s="14"/>
      <c r="B382" s="14"/>
      <c r="C382" s="97">
        <f t="shared" si="91"/>
        <v>17</v>
      </c>
      <c r="D382" s="98">
        <v>43208</v>
      </c>
      <c r="E382" s="12"/>
      <c r="F382" s="12"/>
      <c r="G382" s="14"/>
      <c r="H382" s="14"/>
      <c r="I382" s="15"/>
      <c r="J382" s="14"/>
      <c r="K382" s="97">
        <v>29</v>
      </c>
      <c r="L382" s="14"/>
      <c r="M382" s="14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3.2">
      <c r="A383" s="14"/>
      <c r="B383" s="14"/>
      <c r="C383" s="97">
        <f t="shared" si="91"/>
        <v>18</v>
      </c>
      <c r="D383" s="98">
        <v>43209</v>
      </c>
      <c r="E383" s="12"/>
      <c r="F383" s="12"/>
      <c r="G383" s="14"/>
      <c r="H383" s="14"/>
      <c r="I383" s="15"/>
      <c r="J383" s="14"/>
      <c r="K383" s="97">
        <v>28.5</v>
      </c>
      <c r="L383" s="14"/>
      <c r="M383" s="14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3.2">
      <c r="A384" s="14"/>
      <c r="B384" s="14"/>
      <c r="C384" s="97">
        <f t="shared" si="91"/>
        <v>19</v>
      </c>
      <c r="D384" s="98">
        <v>43210</v>
      </c>
      <c r="E384" s="12"/>
      <c r="F384" s="12"/>
      <c r="G384" s="14"/>
      <c r="H384" s="14"/>
      <c r="I384" s="15"/>
      <c r="J384" s="14"/>
      <c r="K384" s="97">
        <v>27.5</v>
      </c>
      <c r="L384" s="14"/>
      <c r="M384" s="14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3.2">
      <c r="A385" s="14"/>
      <c r="B385" s="14"/>
      <c r="C385" s="97">
        <f t="shared" si="91"/>
        <v>20</v>
      </c>
      <c r="D385" s="98">
        <v>43211</v>
      </c>
      <c r="E385" s="12"/>
      <c r="F385" s="12"/>
      <c r="G385" s="14"/>
      <c r="H385" s="14"/>
      <c r="I385" s="15"/>
      <c r="J385" s="14"/>
      <c r="K385" s="97">
        <v>26.8</v>
      </c>
      <c r="L385" s="14"/>
      <c r="M385" s="14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3.2">
      <c r="A386" s="14"/>
      <c r="B386" s="14"/>
      <c r="C386" s="97">
        <f t="shared" si="91"/>
        <v>21</v>
      </c>
      <c r="D386" s="98">
        <v>43212</v>
      </c>
      <c r="E386" s="12"/>
      <c r="F386" s="12"/>
      <c r="G386" s="14"/>
      <c r="H386" s="14"/>
      <c r="I386" s="15"/>
      <c r="J386" s="14"/>
      <c r="K386" s="97">
        <v>26.1</v>
      </c>
      <c r="L386" s="14"/>
      <c r="M386" s="14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3.2">
      <c r="A387" s="14"/>
      <c r="B387" s="14"/>
      <c r="C387" s="97">
        <f t="shared" si="91"/>
        <v>22</v>
      </c>
      <c r="D387" s="98">
        <v>43213</v>
      </c>
      <c r="E387" s="12"/>
      <c r="F387" s="12"/>
      <c r="G387" s="14"/>
      <c r="H387" s="14"/>
      <c r="I387" s="15"/>
      <c r="J387" s="14"/>
      <c r="K387" s="97">
        <v>25.7</v>
      </c>
      <c r="L387" s="14"/>
      <c r="M387" s="14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3.2">
      <c r="A388" s="14"/>
      <c r="B388" s="14"/>
      <c r="C388" s="97">
        <f t="shared" si="91"/>
        <v>23</v>
      </c>
      <c r="D388" s="98">
        <v>43214</v>
      </c>
      <c r="E388" s="12"/>
      <c r="F388" s="12"/>
      <c r="G388" s="14"/>
      <c r="H388" s="14"/>
      <c r="I388" s="15"/>
      <c r="J388" s="14"/>
      <c r="K388" s="97">
        <v>24.7</v>
      </c>
      <c r="L388" s="14"/>
      <c r="M388" s="14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3.2">
      <c r="A389" s="14"/>
      <c r="B389" s="14"/>
      <c r="C389" s="97">
        <f t="shared" si="91"/>
        <v>24</v>
      </c>
      <c r="D389" s="98">
        <v>43215</v>
      </c>
      <c r="E389" s="12"/>
      <c r="F389" s="12"/>
      <c r="G389" s="14"/>
      <c r="H389" s="14"/>
      <c r="I389" s="15"/>
      <c r="J389" s="14"/>
      <c r="K389" s="97">
        <v>24.7</v>
      </c>
      <c r="L389" s="14"/>
      <c r="M389" s="14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3.2">
      <c r="A390" s="14"/>
      <c r="B390" s="14"/>
      <c r="C390" s="97">
        <f t="shared" si="91"/>
        <v>25</v>
      </c>
      <c r="D390" s="98">
        <v>43216</v>
      </c>
      <c r="E390" s="12"/>
      <c r="F390" s="12"/>
      <c r="G390" s="14"/>
      <c r="H390" s="14"/>
      <c r="I390" s="15"/>
      <c r="J390" s="14"/>
      <c r="K390" s="97" t="s">
        <v>75</v>
      </c>
      <c r="L390" s="14"/>
      <c r="M390" s="14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3.2">
      <c r="A391" s="14"/>
      <c r="B391" s="14"/>
      <c r="C391" s="97">
        <f t="shared" si="91"/>
        <v>26</v>
      </c>
      <c r="D391" s="98">
        <v>43217</v>
      </c>
      <c r="E391" s="12"/>
      <c r="F391" s="12"/>
      <c r="G391" s="14"/>
      <c r="H391" s="14"/>
      <c r="I391" s="15"/>
      <c r="J391" s="14"/>
      <c r="K391" s="97">
        <v>22.8</v>
      </c>
      <c r="L391" s="14"/>
      <c r="M391" s="14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3.2">
      <c r="A392" s="14"/>
      <c r="B392" s="14"/>
      <c r="C392" s="97">
        <f t="shared" si="91"/>
        <v>27</v>
      </c>
      <c r="D392" s="98">
        <v>43218</v>
      </c>
      <c r="E392" s="12"/>
      <c r="F392" s="12"/>
      <c r="G392" s="14"/>
      <c r="H392" s="14"/>
      <c r="I392" s="15"/>
      <c r="J392" s="14"/>
      <c r="K392" s="97">
        <v>30.2</v>
      </c>
      <c r="L392" s="14"/>
      <c r="M392" s="14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3.2">
      <c r="A393" s="14"/>
      <c r="B393" s="14"/>
      <c r="C393" s="97">
        <f t="shared" si="91"/>
        <v>28</v>
      </c>
      <c r="D393" s="98">
        <v>43219</v>
      </c>
      <c r="E393" s="12"/>
      <c r="F393" s="12"/>
      <c r="G393" s="14"/>
      <c r="H393" s="14"/>
      <c r="I393" s="15"/>
      <c r="J393" s="14"/>
      <c r="K393" s="97" t="s">
        <v>63</v>
      </c>
      <c r="L393" s="14"/>
      <c r="M393" s="14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3.2">
      <c r="A394" s="14"/>
      <c r="B394" s="14"/>
      <c r="C394" s="14"/>
      <c r="D394" s="14"/>
      <c r="E394" s="12"/>
      <c r="F394" s="12"/>
      <c r="G394" s="14"/>
      <c r="H394" s="14"/>
      <c r="I394" s="15"/>
      <c r="J394" s="14"/>
      <c r="K394" s="126"/>
      <c r="L394" s="14"/>
      <c r="M394" s="14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3.2">
      <c r="A395" s="14"/>
      <c r="B395" s="14"/>
      <c r="C395" s="14"/>
      <c r="D395" s="14"/>
      <c r="E395" s="12"/>
      <c r="F395" s="12"/>
      <c r="G395" s="14"/>
      <c r="H395" s="14"/>
      <c r="I395" s="15"/>
      <c r="J395" s="14"/>
      <c r="K395" s="126"/>
      <c r="L395" s="14"/>
      <c r="M395" s="14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3.2">
      <c r="A396" s="14"/>
      <c r="B396" s="14"/>
      <c r="C396" s="14"/>
      <c r="D396" s="14"/>
      <c r="E396" s="12"/>
      <c r="F396" s="12"/>
      <c r="G396" s="14"/>
      <c r="H396" s="14"/>
      <c r="I396" s="15"/>
      <c r="J396" s="14"/>
      <c r="K396" s="126"/>
      <c r="L396" s="14"/>
      <c r="M396" s="14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3.2">
      <c r="A397" s="14"/>
      <c r="B397" s="14"/>
      <c r="C397" s="14"/>
      <c r="D397" s="14"/>
      <c r="E397" s="12"/>
      <c r="F397" s="12"/>
      <c r="G397" s="14"/>
      <c r="H397" s="14"/>
      <c r="I397" s="15"/>
      <c r="J397" s="14"/>
      <c r="K397" s="126"/>
      <c r="L397" s="14"/>
      <c r="M397" s="14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3.2">
      <c r="A398" s="14"/>
      <c r="B398" s="14"/>
      <c r="C398" s="14"/>
      <c r="D398" s="14"/>
      <c r="E398" s="12"/>
      <c r="F398" s="12"/>
      <c r="G398" s="14"/>
      <c r="H398" s="14"/>
      <c r="I398" s="15"/>
      <c r="J398" s="14"/>
      <c r="K398" s="126"/>
      <c r="L398" s="14"/>
      <c r="M398" s="14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3.2">
      <c r="A399" s="14"/>
      <c r="B399" s="14"/>
      <c r="C399" s="14"/>
      <c r="D399" s="14"/>
      <c r="E399" s="12"/>
      <c r="F399" s="12"/>
      <c r="G399" s="14"/>
      <c r="H399" s="14"/>
      <c r="I399" s="15"/>
      <c r="J399" s="14"/>
      <c r="K399" s="126"/>
      <c r="L399" s="14"/>
      <c r="M399" s="14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3.2">
      <c r="A400" s="14"/>
      <c r="B400" s="14"/>
      <c r="C400" s="14"/>
      <c r="D400" s="14"/>
      <c r="E400" s="12"/>
      <c r="F400" s="12"/>
      <c r="G400" s="14"/>
      <c r="H400" s="14"/>
      <c r="I400" s="15"/>
      <c r="J400" s="14"/>
      <c r="K400" s="126"/>
      <c r="L400" s="14"/>
      <c r="M400" s="14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3.2">
      <c r="A401" s="14"/>
      <c r="B401" s="14"/>
      <c r="C401" s="14"/>
      <c r="D401" s="14"/>
      <c r="E401" s="12"/>
      <c r="F401" s="12"/>
      <c r="G401" s="14"/>
      <c r="H401" s="14"/>
      <c r="I401" s="15"/>
      <c r="J401" s="14"/>
      <c r="K401" s="126"/>
      <c r="L401" s="14"/>
      <c r="M401" s="14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3.2">
      <c r="A402" s="14"/>
      <c r="B402" s="14"/>
      <c r="C402" s="14"/>
      <c r="D402" s="14"/>
      <c r="E402" s="12"/>
      <c r="F402" s="12"/>
      <c r="G402" s="14"/>
      <c r="H402" s="14"/>
      <c r="I402" s="15"/>
      <c r="J402" s="14"/>
      <c r="K402" s="126"/>
      <c r="L402" s="14"/>
      <c r="M402" s="14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3.2">
      <c r="A403" s="14"/>
      <c r="B403" s="14"/>
      <c r="C403" s="14"/>
      <c r="D403" s="14"/>
      <c r="E403" s="12"/>
      <c r="F403" s="12"/>
      <c r="G403" s="14"/>
      <c r="H403" s="14"/>
      <c r="I403" s="15"/>
      <c r="J403" s="14"/>
      <c r="K403" s="126"/>
      <c r="L403" s="14"/>
      <c r="M403" s="14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3.2">
      <c r="A404" s="14"/>
      <c r="B404" s="14"/>
      <c r="C404" s="14"/>
      <c r="D404" s="14"/>
      <c r="E404" s="12"/>
      <c r="F404" s="12"/>
      <c r="G404" s="14"/>
      <c r="H404" s="14"/>
      <c r="I404" s="15"/>
      <c r="J404" s="14"/>
      <c r="K404" s="15"/>
      <c r="L404" s="14"/>
      <c r="M404" s="14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3.2">
      <c r="A405" s="14"/>
      <c r="B405" s="14"/>
      <c r="C405" s="14"/>
      <c r="D405" s="14"/>
      <c r="E405" s="12"/>
      <c r="F405" s="12"/>
      <c r="G405" s="14"/>
      <c r="H405" s="14"/>
      <c r="I405" s="15"/>
      <c r="J405" s="14"/>
      <c r="K405" s="15"/>
      <c r="L405" s="14"/>
      <c r="M405" s="14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3.2">
      <c r="A406" s="72" t="s">
        <v>81</v>
      </c>
      <c r="B406" s="5">
        <v>0</v>
      </c>
      <c r="C406" s="5">
        <v>0</v>
      </c>
      <c r="D406" s="9">
        <v>42992</v>
      </c>
      <c r="E406" s="10">
        <v>378.2</v>
      </c>
      <c r="F406" s="11" t="s">
        <v>21</v>
      </c>
      <c r="G406" s="12">
        <f>AVERAGE(F407,F408,F409,F414)</f>
        <v>4.7708333333333259</v>
      </c>
      <c r="H406" s="14"/>
      <c r="I406" s="13">
        <v>57.7</v>
      </c>
      <c r="J406" s="14"/>
      <c r="K406" s="13">
        <v>25.8</v>
      </c>
      <c r="L406" s="14"/>
      <c r="M406" s="14"/>
      <c r="N406" s="7"/>
      <c r="O406" s="7"/>
      <c r="P406" s="7">
        <f>SUM(O406:O418)-104.4</f>
        <v>290.10000000000002</v>
      </c>
      <c r="Q406" s="7"/>
      <c r="R406" s="7"/>
      <c r="S406" s="73">
        <f>I406-I410</f>
        <v>28.800000000000004</v>
      </c>
      <c r="T406" s="7"/>
      <c r="U406" s="7">
        <f>SUM(T406:T407)</f>
        <v>1207.82</v>
      </c>
      <c r="V406" s="7"/>
      <c r="W406" s="7"/>
      <c r="X406" s="7"/>
      <c r="Y406" s="7"/>
      <c r="Z406" s="7"/>
      <c r="AA406" s="7"/>
      <c r="AB406" s="7"/>
    </row>
    <row r="407" spans="1:28" ht="13.2">
      <c r="A407" s="5" t="s">
        <v>23</v>
      </c>
      <c r="B407" s="5">
        <v>0</v>
      </c>
      <c r="C407" s="5">
        <v>0</v>
      </c>
      <c r="D407" s="9">
        <v>42993</v>
      </c>
      <c r="E407" s="10">
        <v>373.5</v>
      </c>
      <c r="F407" s="12">
        <f>E406-E407</f>
        <v>4.6999999999999886</v>
      </c>
      <c r="G407" s="14"/>
      <c r="H407" s="14"/>
      <c r="I407" s="13">
        <v>53.5</v>
      </c>
      <c r="J407" s="16">
        <f t="shared" ref="J407:J410" si="92">(I406-I407)/(D407-D406)</f>
        <v>4.2000000000000028</v>
      </c>
      <c r="K407" s="13">
        <v>25.7</v>
      </c>
      <c r="L407" s="14"/>
      <c r="M407" s="14"/>
      <c r="N407" s="7"/>
      <c r="O407" s="75">
        <f>E411-E414</f>
        <v>30.399999999999977</v>
      </c>
      <c r="P407" s="7"/>
      <c r="Q407" s="7"/>
      <c r="R407" s="7"/>
      <c r="S407" s="73">
        <f>I411-I421</f>
        <v>55.5</v>
      </c>
      <c r="T407" s="7">
        <f>SUM(S407:S412)*5.24</f>
        <v>1207.82</v>
      </c>
      <c r="U407" s="7"/>
      <c r="V407" s="7"/>
      <c r="W407" s="7"/>
      <c r="X407" s="7"/>
      <c r="Y407" s="7"/>
      <c r="Z407" s="7"/>
      <c r="AA407" s="7"/>
      <c r="AB407" s="7"/>
    </row>
    <row r="408" spans="1:28" ht="13.2">
      <c r="A408" s="14"/>
      <c r="B408" s="5">
        <v>0</v>
      </c>
      <c r="C408" s="5">
        <v>0</v>
      </c>
      <c r="D408" s="9">
        <v>42996</v>
      </c>
      <c r="E408" s="10">
        <v>357.5</v>
      </c>
      <c r="F408" s="12">
        <f t="shared" ref="F408:F410" si="93">(E407-E408)/(D408-D407)</f>
        <v>5.333333333333333</v>
      </c>
      <c r="G408" s="14"/>
      <c r="H408" s="14"/>
      <c r="I408" s="13">
        <v>41.7</v>
      </c>
      <c r="J408" s="16">
        <f t="shared" si="92"/>
        <v>3.9333333333333322</v>
      </c>
      <c r="K408" s="13">
        <v>25.6</v>
      </c>
      <c r="L408" s="14"/>
      <c r="M408" s="14"/>
      <c r="N408" s="7"/>
      <c r="O408" s="75">
        <f>E415-E418</f>
        <v>42.900000000000034</v>
      </c>
      <c r="P408" s="7"/>
      <c r="Q408" s="7"/>
      <c r="R408" s="7"/>
      <c r="S408" s="73">
        <f>I422-I424</f>
        <v>6</v>
      </c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3.2">
      <c r="A409" s="14"/>
      <c r="B409" s="5">
        <v>0</v>
      </c>
      <c r="C409" s="5">
        <v>0</v>
      </c>
      <c r="D409" s="9">
        <v>42998</v>
      </c>
      <c r="E409" s="10">
        <v>348.3</v>
      </c>
      <c r="F409" s="12">
        <f t="shared" si="93"/>
        <v>4.5999999999999943</v>
      </c>
      <c r="G409" s="14"/>
      <c r="H409" s="14"/>
      <c r="I409" s="13">
        <v>33.799999999999997</v>
      </c>
      <c r="J409" s="16">
        <f t="shared" si="92"/>
        <v>3.9500000000000028</v>
      </c>
      <c r="K409" s="13">
        <v>25.7</v>
      </c>
      <c r="L409" s="14"/>
      <c r="M409" s="14"/>
      <c r="N409" s="7"/>
      <c r="O409" s="75">
        <f>E419-E422</f>
        <v>28.5</v>
      </c>
      <c r="P409" s="7"/>
      <c r="Q409" s="7"/>
      <c r="R409" s="7"/>
      <c r="S409" s="73">
        <f>110-I437</f>
        <v>74.5</v>
      </c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3.2">
      <c r="A410" s="14"/>
      <c r="B410" s="5">
        <v>0</v>
      </c>
      <c r="C410" s="5">
        <v>0</v>
      </c>
      <c r="D410" s="17">
        <v>42999</v>
      </c>
      <c r="E410" s="10">
        <v>341.5</v>
      </c>
      <c r="F410" s="12">
        <f t="shared" si="93"/>
        <v>6.8000000000000114</v>
      </c>
      <c r="G410" s="14"/>
      <c r="H410" s="14"/>
      <c r="I410" s="13">
        <v>28.9</v>
      </c>
      <c r="J410" s="16">
        <f t="shared" si="92"/>
        <v>4.8999999999999986</v>
      </c>
      <c r="K410" s="13">
        <v>26.6</v>
      </c>
      <c r="L410" s="14"/>
      <c r="M410" s="14"/>
      <c r="N410" s="7"/>
      <c r="O410" s="75">
        <f>E423-E426</f>
        <v>32.700000000000045</v>
      </c>
      <c r="P410" s="7"/>
      <c r="Q410" s="7"/>
      <c r="R410" s="7"/>
      <c r="S410" s="73">
        <f>75.5-I445</f>
        <v>42.3</v>
      </c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3.2">
      <c r="A411" s="14"/>
      <c r="B411" s="5">
        <v>0.5</v>
      </c>
      <c r="C411" s="5">
        <v>0</v>
      </c>
      <c r="D411" s="17">
        <v>42999</v>
      </c>
      <c r="E411" s="10">
        <v>390.5</v>
      </c>
      <c r="F411" s="12"/>
      <c r="G411" s="14"/>
      <c r="H411" s="14"/>
      <c r="I411" s="13">
        <v>81.5</v>
      </c>
      <c r="J411" s="16"/>
      <c r="K411" s="13"/>
      <c r="L411" s="14"/>
      <c r="M411" s="14"/>
      <c r="N411" s="7"/>
      <c r="O411" s="75">
        <f>E427-E430</f>
        <v>32.199999999999989</v>
      </c>
      <c r="P411" s="7"/>
      <c r="Q411" s="7"/>
      <c r="R411" s="7"/>
      <c r="S411" s="73">
        <f>I447-I455</f>
        <v>38.099999999999994</v>
      </c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3.2">
      <c r="A412" s="14"/>
      <c r="B412" s="5">
        <v>0.5</v>
      </c>
      <c r="C412" s="5">
        <f t="shared" ref="C412:C464" si="94">D412-$D$7</f>
        <v>1</v>
      </c>
      <c r="D412" s="17">
        <v>43000</v>
      </c>
      <c r="E412" s="10">
        <v>384.2</v>
      </c>
      <c r="F412" s="12">
        <f t="shared" ref="F412:F414" si="95">(E411-E412)/(D412-D411)</f>
        <v>6.3000000000000114</v>
      </c>
      <c r="G412" s="14"/>
      <c r="H412" s="14"/>
      <c r="I412" s="13">
        <v>77.3</v>
      </c>
      <c r="J412" s="16">
        <f t="shared" ref="J412:J414" si="96">(I411-I412)/(D412-D411)</f>
        <v>4.2000000000000028</v>
      </c>
      <c r="K412" s="13">
        <v>27.2</v>
      </c>
      <c r="L412" s="14"/>
      <c r="M412" s="14"/>
      <c r="N412" s="7"/>
      <c r="O412" s="75">
        <f>E431-E434</f>
        <v>34.399999999999977</v>
      </c>
      <c r="P412" s="7"/>
      <c r="Q412" s="7"/>
      <c r="R412" s="7"/>
      <c r="S412" s="73">
        <f>I457-I459</f>
        <v>14.100000000000001</v>
      </c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3.2">
      <c r="A413" s="14"/>
      <c r="B413" s="5">
        <v>0.5</v>
      </c>
      <c r="C413" s="5">
        <f t="shared" si="94"/>
        <v>4</v>
      </c>
      <c r="D413" s="9">
        <v>43003</v>
      </c>
      <c r="E413" s="10">
        <v>369</v>
      </c>
      <c r="F413" s="12">
        <f t="shared" si="95"/>
        <v>5.0666666666666629</v>
      </c>
      <c r="G413" s="14"/>
      <c r="H413" s="14"/>
      <c r="I413" s="13">
        <v>67</v>
      </c>
      <c r="J413" s="16">
        <f t="shared" si="96"/>
        <v>3.4333333333333322</v>
      </c>
      <c r="K413" s="13">
        <v>29.1</v>
      </c>
      <c r="L413" s="14"/>
      <c r="M413" s="14"/>
      <c r="N413" s="7"/>
      <c r="O413" s="75">
        <f>E435-E438</f>
        <v>29.699999999999989</v>
      </c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3.2">
      <c r="A414" s="14"/>
      <c r="B414" s="5">
        <v>0.5</v>
      </c>
      <c r="C414" s="5">
        <f t="shared" si="94"/>
        <v>6</v>
      </c>
      <c r="D414" s="9">
        <v>43005</v>
      </c>
      <c r="E414" s="10">
        <v>360.1</v>
      </c>
      <c r="F414" s="12">
        <f t="shared" si="95"/>
        <v>4.4499999999999886</v>
      </c>
      <c r="G414" s="14"/>
      <c r="H414" s="14"/>
      <c r="I414" s="13">
        <v>60.8</v>
      </c>
      <c r="J414" s="16">
        <f t="shared" si="96"/>
        <v>3.1000000000000014</v>
      </c>
      <c r="K414" s="18">
        <v>29.8</v>
      </c>
      <c r="L414" s="14"/>
      <c r="M414" s="14"/>
      <c r="N414" s="7"/>
      <c r="O414" s="75">
        <f>E439-E442</f>
        <v>33.699999999999989</v>
      </c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3.2">
      <c r="A415" s="14"/>
      <c r="B415" s="76">
        <v>1</v>
      </c>
      <c r="C415" s="5">
        <f t="shared" si="94"/>
        <v>6</v>
      </c>
      <c r="D415" s="9">
        <v>43005</v>
      </c>
      <c r="E415" s="10">
        <v>327.10000000000002</v>
      </c>
      <c r="F415" s="11"/>
      <c r="H415" s="14"/>
      <c r="I415" s="13" t="s">
        <v>57</v>
      </c>
      <c r="J415" s="16"/>
      <c r="K415" s="13"/>
      <c r="L415" s="14"/>
      <c r="M415" s="14"/>
      <c r="N415" s="7"/>
      <c r="O415" s="75">
        <f>E443-E445</f>
        <v>28.100000000000023</v>
      </c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3.2">
      <c r="A416" s="14"/>
      <c r="B416" s="5">
        <v>1</v>
      </c>
      <c r="C416" s="5">
        <f t="shared" si="94"/>
        <v>8</v>
      </c>
      <c r="D416" s="9">
        <v>43007</v>
      </c>
      <c r="E416" s="10">
        <v>314.5</v>
      </c>
      <c r="F416" s="12">
        <f t="shared" ref="F416:F418" si="97">(E415-E416)/(D416-D415)</f>
        <v>6.3000000000000114</v>
      </c>
      <c r="G416" s="14"/>
      <c r="H416" s="14"/>
      <c r="I416" s="13">
        <v>55.2</v>
      </c>
      <c r="J416" s="16">
        <f>(I414-I416)/(D416-D414)</f>
        <v>2.7999999999999972</v>
      </c>
      <c r="K416" s="13">
        <v>30</v>
      </c>
      <c r="L416" s="14"/>
      <c r="M416" s="14"/>
      <c r="N416" s="7"/>
      <c r="O416" s="75">
        <f>E446-E451</f>
        <v>37.800000000000011</v>
      </c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3.2">
      <c r="A417" s="14"/>
      <c r="B417" s="5">
        <v>1</v>
      </c>
      <c r="C417" s="5">
        <f t="shared" si="94"/>
        <v>11</v>
      </c>
      <c r="D417" s="19">
        <v>43010</v>
      </c>
      <c r="E417" s="11">
        <v>301.39999999999998</v>
      </c>
      <c r="F417" s="12">
        <f t="shared" si="97"/>
        <v>4.3666666666666742</v>
      </c>
      <c r="G417" s="14"/>
      <c r="H417" s="14"/>
      <c r="I417" s="13">
        <v>47.4</v>
      </c>
      <c r="J417" s="16">
        <f t="shared" ref="J417:J418" si="98">(I416-I417)/(D417-D416)</f>
        <v>2.6000000000000014</v>
      </c>
      <c r="K417" s="13">
        <v>30.8</v>
      </c>
      <c r="L417" s="14"/>
      <c r="M417" s="14"/>
      <c r="N417" s="7"/>
      <c r="O417" s="75">
        <f>E452-E455</f>
        <v>33.5</v>
      </c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3.2">
      <c r="A418" s="14"/>
      <c r="B418" s="5">
        <v>1</v>
      </c>
      <c r="C418" s="5">
        <f t="shared" si="94"/>
        <v>13</v>
      </c>
      <c r="D418" s="19">
        <v>43012</v>
      </c>
      <c r="E418" s="11">
        <v>284.2</v>
      </c>
      <c r="F418" s="12">
        <f t="shared" si="97"/>
        <v>8.5999999999999943</v>
      </c>
      <c r="G418" s="14"/>
      <c r="H418" s="14"/>
      <c r="I418" s="13">
        <v>41.8</v>
      </c>
      <c r="J418" s="16">
        <f t="shared" si="98"/>
        <v>2.8000000000000007</v>
      </c>
      <c r="K418" s="13">
        <v>31.2</v>
      </c>
      <c r="L418" s="14"/>
      <c r="M418" s="14"/>
      <c r="N418" s="7"/>
      <c r="O418" s="75">
        <f>E456-E459</f>
        <v>30.599999999999966</v>
      </c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3.2">
      <c r="A419" s="14"/>
      <c r="B419" s="5">
        <v>2</v>
      </c>
      <c r="C419" s="5">
        <f t="shared" si="94"/>
        <v>14</v>
      </c>
      <c r="D419" s="20">
        <v>43013</v>
      </c>
      <c r="E419" s="11">
        <v>347.8</v>
      </c>
      <c r="F419" s="11"/>
      <c r="G419" s="14"/>
      <c r="H419" s="14"/>
      <c r="I419" s="13" t="s">
        <v>24</v>
      </c>
      <c r="J419" s="16"/>
      <c r="K419" s="13"/>
      <c r="L419" s="14"/>
      <c r="M419" s="14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3.2">
      <c r="A420" s="14"/>
      <c r="B420" s="5">
        <v>2</v>
      </c>
      <c r="C420" s="5">
        <f t="shared" si="94"/>
        <v>15</v>
      </c>
      <c r="D420" s="20">
        <v>43014</v>
      </c>
      <c r="E420" s="11">
        <v>340.9</v>
      </c>
      <c r="F420" s="12">
        <f t="shared" ref="F420:F422" si="99">(E419-E420)/(D420-D419)</f>
        <v>6.9000000000000341</v>
      </c>
      <c r="G420" s="14"/>
      <c r="H420" s="14"/>
      <c r="I420" s="13">
        <v>35.6</v>
      </c>
      <c r="J420" s="16">
        <f>(I418-I420)/(D420-D418)</f>
        <v>3.0999999999999979</v>
      </c>
      <c r="K420" s="13">
        <v>32.6</v>
      </c>
      <c r="L420" s="14"/>
      <c r="M420" s="14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3.2">
      <c r="A421" s="14"/>
      <c r="B421" s="5">
        <v>2</v>
      </c>
      <c r="C421" s="5">
        <f t="shared" si="94"/>
        <v>18</v>
      </c>
      <c r="D421" s="20">
        <v>43017</v>
      </c>
      <c r="E421" s="11">
        <v>329.1</v>
      </c>
      <c r="F421" s="12">
        <f t="shared" si="99"/>
        <v>3.933333333333318</v>
      </c>
      <c r="G421" s="14"/>
      <c r="H421" s="14"/>
      <c r="I421" s="13">
        <v>26</v>
      </c>
      <c r="J421" s="16">
        <f>(I420-I421)/(D421-D420)</f>
        <v>3.2000000000000006</v>
      </c>
      <c r="K421" s="13">
        <v>34.5</v>
      </c>
      <c r="L421" s="14"/>
      <c r="M421" s="14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3.2">
      <c r="A422" s="14"/>
      <c r="B422" s="5">
        <v>2</v>
      </c>
      <c r="C422" s="5">
        <f t="shared" si="94"/>
        <v>20</v>
      </c>
      <c r="D422" s="20">
        <v>43019</v>
      </c>
      <c r="E422" s="11">
        <v>319.3</v>
      </c>
      <c r="F422" s="12">
        <f t="shared" si="99"/>
        <v>4.9000000000000057</v>
      </c>
      <c r="G422" s="14"/>
      <c r="H422" s="14"/>
      <c r="I422" s="13">
        <v>43.6</v>
      </c>
      <c r="J422" s="16"/>
      <c r="K422" s="13">
        <v>35.6</v>
      </c>
      <c r="L422" s="14"/>
      <c r="M422" s="14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3.2">
      <c r="A423" s="14"/>
      <c r="B423" s="5">
        <v>3</v>
      </c>
      <c r="C423" s="5">
        <f t="shared" si="94"/>
        <v>21</v>
      </c>
      <c r="D423" s="20">
        <v>43020</v>
      </c>
      <c r="E423" s="11">
        <v>350.1</v>
      </c>
      <c r="F423" s="12"/>
      <c r="G423" s="14"/>
      <c r="H423" s="14"/>
      <c r="I423" s="13"/>
      <c r="J423" s="16"/>
      <c r="K423" s="13"/>
      <c r="L423" s="14"/>
      <c r="M423" s="14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3.2">
      <c r="A424" s="14"/>
      <c r="B424" s="5">
        <v>3</v>
      </c>
      <c r="C424" s="5">
        <f t="shared" si="94"/>
        <v>22</v>
      </c>
      <c r="D424" s="20">
        <f>D422+2</f>
        <v>43021</v>
      </c>
      <c r="E424" s="11">
        <v>342.6</v>
      </c>
      <c r="F424" s="12">
        <f t="shared" ref="F424:F426" si="100">(E423-E424)/(D424-D423)</f>
        <v>7.5</v>
      </c>
      <c r="G424" s="12">
        <f>AVERAGE(F412:F455)</f>
        <v>5.9292929292929291</v>
      </c>
      <c r="H424" s="14"/>
      <c r="I424" s="13">
        <v>37.6</v>
      </c>
      <c r="J424" s="16">
        <f>(I422-I424)/(D424-D422)</f>
        <v>3</v>
      </c>
      <c r="K424" s="13">
        <v>35.799999999999997</v>
      </c>
      <c r="L424" s="14"/>
      <c r="M424" s="14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3.2">
      <c r="A425" s="14"/>
      <c r="B425" s="5">
        <v>3</v>
      </c>
      <c r="C425" s="5">
        <f t="shared" si="94"/>
        <v>25</v>
      </c>
      <c r="D425" s="20">
        <f>D424+3</f>
        <v>43024</v>
      </c>
      <c r="E425" s="11">
        <v>328.2</v>
      </c>
      <c r="F425" s="12">
        <f t="shared" si="100"/>
        <v>4.8000000000000114</v>
      </c>
      <c r="G425" s="14"/>
      <c r="H425" s="14"/>
      <c r="I425" s="13">
        <v>100.1</v>
      </c>
      <c r="J425" s="14">
        <f t="shared" ref="J425:J426" si="101">(110-I425)/(D425-D424)</f>
        <v>3.300000000000002</v>
      </c>
      <c r="K425" s="13">
        <v>37.200000000000003</v>
      </c>
      <c r="L425" s="14"/>
      <c r="M425" s="14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3.2">
      <c r="A426" s="14"/>
      <c r="B426" s="5">
        <v>3</v>
      </c>
      <c r="C426" s="5">
        <f t="shared" si="94"/>
        <v>27</v>
      </c>
      <c r="D426" s="20">
        <f>D425+2</f>
        <v>43026</v>
      </c>
      <c r="E426" s="11">
        <v>317.39999999999998</v>
      </c>
      <c r="F426" s="12">
        <f t="shared" si="100"/>
        <v>5.4000000000000057</v>
      </c>
      <c r="G426" s="14"/>
      <c r="H426" s="14"/>
      <c r="I426" s="13">
        <v>92</v>
      </c>
      <c r="J426" s="15">
        <f t="shared" si="101"/>
        <v>9</v>
      </c>
      <c r="K426" s="13">
        <v>38.200000000000003</v>
      </c>
      <c r="L426" s="14"/>
      <c r="M426" s="14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3.2">
      <c r="A427" s="14"/>
      <c r="B427" s="5">
        <v>4</v>
      </c>
      <c r="C427" s="5">
        <f t="shared" si="94"/>
        <v>28</v>
      </c>
      <c r="D427" s="20">
        <v>43027</v>
      </c>
      <c r="E427" s="11">
        <v>387.9</v>
      </c>
      <c r="F427" s="12"/>
      <c r="G427" s="14"/>
      <c r="H427" s="14"/>
      <c r="I427" s="15"/>
      <c r="J427" s="14"/>
      <c r="K427" s="15"/>
      <c r="L427" s="14"/>
      <c r="M427" s="14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3.2">
      <c r="A428" s="14"/>
      <c r="B428" s="5">
        <v>4</v>
      </c>
      <c r="C428" s="5">
        <f t="shared" si="94"/>
        <v>29</v>
      </c>
      <c r="D428" s="20">
        <f>D426+2</f>
        <v>43028</v>
      </c>
      <c r="E428" s="11">
        <v>381.3</v>
      </c>
      <c r="F428" s="12">
        <f t="shared" ref="F428:F430" si="102">(E427-E428)/(D428-D427)</f>
        <v>6.5999999999999659</v>
      </c>
      <c r="G428" s="14"/>
      <c r="H428" s="14"/>
      <c r="I428" s="13">
        <v>85.9</v>
      </c>
      <c r="J428" s="15">
        <f>(I426-I428)/(D428-D426)</f>
        <v>3.0499999999999972</v>
      </c>
      <c r="K428" s="13">
        <v>38.4</v>
      </c>
      <c r="L428" s="14"/>
      <c r="M428" s="14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3.2">
      <c r="A429" s="14"/>
      <c r="B429" s="5">
        <v>4</v>
      </c>
      <c r="C429" s="5">
        <f t="shared" si="94"/>
        <v>32</v>
      </c>
      <c r="D429" s="20">
        <v>43031</v>
      </c>
      <c r="E429" s="11">
        <v>367.1</v>
      </c>
      <c r="F429" s="12">
        <f t="shared" si="102"/>
        <v>4.7333333333333298</v>
      </c>
      <c r="G429" s="14"/>
      <c r="H429" s="14"/>
      <c r="I429" s="13">
        <v>76.400000000000006</v>
      </c>
      <c r="J429" s="15">
        <f t="shared" ref="J429:J430" si="103">(I428-I429)/(D429-D428)</f>
        <v>3.1666666666666665</v>
      </c>
      <c r="K429" s="13">
        <v>40</v>
      </c>
      <c r="L429" s="14"/>
      <c r="M429" s="14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3.2">
      <c r="A430" s="14"/>
      <c r="B430" s="5">
        <v>4</v>
      </c>
      <c r="C430" s="5">
        <f t="shared" si="94"/>
        <v>34</v>
      </c>
      <c r="D430" s="20">
        <v>43033</v>
      </c>
      <c r="E430" s="11">
        <v>355.7</v>
      </c>
      <c r="F430" s="12">
        <f t="shared" si="102"/>
        <v>5.7000000000000171</v>
      </c>
      <c r="G430" s="14"/>
      <c r="H430" s="14"/>
      <c r="I430" s="13">
        <v>71.3</v>
      </c>
      <c r="J430" s="15">
        <f t="shared" si="103"/>
        <v>2.5500000000000043</v>
      </c>
      <c r="K430" s="13">
        <v>40.1</v>
      </c>
      <c r="L430" s="14"/>
      <c r="M430" s="14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3.2">
      <c r="A431" s="14"/>
      <c r="B431" s="5">
        <v>5</v>
      </c>
      <c r="C431" s="5">
        <f t="shared" si="94"/>
        <v>35</v>
      </c>
      <c r="D431" s="20">
        <v>43034</v>
      </c>
      <c r="E431" s="11">
        <v>320.89999999999998</v>
      </c>
      <c r="F431" s="12"/>
      <c r="G431" s="14"/>
      <c r="H431" s="14"/>
      <c r="I431" s="15"/>
      <c r="J431" s="15"/>
      <c r="K431" s="15"/>
      <c r="L431" s="14"/>
      <c r="M431" s="14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3.2">
      <c r="A432" s="14"/>
      <c r="B432" s="5">
        <v>5</v>
      </c>
      <c r="C432" s="5">
        <f t="shared" si="94"/>
        <v>36</v>
      </c>
      <c r="D432" s="20">
        <v>43035</v>
      </c>
      <c r="E432" s="11">
        <v>315.3</v>
      </c>
      <c r="F432" s="12">
        <f t="shared" ref="F432:F434" si="104">(E431-E432)/(D432-D431)</f>
        <v>5.5999999999999659</v>
      </c>
      <c r="G432" s="14"/>
      <c r="H432" s="14"/>
      <c r="I432" s="13">
        <v>65.7</v>
      </c>
      <c r="J432" s="15">
        <f>(I430-I432)/(D432-D430)</f>
        <v>2.7999999999999972</v>
      </c>
      <c r="K432" s="13">
        <v>39.799999999999997</v>
      </c>
      <c r="L432" s="14"/>
      <c r="M432" s="14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3.2">
      <c r="A433" s="14"/>
      <c r="B433" s="5">
        <v>5</v>
      </c>
      <c r="C433" s="5">
        <f t="shared" si="94"/>
        <v>39</v>
      </c>
      <c r="D433" s="20">
        <v>43038</v>
      </c>
      <c r="E433" s="11">
        <v>296.10000000000002</v>
      </c>
      <c r="F433" s="12">
        <f t="shared" si="104"/>
        <v>6.3999999999999959</v>
      </c>
      <c r="G433" s="14"/>
      <c r="H433" s="14"/>
      <c r="I433" s="13">
        <v>56.7</v>
      </c>
      <c r="J433" s="15">
        <f t="shared" ref="J433:J434" si="105">(I432-I433)/(D433-D432)</f>
        <v>3</v>
      </c>
      <c r="K433" s="13">
        <v>41.4</v>
      </c>
      <c r="L433" s="14"/>
      <c r="M433" s="14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3.2">
      <c r="A434" s="14"/>
      <c r="B434" s="5">
        <v>5</v>
      </c>
      <c r="C434" s="5">
        <f t="shared" si="94"/>
        <v>41</v>
      </c>
      <c r="D434" s="20">
        <v>43040</v>
      </c>
      <c r="E434" s="11">
        <v>286.5</v>
      </c>
      <c r="F434" s="12">
        <f t="shared" si="104"/>
        <v>4.8000000000000114</v>
      </c>
      <c r="G434" s="14"/>
      <c r="H434" s="14"/>
      <c r="I434" s="13">
        <v>50.4</v>
      </c>
      <c r="J434" s="15">
        <f t="shared" si="105"/>
        <v>3.1500000000000021</v>
      </c>
      <c r="K434" s="13">
        <v>42.3</v>
      </c>
      <c r="L434" s="14"/>
      <c r="M434" s="14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3.2">
      <c r="A435" s="14"/>
      <c r="B435" s="5">
        <v>6</v>
      </c>
      <c r="C435" s="5">
        <f t="shared" si="94"/>
        <v>42</v>
      </c>
      <c r="D435" s="20">
        <v>43041</v>
      </c>
      <c r="E435" s="11">
        <v>330.4</v>
      </c>
      <c r="F435" s="12"/>
      <c r="G435" s="14"/>
      <c r="H435" s="14"/>
      <c r="I435" s="15"/>
      <c r="J435" s="14"/>
      <c r="K435" s="15"/>
      <c r="L435" s="14"/>
      <c r="M435" s="14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3.2">
      <c r="A436" s="14"/>
      <c r="B436" s="5">
        <v>6</v>
      </c>
      <c r="C436" s="5">
        <f t="shared" si="94"/>
        <v>43</v>
      </c>
      <c r="D436" s="20">
        <v>43042</v>
      </c>
      <c r="E436" s="11">
        <v>324.2</v>
      </c>
      <c r="F436" s="12">
        <f t="shared" ref="F436:F438" si="106">(E435-E436)/(D436-D435)</f>
        <v>6.1999999999999886</v>
      </c>
      <c r="G436" s="14"/>
      <c r="H436" s="14"/>
      <c r="I436" s="13">
        <v>44.5</v>
      </c>
      <c r="J436" s="15">
        <f>(I434-I436)/(D436-D434)</f>
        <v>2.9499999999999993</v>
      </c>
      <c r="K436" s="13">
        <v>43.3</v>
      </c>
      <c r="L436" s="14"/>
      <c r="M436" s="14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3.2">
      <c r="A437" s="14"/>
      <c r="B437" s="5">
        <v>6</v>
      </c>
      <c r="C437" s="5">
        <f t="shared" si="94"/>
        <v>46</v>
      </c>
      <c r="D437" s="20">
        <v>43045</v>
      </c>
      <c r="E437" s="11">
        <v>309.5</v>
      </c>
      <c r="F437" s="12">
        <f t="shared" si="106"/>
        <v>4.8999999999999959</v>
      </c>
      <c r="G437" s="14"/>
      <c r="H437" s="14"/>
      <c r="I437" s="13">
        <v>35.5</v>
      </c>
      <c r="J437" s="15">
        <f>(I436-I437)/(D437-D436)</f>
        <v>3</v>
      </c>
      <c r="K437" s="13">
        <v>44.4</v>
      </c>
      <c r="L437" s="14"/>
      <c r="M437" s="14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3.2">
      <c r="A438" s="14"/>
      <c r="B438" s="5">
        <v>6</v>
      </c>
      <c r="C438" s="5">
        <f t="shared" si="94"/>
        <v>48</v>
      </c>
      <c r="D438" s="20">
        <v>43047</v>
      </c>
      <c r="E438" s="11">
        <v>300.7</v>
      </c>
      <c r="F438" s="12">
        <f t="shared" si="106"/>
        <v>4.4000000000000057</v>
      </c>
      <c r="G438" s="14"/>
      <c r="H438" s="14"/>
      <c r="I438" s="13">
        <v>68.5</v>
      </c>
      <c r="J438" s="14">
        <f>(75.5-I438)/(D438-D437)</f>
        <v>3.5</v>
      </c>
      <c r="K438" s="13">
        <v>45.6</v>
      </c>
      <c r="L438" s="14"/>
      <c r="M438" s="14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3.2">
      <c r="A439" s="14"/>
      <c r="B439" s="5">
        <v>7</v>
      </c>
      <c r="C439" s="5">
        <f t="shared" si="94"/>
        <v>49</v>
      </c>
      <c r="D439" s="20">
        <v>43048</v>
      </c>
      <c r="E439" s="11">
        <v>327.39999999999998</v>
      </c>
      <c r="F439" s="12"/>
      <c r="G439" s="14"/>
      <c r="H439" s="14"/>
      <c r="I439" s="15"/>
      <c r="J439" s="14"/>
      <c r="K439" s="15"/>
      <c r="L439" s="14"/>
      <c r="M439" s="14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3.2">
      <c r="A440" s="14"/>
      <c r="B440" s="5">
        <v>7</v>
      </c>
      <c r="C440" s="5">
        <f t="shared" si="94"/>
        <v>50</v>
      </c>
      <c r="D440" s="20">
        <v>43049</v>
      </c>
      <c r="E440" s="11">
        <v>317.3</v>
      </c>
      <c r="F440" s="12">
        <f t="shared" ref="F440:F442" si="107">(E439-E440)/(D440-D439)</f>
        <v>10.099999999999966</v>
      </c>
      <c r="G440" s="14"/>
      <c r="H440" s="14"/>
      <c r="I440" s="13">
        <v>61.3</v>
      </c>
      <c r="J440" s="15">
        <f>(I438-I440)/(D440-D438)</f>
        <v>3.6000000000000014</v>
      </c>
      <c r="K440" s="13">
        <v>46.3</v>
      </c>
      <c r="L440" s="14"/>
      <c r="M440" s="14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3.2">
      <c r="A441" s="14"/>
      <c r="B441" s="5">
        <v>7</v>
      </c>
      <c r="C441" s="5">
        <f t="shared" si="94"/>
        <v>53</v>
      </c>
      <c r="D441" s="20">
        <v>43052</v>
      </c>
      <c r="E441" s="11">
        <v>303.3</v>
      </c>
      <c r="F441" s="12">
        <f t="shared" si="107"/>
        <v>4.666666666666667</v>
      </c>
      <c r="G441" s="14"/>
      <c r="H441" s="14"/>
      <c r="I441" s="13">
        <v>52.3</v>
      </c>
      <c r="J441" s="15">
        <f t="shared" ref="J441:J442" si="108">(I440-I441)/(D441-D440)</f>
        <v>3</v>
      </c>
      <c r="K441" s="13">
        <v>47.1</v>
      </c>
      <c r="L441" s="14"/>
      <c r="M441" s="14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3.2">
      <c r="A442" s="14"/>
      <c r="B442" s="5">
        <v>7</v>
      </c>
      <c r="C442" s="5">
        <f t="shared" si="94"/>
        <v>55</v>
      </c>
      <c r="D442" s="20">
        <v>43054</v>
      </c>
      <c r="E442" s="11">
        <v>293.7</v>
      </c>
      <c r="F442" s="12">
        <f t="shared" si="107"/>
        <v>4.8000000000000114</v>
      </c>
      <c r="G442" s="14"/>
      <c r="H442" s="14"/>
      <c r="I442" s="13">
        <v>46.6</v>
      </c>
      <c r="J442" s="15">
        <f t="shared" si="108"/>
        <v>2.8499999999999979</v>
      </c>
      <c r="K442" s="13">
        <v>47.1</v>
      </c>
      <c r="L442" s="14"/>
      <c r="M442" s="14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3.2">
      <c r="A443" s="14"/>
      <c r="B443" s="5">
        <v>8</v>
      </c>
      <c r="C443" s="5">
        <f t="shared" si="94"/>
        <v>56</v>
      </c>
      <c r="D443" s="20">
        <v>43055</v>
      </c>
      <c r="E443" s="11">
        <v>332.3</v>
      </c>
      <c r="F443" s="12"/>
      <c r="G443" s="14"/>
      <c r="H443" s="14"/>
      <c r="I443" s="15"/>
      <c r="J443" s="14"/>
      <c r="K443" s="15"/>
      <c r="L443" s="14"/>
      <c r="M443" s="14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3.2">
      <c r="A444" s="14"/>
      <c r="B444" s="5">
        <v>8</v>
      </c>
      <c r="C444" s="5">
        <f t="shared" si="94"/>
        <v>57</v>
      </c>
      <c r="D444" s="20">
        <v>43056</v>
      </c>
      <c r="E444" s="11">
        <v>318.7</v>
      </c>
      <c r="F444" s="12">
        <f t="shared" ref="F444:F445" si="109">(E443-E444)/(D444-D443)</f>
        <v>13.600000000000023</v>
      </c>
      <c r="G444" s="14"/>
      <c r="H444" s="14"/>
      <c r="I444" s="13">
        <v>41</v>
      </c>
      <c r="J444" s="15">
        <f>(I442-I444)/(D444-D442)</f>
        <v>2.8000000000000007</v>
      </c>
      <c r="K444" s="13">
        <v>47.4</v>
      </c>
      <c r="L444" s="14"/>
      <c r="M444" s="14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3.2">
      <c r="A445" s="14"/>
      <c r="B445" s="5">
        <v>8</v>
      </c>
      <c r="C445" s="5">
        <f t="shared" si="94"/>
        <v>60</v>
      </c>
      <c r="D445" s="20">
        <v>43059</v>
      </c>
      <c r="E445" s="11">
        <v>304.2</v>
      </c>
      <c r="F445" s="12">
        <f t="shared" si="109"/>
        <v>4.833333333333333</v>
      </c>
      <c r="G445" s="14"/>
      <c r="H445" s="14"/>
      <c r="I445" s="13">
        <v>33.200000000000003</v>
      </c>
      <c r="J445" s="15">
        <f>(I444-I445)/(D445-D444)</f>
        <v>2.5999999999999992</v>
      </c>
      <c r="K445" s="13">
        <v>47.7</v>
      </c>
      <c r="L445" s="14"/>
      <c r="M445" s="14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3.2">
      <c r="A446" s="14"/>
      <c r="B446" s="5">
        <v>8</v>
      </c>
      <c r="C446" s="5">
        <f t="shared" si="94"/>
        <v>61</v>
      </c>
      <c r="D446" s="20">
        <v>43060</v>
      </c>
      <c r="E446" s="11">
        <v>363.7</v>
      </c>
      <c r="F446" s="12"/>
      <c r="G446" s="14"/>
      <c r="H446" s="14"/>
      <c r="I446" s="15"/>
      <c r="J446" s="14"/>
      <c r="K446" s="15"/>
      <c r="L446" s="14"/>
      <c r="M446" s="14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3.2">
      <c r="A447" s="14"/>
      <c r="B447" s="5">
        <v>9</v>
      </c>
      <c r="C447" s="5">
        <f t="shared" si="94"/>
        <v>62</v>
      </c>
      <c r="D447" s="20">
        <v>43061</v>
      </c>
      <c r="E447" s="11">
        <v>355.8</v>
      </c>
      <c r="F447" s="12">
        <f>(E446-E447)/(D447-D446)</f>
        <v>7.8999999999999773</v>
      </c>
      <c r="G447" s="14"/>
      <c r="H447" s="14"/>
      <c r="I447" s="13">
        <v>74.8</v>
      </c>
      <c r="J447" s="14">
        <f>(80.9-I447)/(D447-D446)</f>
        <v>6.1000000000000085</v>
      </c>
      <c r="K447" s="13">
        <v>48.6</v>
      </c>
      <c r="L447" s="14"/>
      <c r="M447" s="14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3.2">
      <c r="A448" s="14"/>
      <c r="B448" s="5">
        <v>9</v>
      </c>
      <c r="C448" s="5">
        <f t="shared" si="94"/>
        <v>63</v>
      </c>
      <c r="D448" s="20">
        <v>43062</v>
      </c>
      <c r="E448" s="11"/>
      <c r="F448" s="12"/>
      <c r="G448" s="14"/>
      <c r="H448" s="14"/>
      <c r="I448" s="13"/>
      <c r="J448" s="15"/>
      <c r="K448" s="13"/>
      <c r="L448" s="14"/>
      <c r="M448" s="14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3.2">
      <c r="A449" s="14"/>
      <c r="B449" s="5">
        <v>9</v>
      </c>
      <c r="C449" s="5">
        <f t="shared" si="94"/>
        <v>64</v>
      </c>
      <c r="D449" s="20">
        <v>43063</v>
      </c>
      <c r="E449" s="11">
        <v>347.1</v>
      </c>
      <c r="F449" s="12">
        <f>(E447-E449)/(D449-D447)</f>
        <v>4.3499999999999943</v>
      </c>
      <c r="G449" s="14"/>
      <c r="H449" s="14"/>
      <c r="I449" s="13">
        <v>69</v>
      </c>
      <c r="J449" s="15">
        <f>(I447-I449)/(D449-D447)</f>
        <v>2.8999999999999986</v>
      </c>
      <c r="K449" s="13">
        <v>49.2</v>
      </c>
      <c r="L449" s="14"/>
      <c r="M449" s="14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3.2">
      <c r="A450" s="14"/>
      <c r="B450" s="5">
        <v>9</v>
      </c>
      <c r="C450" s="5">
        <f t="shared" si="94"/>
        <v>67</v>
      </c>
      <c r="D450" s="23">
        <v>43066</v>
      </c>
      <c r="E450" s="11">
        <v>334.8</v>
      </c>
      <c r="F450" s="12">
        <f t="shared" ref="F450:F451" si="110">(E449-E450)/(D450-D449)</f>
        <v>4.1000000000000041</v>
      </c>
      <c r="G450" s="14"/>
      <c r="H450" s="14"/>
      <c r="I450" s="13">
        <v>61.1</v>
      </c>
      <c r="J450" s="15">
        <f t="shared" ref="J450:J451" si="111">(I449-I450)/(D450-D449)</f>
        <v>2.6333333333333329</v>
      </c>
      <c r="K450" s="13">
        <v>49.5</v>
      </c>
      <c r="L450" s="14"/>
      <c r="M450" s="14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3.2">
      <c r="A451" s="14"/>
      <c r="B451" s="5">
        <v>9</v>
      </c>
      <c r="C451" s="5">
        <f t="shared" si="94"/>
        <v>69</v>
      </c>
      <c r="D451" s="23">
        <v>43068</v>
      </c>
      <c r="E451" s="11">
        <v>325.89999999999998</v>
      </c>
      <c r="F451" s="12">
        <f t="shared" si="110"/>
        <v>4.4500000000000171</v>
      </c>
      <c r="G451" s="14"/>
      <c r="H451" s="14"/>
      <c r="I451" s="13">
        <v>55.7</v>
      </c>
      <c r="J451" s="15">
        <f t="shared" si="111"/>
        <v>2.6999999999999993</v>
      </c>
      <c r="K451" s="13">
        <v>49.9</v>
      </c>
      <c r="L451" s="14"/>
      <c r="M451" s="14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3.2">
      <c r="A452" s="14"/>
      <c r="B452" s="5">
        <v>10</v>
      </c>
      <c r="C452" s="5">
        <f t="shared" si="94"/>
        <v>70</v>
      </c>
      <c r="D452" s="23">
        <v>43069</v>
      </c>
      <c r="E452" s="11">
        <v>340.1</v>
      </c>
      <c r="F452" s="12"/>
      <c r="G452" s="14"/>
      <c r="H452" s="14"/>
      <c r="I452" s="15"/>
      <c r="J452" s="14"/>
      <c r="K452" s="15"/>
      <c r="L452" s="14"/>
      <c r="M452" s="14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3.2">
      <c r="A453" s="14"/>
      <c r="B453" s="5">
        <v>10</v>
      </c>
      <c r="C453" s="5">
        <f t="shared" si="94"/>
        <v>71</v>
      </c>
      <c r="D453" s="23">
        <v>43070</v>
      </c>
      <c r="E453" s="11">
        <v>331.7</v>
      </c>
      <c r="F453" s="12">
        <f t="shared" ref="F453:F455" si="112">(E452-E453)/(D453-D452)</f>
        <v>8.4000000000000341</v>
      </c>
      <c r="G453" s="14"/>
      <c r="H453" s="14"/>
      <c r="I453" s="13">
        <v>49.7</v>
      </c>
      <c r="J453" s="15">
        <f>(I451-I453)/(D453-D451)</f>
        <v>3</v>
      </c>
      <c r="K453" s="13">
        <v>49.8</v>
      </c>
      <c r="L453" s="14"/>
      <c r="M453" s="14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3.2">
      <c r="A454" s="14"/>
      <c r="B454" s="5">
        <v>10</v>
      </c>
      <c r="C454" s="5">
        <f t="shared" si="94"/>
        <v>74</v>
      </c>
      <c r="D454" s="23">
        <v>43073</v>
      </c>
      <c r="E454" s="11">
        <v>320.10000000000002</v>
      </c>
      <c r="F454" s="12">
        <f t="shared" si="112"/>
        <v>3.8666666666666551</v>
      </c>
      <c r="G454" s="14"/>
      <c r="H454" s="14"/>
      <c r="I454" s="13">
        <v>41.8</v>
      </c>
      <c r="J454" s="15">
        <f t="shared" ref="J454:J455" si="113">(I453-I454)/(D454-D453)</f>
        <v>2.6333333333333351</v>
      </c>
      <c r="K454" s="13">
        <v>49.8</v>
      </c>
      <c r="L454" s="14"/>
      <c r="M454" s="14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3.2">
      <c r="A455" s="14"/>
      <c r="B455" s="5">
        <v>10</v>
      </c>
      <c r="C455" s="5">
        <f t="shared" si="94"/>
        <v>76</v>
      </c>
      <c r="D455" s="23">
        <v>43075</v>
      </c>
      <c r="E455" s="11">
        <v>306.60000000000002</v>
      </c>
      <c r="F455" s="12">
        <f t="shared" si="112"/>
        <v>6.75</v>
      </c>
      <c r="G455" s="14"/>
      <c r="H455" s="14"/>
      <c r="I455" s="13">
        <v>36.700000000000003</v>
      </c>
      <c r="J455" s="15">
        <f t="shared" si="113"/>
        <v>2.5499999999999972</v>
      </c>
      <c r="K455" s="13">
        <v>49.9</v>
      </c>
      <c r="L455" s="14"/>
      <c r="M455" s="14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3.2">
      <c r="A456" s="14"/>
      <c r="B456" s="5">
        <v>11</v>
      </c>
      <c r="C456" s="5">
        <f t="shared" si="94"/>
        <v>77</v>
      </c>
      <c r="D456" s="24">
        <v>43076</v>
      </c>
      <c r="E456" s="11">
        <v>340.2</v>
      </c>
      <c r="F456" s="12"/>
      <c r="G456" s="14"/>
      <c r="H456" s="14"/>
      <c r="K456" s="126"/>
      <c r="L456" s="14"/>
      <c r="M456" s="14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3.2">
      <c r="A457" s="14"/>
      <c r="B457" s="5">
        <v>11</v>
      </c>
      <c r="C457" s="5">
        <f t="shared" si="94"/>
        <v>78</v>
      </c>
      <c r="D457" s="24">
        <v>43077</v>
      </c>
      <c r="E457" s="11">
        <v>333.6</v>
      </c>
      <c r="F457" s="12">
        <f t="shared" ref="F457:F459" si="114">(E456-E457)/(D457-D456)</f>
        <v>6.5999999999999659</v>
      </c>
      <c r="G457" s="14"/>
      <c r="H457" s="14"/>
      <c r="I457" s="13">
        <v>61</v>
      </c>
      <c r="J457" s="14"/>
      <c r="K457" s="13">
        <v>49.9</v>
      </c>
      <c r="L457" s="14"/>
      <c r="M457" s="14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3.2">
      <c r="A458" s="14"/>
      <c r="B458" s="5">
        <v>11</v>
      </c>
      <c r="C458" s="5">
        <f t="shared" si="94"/>
        <v>81</v>
      </c>
      <c r="D458" s="24">
        <v>43080</v>
      </c>
      <c r="E458" s="11">
        <v>323.3</v>
      </c>
      <c r="F458" s="12">
        <f t="shared" si="114"/>
        <v>3.4333333333333371</v>
      </c>
      <c r="G458" s="14"/>
      <c r="H458" s="14"/>
      <c r="I458" s="13">
        <v>52.6</v>
      </c>
      <c r="J458" s="15">
        <f t="shared" ref="J458:J459" si="115">(I457-I458)/(D457-D456)</f>
        <v>8.3999999999999986</v>
      </c>
      <c r="K458" s="13">
        <v>50.2</v>
      </c>
      <c r="L458" s="14"/>
      <c r="M458" s="14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3.2">
      <c r="A459" s="14"/>
      <c r="B459" s="5">
        <v>11</v>
      </c>
      <c r="C459" s="5">
        <f t="shared" si="94"/>
        <v>83</v>
      </c>
      <c r="D459" s="25">
        <v>43082</v>
      </c>
      <c r="E459" s="11">
        <v>309.60000000000002</v>
      </c>
      <c r="F459" s="12">
        <f t="shared" si="114"/>
        <v>6.8499999999999943</v>
      </c>
      <c r="G459" s="14"/>
      <c r="H459" s="14"/>
      <c r="I459" s="13">
        <v>46.9</v>
      </c>
      <c r="J459" s="15">
        <f t="shared" si="115"/>
        <v>1.900000000000001</v>
      </c>
      <c r="K459" s="13">
        <v>50.5</v>
      </c>
      <c r="L459" s="14"/>
      <c r="M459" s="14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3.2">
      <c r="A460" s="14"/>
      <c r="B460" s="5">
        <v>12</v>
      </c>
      <c r="C460" s="5">
        <f t="shared" si="94"/>
        <v>84</v>
      </c>
      <c r="D460" s="24">
        <v>43083</v>
      </c>
      <c r="E460" s="12"/>
      <c r="F460" s="12"/>
      <c r="G460" s="14"/>
      <c r="H460" s="14"/>
      <c r="I460" s="33"/>
      <c r="J460" s="14"/>
      <c r="K460" s="33"/>
      <c r="L460" s="14"/>
      <c r="M460" s="14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3.2">
      <c r="A461" s="80"/>
      <c r="B461" s="76">
        <v>12</v>
      </c>
      <c r="C461" s="76">
        <f t="shared" si="94"/>
        <v>85</v>
      </c>
      <c r="D461" s="90">
        <v>43084</v>
      </c>
      <c r="E461" s="91"/>
      <c r="F461" s="91"/>
      <c r="G461" s="80"/>
      <c r="H461" s="80"/>
      <c r="I461" s="128"/>
      <c r="J461" s="80"/>
      <c r="K461" s="81">
        <v>49.8</v>
      </c>
      <c r="L461" s="80"/>
      <c r="M461" s="80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3.2">
      <c r="A462" s="14"/>
      <c r="B462" s="5">
        <v>12</v>
      </c>
      <c r="C462" s="5">
        <f t="shared" si="94"/>
        <v>98</v>
      </c>
      <c r="D462" s="32">
        <v>43097</v>
      </c>
      <c r="E462" s="12"/>
      <c r="F462" s="12"/>
      <c r="G462" s="14"/>
      <c r="H462" s="14"/>
      <c r="I462" s="129">
        <v>64.8</v>
      </c>
      <c r="J462" s="49"/>
      <c r="K462" s="129">
        <v>51.2</v>
      </c>
      <c r="L462" s="14"/>
      <c r="M462" s="14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3.2">
      <c r="A463" s="14"/>
      <c r="B463" s="5">
        <v>12</v>
      </c>
      <c r="C463" s="5">
        <f t="shared" si="94"/>
        <v>105</v>
      </c>
      <c r="D463" s="32">
        <v>43104</v>
      </c>
      <c r="E463" s="12"/>
      <c r="F463" s="12"/>
      <c r="G463" s="14"/>
      <c r="H463" s="14"/>
      <c r="I463" s="129">
        <v>40.6</v>
      </c>
      <c r="J463" s="49"/>
      <c r="K463" s="129">
        <v>49.4</v>
      </c>
      <c r="L463" s="14"/>
      <c r="M463" s="14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3.2">
      <c r="A464" s="14"/>
      <c r="B464" s="14"/>
      <c r="C464" s="5">
        <f t="shared" si="94"/>
        <v>112</v>
      </c>
      <c r="D464" s="32">
        <v>43111</v>
      </c>
      <c r="E464" s="12"/>
      <c r="F464" s="12"/>
      <c r="G464" s="14"/>
      <c r="H464" s="14"/>
      <c r="I464" s="129">
        <v>23.5</v>
      </c>
      <c r="J464" s="49"/>
      <c r="K464" s="129">
        <v>52.5</v>
      </c>
      <c r="L464" s="14"/>
      <c r="M464" s="14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3.2">
      <c r="A465" s="14"/>
      <c r="B465" s="14"/>
      <c r="C465" s="5">
        <v>116</v>
      </c>
      <c r="D465" s="32">
        <v>42750</v>
      </c>
      <c r="E465" s="12"/>
      <c r="F465" s="12"/>
      <c r="G465" s="14"/>
      <c r="H465" s="14"/>
      <c r="I465" s="33"/>
      <c r="J465" s="14"/>
      <c r="K465" s="33"/>
      <c r="L465" s="14"/>
      <c r="M465" s="14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3.2">
      <c r="A466" s="14"/>
      <c r="B466" s="14"/>
      <c r="C466" s="5">
        <f t="shared" ref="C466:C467" si="116">D466-$D$7</f>
        <v>117</v>
      </c>
      <c r="D466" s="32">
        <v>43116</v>
      </c>
      <c r="E466" s="12"/>
      <c r="F466" s="12"/>
      <c r="G466" s="14"/>
      <c r="H466" s="14"/>
      <c r="I466" s="33">
        <v>29.7</v>
      </c>
      <c r="J466" s="37"/>
      <c r="K466" s="33">
        <v>52.8</v>
      </c>
      <c r="L466" s="14"/>
      <c r="M466" s="14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3.2">
      <c r="A467" s="14"/>
      <c r="B467" s="14"/>
      <c r="C467" s="5">
        <f t="shared" si="116"/>
        <v>124</v>
      </c>
      <c r="D467" s="35">
        <v>43123</v>
      </c>
      <c r="E467" s="12"/>
      <c r="F467" s="12"/>
      <c r="G467" s="14"/>
      <c r="H467" s="14"/>
      <c r="I467" s="130">
        <v>40.200000000000003</v>
      </c>
      <c r="J467" s="37"/>
      <c r="K467" s="130">
        <v>53.8</v>
      </c>
      <c r="L467" s="14"/>
      <c r="M467" s="14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3.2">
      <c r="A468" s="14"/>
      <c r="B468" s="14"/>
      <c r="C468" s="5">
        <v>131</v>
      </c>
      <c r="D468" s="20">
        <v>43130</v>
      </c>
      <c r="E468" s="12"/>
      <c r="F468" s="12"/>
      <c r="G468" s="14"/>
      <c r="H468" s="14"/>
      <c r="I468" s="33">
        <v>19.100000000000001</v>
      </c>
      <c r="J468" s="37"/>
      <c r="K468" s="33">
        <v>53.2</v>
      </c>
      <c r="L468" s="14"/>
      <c r="M468" s="14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3.2">
      <c r="A469" s="14"/>
      <c r="B469" s="14"/>
      <c r="C469" s="5">
        <v>138</v>
      </c>
      <c r="D469" s="20">
        <v>43137</v>
      </c>
      <c r="E469" s="12"/>
      <c r="F469" s="12"/>
      <c r="G469" s="14"/>
      <c r="H469" s="14"/>
      <c r="I469" s="33">
        <v>57.6</v>
      </c>
      <c r="J469" s="37"/>
      <c r="K469" s="33">
        <v>53.4</v>
      </c>
      <c r="L469" s="14"/>
      <c r="M469" s="14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3.2">
      <c r="A470" s="14"/>
      <c r="B470" s="14"/>
      <c r="C470" s="5">
        <v>145</v>
      </c>
      <c r="D470" s="20">
        <v>43144</v>
      </c>
      <c r="E470" s="12"/>
      <c r="F470" s="12"/>
      <c r="G470" s="14"/>
      <c r="H470" s="14"/>
      <c r="I470" s="13">
        <v>32.799999999999997</v>
      </c>
      <c r="J470" s="14"/>
      <c r="K470" s="13">
        <v>54</v>
      </c>
      <c r="L470" s="14"/>
      <c r="M470" s="14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3.2">
      <c r="A471" s="14"/>
      <c r="B471" s="14"/>
      <c r="C471" s="5">
        <v>152</v>
      </c>
      <c r="D471" s="20">
        <v>43151</v>
      </c>
      <c r="E471" s="12"/>
      <c r="F471" s="12"/>
      <c r="G471" s="14"/>
      <c r="H471" s="14"/>
      <c r="I471" s="13">
        <v>68.5</v>
      </c>
      <c r="J471" s="14"/>
      <c r="K471" s="13">
        <v>54.9</v>
      </c>
      <c r="L471" s="14"/>
      <c r="M471" s="14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3.2">
      <c r="A472" s="14"/>
      <c r="B472" s="14"/>
      <c r="C472" s="5">
        <v>159</v>
      </c>
      <c r="D472" s="20">
        <v>43158</v>
      </c>
      <c r="E472" s="12"/>
      <c r="F472" s="12"/>
      <c r="G472" s="14"/>
      <c r="H472" s="14"/>
      <c r="I472" s="13">
        <v>46.2</v>
      </c>
      <c r="J472" s="14"/>
      <c r="K472" s="13">
        <v>55.4</v>
      </c>
      <c r="L472" s="14"/>
      <c r="M472" s="14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3.2">
      <c r="A473" s="14"/>
      <c r="B473" s="14"/>
      <c r="C473" s="5">
        <v>166</v>
      </c>
      <c r="D473" s="20">
        <v>43165</v>
      </c>
      <c r="E473" s="12"/>
      <c r="F473" s="12"/>
      <c r="G473" s="14"/>
      <c r="H473" s="14"/>
      <c r="I473" s="13">
        <v>23.6</v>
      </c>
      <c r="J473" s="14"/>
      <c r="K473" s="13">
        <v>55.8</v>
      </c>
      <c r="L473" s="14"/>
      <c r="M473" s="14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3.2">
      <c r="A474" s="14"/>
      <c r="B474" s="14"/>
      <c r="C474" s="5">
        <v>173</v>
      </c>
      <c r="D474" s="20">
        <v>43172</v>
      </c>
      <c r="E474" s="12"/>
      <c r="F474" s="12"/>
      <c r="G474" s="14"/>
      <c r="H474" s="14"/>
      <c r="I474" s="13">
        <v>11.9</v>
      </c>
      <c r="J474" s="14"/>
      <c r="K474" s="13">
        <v>57.1</v>
      </c>
      <c r="L474" s="14"/>
      <c r="M474" s="14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3.2">
      <c r="A475" s="14"/>
      <c r="B475" s="14"/>
      <c r="C475" s="14"/>
      <c r="D475" s="14"/>
      <c r="E475" s="12"/>
      <c r="F475" s="12"/>
      <c r="G475" s="14"/>
      <c r="H475" s="14"/>
      <c r="I475" s="15"/>
      <c r="J475" s="14"/>
      <c r="K475" s="15"/>
      <c r="L475" s="14"/>
      <c r="M475" s="14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39.6">
      <c r="A476" s="14"/>
      <c r="B476" s="5" t="s">
        <v>60</v>
      </c>
      <c r="C476" s="97">
        <f t="shared" ref="C476:C503" si="117">1+C475</f>
        <v>1</v>
      </c>
      <c r="D476" s="98">
        <v>43192</v>
      </c>
      <c r="E476" s="12"/>
      <c r="F476" s="12"/>
      <c r="G476" s="14"/>
      <c r="H476" s="14"/>
      <c r="I476" s="15"/>
      <c r="J476" s="14"/>
      <c r="K476" s="105">
        <v>43.8</v>
      </c>
      <c r="L476" s="14"/>
      <c r="M476" s="14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3.2">
      <c r="A477" s="14"/>
      <c r="B477" s="14"/>
      <c r="C477" s="97">
        <f t="shared" si="117"/>
        <v>2</v>
      </c>
      <c r="D477" s="98">
        <v>43193</v>
      </c>
      <c r="E477" s="12"/>
      <c r="F477" s="12"/>
      <c r="G477" s="14"/>
      <c r="H477" s="14"/>
      <c r="I477" s="15"/>
      <c r="J477" s="14"/>
      <c r="K477" s="105">
        <v>41.8</v>
      </c>
      <c r="L477" s="14"/>
      <c r="M477" s="14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3.2">
      <c r="A478" s="14"/>
      <c r="B478" s="14"/>
      <c r="C478" s="97">
        <f t="shared" si="117"/>
        <v>3</v>
      </c>
      <c r="D478" s="98">
        <v>43194</v>
      </c>
      <c r="E478" s="12"/>
      <c r="F478" s="12"/>
      <c r="G478" s="14"/>
      <c r="H478" s="14"/>
      <c r="I478" s="15"/>
      <c r="J478" s="14"/>
      <c r="K478" s="105">
        <v>40.799999999999997</v>
      </c>
      <c r="L478" s="14"/>
      <c r="M478" s="14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3.2">
      <c r="A479" s="14"/>
      <c r="B479" s="14"/>
      <c r="C479" s="97">
        <f t="shared" si="117"/>
        <v>4</v>
      </c>
      <c r="D479" s="98">
        <v>43195</v>
      </c>
      <c r="E479" s="12"/>
      <c r="F479" s="12"/>
      <c r="G479" s="14"/>
      <c r="H479" s="14"/>
      <c r="I479" s="15"/>
      <c r="J479" s="14"/>
      <c r="K479" s="105">
        <v>40</v>
      </c>
      <c r="L479" s="14"/>
      <c r="M479" s="14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3.2">
      <c r="A480" s="14"/>
      <c r="B480" s="14"/>
      <c r="C480" s="97">
        <f t="shared" si="117"/>
        <v>5</v>
      </c>
      <c r="D480" s="98">
        <v>43196</v>
      </c>
      <c r="E480" s="12"/>
      <c r="F480" s="12"/>
      <c r="G480" s="14"/>
      <c r="H480" s="14"/>
      <c r="I480" s="15"/>
      <c r="J480" s="14"/>
      <c r="K480" s="105">
        <v>38.9</v>
      </c>
      <c r="L480" s="14"/>
      <c r="M480" s="14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3.2">
      <c r="A481" s="14"/>
      <c r="B481" s="14"/>
      <c r="C481" s="97">
        <f t="shared" si="117"/>
        <v>6</v>
      </c>
      <c r="D481" s="98">
        <v>43197</v>
      </c>
      <c r="E481" s="12"/>
      <c r="F481" s="12"/>
      <c r="G481" s="14"/>
      <c r="H481" s="14"/>
      <c r="I481" s="15"/>
      <c r="J481" s="14"/>
      <c r="K481" s="105">
        <v>38.1</v>
      </c>
      <c r="L481" s="14"/>
      <c r="M481" s="14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3.2">
      <c r="A482" s="14"/>
      <c r="B482" s="14"/>
      <c r="C482" s="97">
        <f t="shared" si="117"/>
        <v>7</v>
      </c>
      <c r="D482" s="98">
        <v>43198</v>
      </c>
      <c r="E482" s="12"/>
      <c r="F482" s="12"/>
      <c r="G482" s="14"/>
      <c r="H482" s="14"/>
      <c r="I482" s="15"/>
      <c r="J482" s="14"/>
      <c r="K482" s="105">
        <v>37.299999999999997</v>
      </c>
      <c r="L482" s="14"/>
      <c r="M482" s="14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3.2">
      <c r="A483" s="14"/>
      <c r="B483" s="14"/>
      <c r="C483" s="97">
        <f t="shared" si="117"/>
        <v>8</v>
      </c>
      <c r="D483" s="98">
        <v>43199</v>
      </c>
      <c r="E483" s="12"/>
      <c r="F483" s="12"/>
      <c r="G483" s="14"/>
      <c r="H483" s="14"/>
      <c r="I483" s="15"/>
      <c r="J483" s="14"/>
      <c r="K483" s="105">
        <v>36.1</v>
      </c>
      <c r="L483" s="14"/>
      <c r="M483" s="14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3.2">
      <c r="A484" s="14"/>
      <c r="B484" s="14"/>
      <c r="C484" s="97">
        <f t="shared" si="117"/>
        <v>9</v>
      </c>
      <c r="D484" s="98">
        <v>43200</v>
      </c>
      <c r="E484" s="12"/>
      <c r="F484" s="12"/>
      <c r="G484" s="14"/>
      <c r="H484" s="14"/>
      <c r="I484" s="15"/>
      <c r="J484" s="14"/>
      <c r="K484" s="105">
        <v>35.4</v>
      </c>
      <c r="L484" s="14"/>
      <c r="M484" s="14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3.2">
      <c r="A485" s="14"/>
      <c r="B485" s="14"/>
      <c r="C485" s="97">
        <f t="shared" si="117"/>
        <v>10</v>
      </c>
      <c r="D485" s="98">
        <v>43201</v>
      </c>
      <c r="E485" s="12"/>
      <c r="F485" s="12"/>
      <c r="G485" s="14"/>
      <c r="H485" s="14"/>
      <c r="I485" s="15"/>
      <c r="J485" s="14"/>
      <c r="K485" s="105">
        <v>34.299999999999997</v>
      </c>
      <c r="L485" s="14"/>
      <c r="M485" s="14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3.2">
      <c r="A486" s="14"/>
      <c r="B486" s="14"/>
      <c r="C486" s="97">
        <f t="shared" si="117"/>
        <v>11</v>
      </c>
      <c r="D486" s="98">
        <v>43202</v>
      </c>
      <c r="E486" s="12"/>
      <c r="F486" s="12"/>
      <c r="G486" s="14"/>
      <c r="H486" s="14"/>
      <c r="I486" s="15"/>
      <c r="J486" s="14"/>
      <c r="K486" s="105">
        <v>33.4</v>
      </c>
      <c r="L486" s="14"/>
      <c r="M486" s="14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3.2">
      <c r="A487" s="14"/>
      <c r="B487" s="14"/>
      <c r="C487" s="97">
        <f t="shared" si="117"/>
        <v>12</v>
      </c>
      <c r="D487" s="98">
        <v>43203</v>
      </c>
      <c r="E487" s="12"/>
      <c r="F487" s="12"/>
      <c r="G487" s="14"/>
      <c r="H487" s="14"/>
      <c r="I487" s="15"/>
      <c r="J487" s="14"/>
      <c r="K487" s="105">
        <v>32.6</v>
      </c>
      <c r="L487" s="14"/>
      <c r="M487" s="14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3.2">
      <c r="A488" s="14"/>
      <c r="B488" s="14"/>
      <c r="C488" s="97">
        <f t="shared" si="117"/>
        <v>13</v>
      </c>
      <c r="D488" s="98">
        <v>43204</v>
      </c>
      <c r="E488" s="12"/>
      <c r="F488" s="12"/>
      <c r="G488" s="14"/>
      <c r="H488" s="14"/>
      <c r="I488" s="15"/>
      <c r="J488" s="14"/>
      <c r="K488" s="105">
        <v>31.8</v>
      </c>
      <c r="L488" s="14"/>
      <c r="M488" s="14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3.2">
      <c r="A489" s="14"/>
      <c r="B489" s="14"/>
      <c r="C489" s="97">
        <f t="shared" si="117"/>
        <v>14</v>
      </c>
      <c r="D489" s="98">
        <v>43205</v>
      </c>
      <c r="E489" s="12"/>
      <c r="F489" s="12"/>
      <c r="G489" s="14"/>
      <c r="H489" s="14"/>
      <c r="I489" s="15"/>
      <c r="J489" s="14"/>
      <c r="K489" s="105">
        <v>31</v>
      </c>
      <c r="L489" s="14"/>
      <c r="M489" s="14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3.2">
      <c r="A490" s="14"/>
      <c r="B490" s="14"/>
      <c r="C490" s="97">
        <f t="shared" si="117"/>
        <v>15</v>
      </c>
      <c r="D490" s="98">
        <v>43206</v>
      </c>
      <c r="E490" s="12"/>
      <c r="F490" s="12"/>
      <c r="G490" s="14"/>
      <c r="H490" s="14"/>
      <c r="I490" s="15"/>
      <c r="J490" s="14"/>
      <c r="K490" s="105">
        <v>30.3</v>
      </c>
      <c r="L490" s="14"/>
      <c r="M490" s="14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3.2">
      <c r="A491" s="14"/>
      <c r="B491" s="14"/>
      <c r="C491" s="97">
        <f t="shared" si="117"/>
        <v>16</v>
      </c>
      <c r="D491" s="98">
        <v>43207</v>
      </c>
      <c r="E491" s="12"/>
      <c r="F491" s="12"/>
      <c r="G491" s="14"/>
      <c r="H491" s="14"/>
      <c r="I491" s="15"/>
      <c r="J491" s="14"/>
      <c r="K491" s="105">
        <v>29.4</v>
      </c>
      <c r="L491" s="14"/>
      <c r="M491" s="14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3.2">
      <c r="A492" s="14"/>
      <c r="B492" s="14"/>
      <c r="C492" s="97">
        <f t="shared" si="117"/>
        <v>17</v>
      </c>
      <c r="D492" s="98">
        <v>43208</v>
      </c>
      <c r="E492" s="12"/>
      <c r="F492" s="12"/>
      <c r="G492" s="14"/>
      <c r="H492" s="14"/>
      <c r="I492" s="15"/>
      <c r="J492" s="14"/>
      <c r="K492" s="105">
        <v>29.2</v>
      </c>
      <c r="L492" s="14"/>
      <c r="M492" s="14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3.2">
      <c r="A493" s="14"/>
      <c r="B493" s="14"/>
      <c r="C493" s="97">
        <f t="shared" si="117"/>
        <v>18</v>
      </c>
      <c r="D493" s="98">
        <v>43209</v>
      </c>
      <c r="E493" s="12"/>
      <c r="F493" s="12"/>
      <c r="G493" s="14"/>
      <c r="H493" s="14"/>
      <c r="I493" s="15"/>
      <c r="J493" s="14"/>
      <c r="K493" s="105">
        <v>28.3</v>
      </c>
      <c r="L493" s="14"/>
      <c r="M493" s="14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3.2">
      <c r="A494" s="14"/>
      <c r="B494" s="14"/>
      <c r="C494" s="97">
        <f t="shared" si="117"/>
        <v>19</v>
      </c>
      <c r="D494" s="98">
        <v>43210</v>
      </c>
      <c r="E494" s="12"/>
      <c r="F494" s="12"/>
      <c r="G494" s="14"/>
      <c r="H494" s="14"/>
      <c r="I494" s="15"/>
      <c r="J494" s="14"/>
      <c r="K494" s="105">
        <v>27.7</v>
      </c>
      <c r="L494" s="14"/>
      <c r="M494" s="14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3.2">
      <c r="A495" s="14"/>
      <c r="B495" s="14"/>
      <c r="C495" s="97">
        <f t="shared" si="117"/>
        <v>20</v>
      </c>
      <c r="D495" s="98">
        <v>43211</v>
      </c>
      <c r="E495" s="12"/>
      <c r="F495" s="12"/>
      <c r="G495" s="14"/>
      <c r="H495" s="14"/>
      <c r="I495" s="15"/>
      <c r="J495" s="14"/>
      <c r="K495" s="105">
        <v>27</v>
      </c>
      <c r="L495" s="14"/>
      <c r="M495" s="14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3.2">
      <c r="A496" s="14"/>
      <c r="B496" s="14"/>
      <c r="C496" s="97">
        <f t="shared" si="117"/>
        <v>21</v>
      </c>
      <c r="D496" s="98">
        <v>43212</v>
      </c>
      <c r="E496" s="12"/>
      <c r="F496" s="12"/>
      <c r="G496" s="14"/>
      <c r="H496" s="14"/>
      <c r="I496" s="15"/>
      <c r="J496" s="14"/>
      <c r="K496" s="105">
        <v>26.4</v>
      </c>
      <c r="L496" s="14"/>
      <c r="M496" s="14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3.2">
      <c r="A497" s="14"/>
      <c r="B497" s="14"/>
      <c r="C497" s="97">
        <f t="shared" si="117"/>
        <v>22</v>
      </c>
      <c r="D497" s="98">
        <v>43213</v>
      </c>
      <c r="E497" s="12"/>
      <c r="F497" s="12"/>
      <c r="G497" s="14"/>
      <c r="H497" s="14"/>
      <c r="I497" s="15"/>
      <c r="J497" s="14"/>
      <c r="K497" s="105">
        <v>26</v>
      </c>
      <c r="L497" s="14"/>
      <c r="M497" s="14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3.2">
      <c r="A498" s="14"/>
      <c r="B498" s="14"/>
      <c r="C498" s="97">
        <f t="shared" si="117"/>
        <v>23</v>
      </c>
      <c r="D498" s="98">
        <v>43214</v>
      </c>
      <c r="E498" s="12"/>
      <c r="F498" s="12"/>
      <c r="G498" s="14"/>
      <c r="H498" s="14"/>
      <c r="I498" s="15"/>
      <c r="J498" s="14"/>
      <c r="K498" s="105">
        <v>25.4</v>
      </c>
      <c r="L498" s="14"/>
      <c r="M498" s="14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3.2">
      <c r="A499" s="14"/>
      <c r="B499" s="14"/>
      <c r="C499" s="97">
        <f t="shared" si="117"/>
        <v>24</v>
      </c>
      <c r="D499" s="98">
        <v>43215</v>
      </c>
      <c r="E499" s="12"/>
      <c r="F499" s="12"/>
      <c r="G499" s="14"/>
      <c r="H499" s="14"/>
      <c r="I499" s="15"/>
      <c r="J499" s="14"/>
      <c r="K499" s="105">
        <v>25</v>
      </c>
      <c r="L499" s="14"/>
      <c r="M499" s="14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3.2">
      <c r="A500" s="14"/>
      <c r="B500" s="14"/>
      <c r="C500" s="97">
        <f t="shared" si="117"/>
        <v>25</v>
      </c>
      <c r="D500" s="98">
        <v>43216</v>
      </c>
      <c r="E500" s="12"/>
      <c r="F500" s="12"/>
      <c r="G500" s="14"/>
      <c r="H500" s="14"/>
      <c r="I500" s="15"/>
      <c r="J500" s="14"/>
      <c r="K500" s="105" t="s">
        <v>75</v>
      </c>
      <c r="L500" s="14"/>
      <c r="M500" s="14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3.2">
      <c r="A501" s="14"/>
      <c r="B501" s="14"/>
      <c r="C501" s="97">
        <f t="shared" si="117"/>
        <v>26</v>
      </c>
      <c r="D501" s="98">
        <v>43217</v>
      </c>
      <c r="E501" s="12"/>
      <c r="F501" s="12"/>
      <c r="G501" s="14"/>
      <c r="H501" s="14"/>
      <c r="I501" s="15"/>
      <c r="J501" s="14"/>
      <c r="K501" s="105">
        <v>23.5</v>
      </c>
      <c r="L501" s="14"/>
      <c r="M501" s="14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3.2">
      <c r="A502" s="14"/>
      <c r="B502" s="14"/>
      <c r="C502" s="97">
        <f t="shared" si="117"/>
        <v>27</v>
      </c>
      <c r="D502" s="98">
        <v>43218</v>
      </c>
      <c r="E502" s="12"/>
      <c r="F502" s="12"/>
      <c r="G502" s="14"/>
      <c r="H502" s="14"/>
      <c r="I502" s="15"/>
      <c r="J502" s="14"/>
      <c r="K502" s="105" t="s">
        <v>85</v>
      </c>
      <c r="L502" s="14"/>
      <c r="M502" s="14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3.2">
      <c r="A503" s="14"/>
      <c r="B503" s="14"/>
      <c r="C503" s="97">
        <f t="shared" si="117"/>
        <v>28</v>
      </c>
      <c r="D503" s="98">
        <v>43219</v>
      </c>
      <c r="E503" s="12"/>
      <c r="F503" s="12"/>
      <c r="G503" s="14"/>
      <c r="H503" s="14"/>
      <c r="I503" s="15"/>
      <c r="J503" s="14"/>
      <c r="K503" s="105" t="s">
        <v>63</v>
      </c>
      <c r="L503" s="14"/>
      <c r="M503" s="14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3.2">
      <c r="A504" s="14"/>
      <c r="B504" s="14"/>
      <c r="C504" s="14"/>
      <c r="D504" s="14"/>
      <c r="E504" s="12"/>
      <c r="F504" s="12"/>
      <c r="G504" s="14"/>
      <c r="H504" s="14"/>
      <c r="I504" s="15"/>
      <c r="J504" s="14"/>
      <c r="K504" s="15"/>
      <c r="L504" s="14"/>
      <c r="M504" s="14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3.2">
      <c r="A505" s="14"/>
      <c r="B505" s="14"/>
      <c r="C505" s="14"/>
      <c r="D505" s="14"/>
      <c r="E505" s="12"/>
      <c r="F505" s="12"/>
      <c r="G505" s="14"/>
      <c r="H505" s="14"/>
      <c r="I505" s="15"/>
      <c r="J505" s="14"/>
      <c r="K505" s="15"/>
      <c r="L505" s="14"/>
      <c r="M505" s="14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3.2">
      <c r="A506" s="14"/>
      <c r="B506" s="14"/>
      <c r="C506" s="14"/>
      <c r="D506" s="14"/>
      <c r="E506" s="12"/>
      <c r="F506" s="12"/>
      <c r="G506" s="14"/>
      <c r="H506" s="14"/>
      <c r="I506" s="15"/>
      <c r="J506" s="14"/>
      <c r="K506" s="15"/>
      <c r="L506" s="14"/>
      <c r="M506" s="14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3.2">
      <c r="A507" s="14"/>
      <c r="B507" s="14"/>
      <c r="C507" s="14"/>
      <c r="D507" s="14"/>
      <c r="E507" s="12"/>
      <c r="F507" s="12"/>
      <c r="G507" s="14"/>
      <c r="H507" s="14"/>
      <c r="I507" s="15"/>
      <c r="J507" s="14"/>
      <c r="K507" s="15"/>
      <c r="L507" s="14"/>
      <c r="M507" s="14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3.2">
      <c r="A508" s="14"/>
      <c r="B508" s="14"/>
      <c r="C508" s="14"/>
      <c r="D508" s="14"/>
      <c r="E508" s="12"/>
      <c r="F508" s="12"/>
      <c r="G508" s="14"/>
      <c r="H508" s="14"/>
      <c r="I508" s="15"/>
      <c r="J508" s="14"/>
      <c r="K508" s="15"/>
      <c r="L508" s="14"/>
      <c r="M508" s="14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3.2">
      <c r="A509" s="14"/>
      <c r="B509" s="14"/>
      <c r="C509" s="14"/>
      <c r="D509" s="14"/>
      <c r="E509" s="12"/>
      <c r="F509" s="12"/>
      <c r="G509" s="14"/>
      <c r="H509" s="14"/>
      <c r="I509" s="15"/>
      <c r="J509" s="14"/>
      <c r="K509" s="15"/>
      <c r="L509" s="14"/>
      <c r="M509" s="14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3.2">
      <c r="A510" s="14"/>
      <c r="B510" s="14"/>
      <c r="C510" s="14"/>
      <c r="D510" s="14"/>
      <c r="E510" s="12"/>
      <c r="F510" s="12"/>
      <c r="G510" s="14"/>
      <c r="H510" s="14"/>
      <c r="I510" s="15"/>
      <c r="J510" s="14"/>
      <c r="K510" s="15"/>
      <c r="L510" s="14"/>
      <c r="M510" s="14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3.2">
      <c r="A511" s="14"/>
      <c r="B511" s="14"/>
      <c r="C511" s="14"/>
      <c r="D511" s="14"/>
      <c r="E511" s="12"/>
      <c r="F511" s="12"/>
      <c r="G511" s="14"/>
      <c r="H511" s="14"/>
      <c r="I511" s="15"/>
      <c r="J511" s="14"/>
      <c r="K511" s="15"/>
      <c r="L511" s="14"/>
      <c r="M511" s="14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3.2">
      <c r="A512" s="14"/>
      <c r="B512" s="14"/>
      <c r="C512" s="14"/>
      <c r="D512" s="14"/>
      <c r="E512" s="12"/>
      <c r="F512" s="12"/>
      <c r="G512" s="14"/>
      <c r="H512" s="14"/>
      <c r="I512" s="15"/>
      <c r="J512" s="14"/>
      <c r="K512" s="15"/>
      <c r="L512" s="14"/>
      <c r="M512" s="14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3.2">
      <c r="A513" s="72" t="s">
        <v>86</v>
      </c>
      <c r="B513" s="5">
        <v>0</v>
      </c>
      <c r="C513" s="5">
        <v>0</v>
      </c>
      <c r="D513" s="9">
        <v>42992</v>
      </c>
      <c r="E513" s="10">
        <v>356.9</v>
      </c>
      <c r="F513" s="11" t="s">
        <v>21</v>
      </c>
      <c r="G513" s="12">
        <f>AVERAGE(F514,F515,F516,F521)</f>
        <v>5.5583333333333345</v>
      </c>
      <c r="H513" s="14"/>
      <c r="I513" s="13">
        <v>67.900000000000006</v>
      </c>
      <c r="J513" s="14"/>
      <c r="K513" s="13">
        <v>18.3</v>
      </c>
      <c r="L513" s="14"/>
      <c r="M513" s="14"/>
      <c r="N513" s="7"/>
      <c r="O513" s="7"/>
      <c r="P513" s="7">
        <f>SUM(O513:O525)-104.4</f>
        <v>325.50000000000011</v>
      </c>
      <c r="Q513" s="7"/>
      <c r="R513" s="7"/>
      <c r="S513" s="73">
        <f>I513-I517</f>
        <v>30.900000000000006</v>
      </c>
      <c r="T513" s="7"/>
      <c r="U513" s="7">
        <f>SUM(T513:T514)</f>
        <v>1510.1679999999999</v>
      </c>
      <c r="V513" s="7"/>
      <c r="W513" s="7"/>
      <c r="X513" s="7"/>
      <c r="Y513" s="7"/>
      <c r="Z513" s="7"/>
      <c r="AA513" s="7"/>
      <c r="AB513" s="7"/>
    </row>
    <row r="514" spans="1:28" ht="13.2">
      <c r="A514" s="5" t="s">
        <v>30</v>
      </c>
      <c r="B514" s="5">
        <v>0</v>
      </c>
      <c r="C514" s="5">
        <v>0</v>
      </c>
      <c r="D514" s="9">
        <v>42993</v>
      </c>
      <c r="E514" s="10">
        <v>350.4</v>
      </c>
      <c r="F514" s="12">
        <f>E513-E514</f>
        <v>6.5</v>
      </c>
      <c r="G514" s="14"/>
      <c r="H514" s="14"/>
      <c r="I514" s="13">
        <v>63.3</v>
      </c>
      <c r="J514" s="16">
        <f t="shared" ref="J514:J517" si="118">(I513-I514)/(D514-D513)</f>
        <v>4.6000000000000085</v>
      </c>
      <c r="K514" s="13">
        <v>19</v>
      </c>
      <c r="L514" s="14"/>
      <c r="M514" s="14"/>
      <c r="N514" s="7"/>
      <c r="O514" s="75">
        <f>E518-E521</f>
        <v>30.100000000000023</v>
      </c>
      <c r="P514" s="7"/>
      <c r="Q514" s="7"/>
      <c r="R514" s="7"/>
      <c r="S514" s="73">
        <f>I518-I525</f>
        <v>55.4</v>
      </c>
      <c r="T514" s="7">
        <f>SUM(S514:S517)*5.24</f>
        <v>1510.1679999999999</v>
      </c>
      <c r="U514" s="7"/>
      <c r="V514" s="7"/>
      <c r="W514" s="7"/>
      <c r="X514" s="7"/>
      <c r="Y514" s="7"/>
      <c r="Z514" s="7"/>
      <c r="AA514" s="7"/>
      <c r="AB514" s="7"/>
    </row>
    <row r="515" spans="1:28" ht="13.2">
      <c r="A515" s="5" t="s">
        <v>87</v>
      </c>
      <c r="B515" s="5">
        <v>0</v>
      </c>
      <c r="C515" s="5">
        <v>0</v>
      </c>
      <c r="D515" s="9">
        <v>42996</v>
      </c>
      <c r="E515" s="10">
        <v>330.8</v>
      </c>
      <c r="F515" s="12">
        <f t="shared" ref="F515:F517" si="119">(E514-E515)/(D515-D514)</f>
        <v>6.5333333333333217</v>
      </c>
      <c r="G515" s="14"/>
      <c r="H515" s="14"/>
      <c r="I515" s="13">
        <v>50.7</v>
      </c>
      <c r="J515" s="16">
        <f t="shared" si="118"/>
        <v>4.1999999999999984</v>
      </c>
      <c r="K515" s="13">
        <v>19.100000000000001</v>
      </c>
      <c r="L515" s="14"/>
      <c r="M515" s="14"/>
      <c r="N515" s="7"/>
      <c r="O515" s="75">
        <f>E522-E525</f>
        <v>43.699999999999989</v>
      </c>
      <c r="P515" s="7"/>
      <c r="Q515" s="7"/>
      <c r="R515" s="7"/>
      <c r="S515" s="73">
        <f>93.5-I529</f>
        <v>68.7</v>
      </c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3.2">
      <c r="A516" s="14"/>
      <c r="B516" s="5">
        <v>0</v>
      </c>
      <c r="C516" s="5">
        <v>0</v>
      </c>
      <c r="D516" s="9">
        <v>42998</v>
      </c>
      <c r="E516" s="10">
        <v>319.60000000000002</v>
      </c>
      <c r="F516" s="12">
        <f t="shared" si="119"/>
        <v>5.5999999999999943</v>
      </c>
      <c r="G516" s="14"/>
      <c r="H516" s="14"/>
      <c r="I516" s="13">
        <v>41.7</v>
      </c>
      <c r="J516" s="16">
        <f t="shared" si="118"/>
        <v>4.5</v>
      </c>
      <c r="K516" s="13">
        <v>19.7</v>
      </c>
      <c r="L516" s="14"/>
      <c r="M516" s="14"/>
      <c r="N516" s="7"/>
      <c r="O516" s="75">
        <f>E526-E529</f>
        <v>28.300000000000011</v>
      </c>
      <c r="P516" s="7"/>
      <c r="Q516" s="7"/>
      <c r="R516" s="7"/>
      <c r="S516" s="73">
        <f>I530-I532</f>
        <v>75.8</v>
      </c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3.2">
      <c r="A517" s="14"/>
      <c r="B517" s="5">
        <v>0</v>
      </c>
      <c r="C517" s="5">
        <v>0</v>
      </c>
      <c r="D517" s="17">
        <v>42999</v>
      </c>
      <c r="E517" s="10">
        <v>311.10000000000002</v>
      </c>
      <c r="F517" s="12">
        <f t="shared" si="119"/>
        <v>8.5</v>
      </c>
      <c r="G517" s="14"/>
      <c r="H517" s="14"/>
      <c r="I517" s="13">
        <v>37</v>
      </c>
      <c r="J517" s="16">
        <f t="shared" si="118"/>
        <v>4.7000000000000028</v>
      </c>
      <c r="K517" s="13">
        <v>19.8</v>
      </c>
      <c r="L517" s="14"/>
      <c r="M517" s="14"/>
      <c r="N517" s="7"/>
      <c r="O517" s="75">
        <f>E530-E533</f>
        <v>39.600000000000023</v>
      </c>
      <c r="P517" s="7"/>
      <c r="Q517" s="7"/>
      <c r="R517" s="7"/>
      <c r="S517" s="73">
        <f>100.1-I536</f>
        <v>88.3</v>
      </c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3.2">
      <c r="A518" s="14"/>
      <c r="B518" s="5">
        <v>0.5</v>
      </c>
      <c r="C518" s="5">
        <v>0</v>
      </c>
      <c r="D518" s="17">
        <v>42999</v>
      </c>
      <c r="E518" s="10">
        <v>391.5</v>
      </c>
      <c r="F518" s="12"/>
      <c r="G518" s="14"/>
      <c r="H518" s="14"/>
      <c r="I518" s="13">
        <v>74.8</v>
      </c>
      <c r="J518" s="14"/>
      <c r="K518" s="13"/>
      <c r="L518" s="14"/>
      <c r="M518" s="14"/>
      <c r="N518" s="7"/>
      <c r="O518" s="75">
        <f>E534-E537</f>
        <v>41</v>
      </c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3.2">
      <c r="A519" s="14"/>
      <c r="B519" s="5">
        <v>0.5</v>
      </c>
      <c r="C519" s="5">
        <f t="shared" ref="C519:C574" si="120">D519-$D$7</f>
        <v>1</v>
      </c>
      <c r="D519" s="17">
        <v>43000</v>
      </c>
      <c r="E519" s="10">
        <v>384</v>
      </c>
      <c r="F519" s="12">
        <f t="shared" ref="F519:F521" si="121">(E518-E519)/(D519-D518)</f>
        <v>7.5</v>
      </c>
      <c r="G519" s="14"/>
      <c r="H519" s="14"/>
      <c r="I519" s="13">
        <v>69.599999999999994</v>
      </c>
      <c r="J519" s="16">
        <f t="shared" ref="J519:J521" si="122">(I518-I519)/(D519-D518)</f>
        <v>5.2000000000000028</v>
      </c>
      <c r="K519" s="13">
        <v>20</v>
      </c>
      <c r="L519" s="14"/>
      <c r="M519" s="14"/>
      <c r="N519" s="7"/>
      <c r="O519" s="75">
        <f>E538-E541</f>
        <v>41.100000000000023</v>
      </c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3.2">
      <c r="A520" s="14"/>
      <c r="B520" s="5">
        <v>0.5</v>
      </c>
      <c r="C520" s="5">
        <f t="shared" si="120"/>
        <v>4</v>
      </c>
      <c r="D520" s="9">
        <v>43003</v>
      </c>
      <c r="E520" s="10">
        <v>368.6</v>
      </c>
      <c r="F520" s="12">
        <f t="shared" si="121"/>
        <v>5.1333333333333258</v>
      </c>
      <c r="G520" s="14"/>
      <c r="H520" s="14"/>
      <c r="I520" s="13">
        <v>41</v>
      </c>
      <c r="J520" s="16">
        <f t="shared" si="122"/>
        <v>9.5333333333333314</v>
      </c>
      <c r="K520" s="13">
        <v>21.1</v>
      </c>
      <c r="L520" s="14"/>
      <c r="M520" s="14"/>
      <c r="N520" s="7"/>
      <c r="O520" s="75">
        <f>E542-E545</f>
        <v>34.900000000000034</v>
      </c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3.2">
      <c r="A521" s="14"/>
      <c r="B521" s="5">
        <v>0.5</v>
      </c>
      <c r="C521" s="5">
        <f t="shared" si="120"/>
        <v>6</v>
      </c>
      <c r="D521" s="9">
        <v>43005</v>
      </c>
      <c r="E521" s="10">
        <v>361.4</v>
      </c>
      <c r="F521" s="12">
        <f t="shared" si="121"/>
        <v>3.6000000000000227</v>
      </c>
      <c r="G521" s="14"/>
      <c r="H521" s="14"/>
      <c r="I521" s="13">
        <v>37.1</v>
      </c>
      <c r="J521" s="16">
        <f t="shared" si="122"/>
        <v>1.9499999999999993</v>
      </c>
      <c r="K521" s="18">
        <v>21</v>
      </c>
      <c r="L521" s="14"/>
      <c r="M521" s="14"/>
      <c r="N521" s="7"/>
      <c r="O521" s="75">
        <f>E546-E549</f>
        <v>43.600000000000023</v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3.2">
      <c r="A522" s="14"/>
      <c r="B522" s="76">
        <v>1</v>
      </c>
      <c r="C522" s="5">
        <f t="shared" si="120"/>
        <v>6</v>
      </c>
      <c r="D522" s="9">
        <v>43005</v>
      </c>
      <c r="E522" s="10">
        <v>324.2</v>
      </c>
      <c r="F522" s="11"/>
      <c r="H522" s="14"/>
      <c r="I522" s="13" t="s">
        <v>57</v>
      </c>
      <c r="J522" s="14"/>
      <c r="K522" s="13"/>
      <c r="L522" s="14"/>
      <c r="M522" s="14"/>
      <c r="N522" s="7"/>
      <c r="O522" s="75">
        <f>E550-E552</f>
        <v>22.900000000000034</v>
      </c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3.2">
      <c r="A523" s="14"/>
      <c r="B523" s="5">
        <v>1</v>
      </c>
      <c r="C523" s="5">
        <f t="shared" si="120"/>
        <v>8</v>
      </c>
      <c r="D523" s="9">
        <v>43007</v>
      </c>
      <c r="E523" s="10">
        <v>311.3</v>
      </c>
      <c r="F523" s="12">
        <f t="shared" ref="F523:F525" si="123">(E522-E523)/(D523-D522)</f>
        <v>6.4499999999999886</v>
      </c>
      <c r="G523" s="14"/>
      <c r="H523" s="14"/>
      <c r="I523" s="13">
        <v>32.5</v>
      </c>
      <c r="J523" s="14">
        <f>(I521-I523)/(D523-D521)</f>
        <v>2.3000000000000007</v>
      </c>
      <c r="K523" s="13">
        <v>21.8</v>
      </c>
      <c r="L523" s="14"/>
      <c r="M523" s="14"/>
      <c r="N523" s="7"/>
      <c r="O523" s="75">
        <f>E553-E558</f>
        <v>42.5</v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3.2">
      <c r="A524" s="14"/>
      <c r="B524" s="5">
        <v>1</v>
      </c>
      <c r="C524" s="5">
        <f t="shared" si="120"/>
        <v>11</v>
      </c>
      <c r="D524" s="19">
        <v>43010</v>
      </c>
      <c r="E524" s="11">
        <v>297.3</v>
      </c>
      <c r="F524" s="12">
        <f t="shared" si="123"/>
        <v>4.666666666666667</v>
      </c>
      <c r="G524" s="14"/>
      <c r="H524" s="14"/>
      <c r="I524" s="13">
        <v>23.9</v>
      </c>
      <c r="J524" s="16">
        <f t="shared" ref="J524:J525" si="124">(I523-I524)/(D524-D523)</f>
        <v>2.8666666666666671</v>
      </c>
      <c r="K524" s="13">
        <v>22.6</v>
      </c>
      <c r="L524" s="14"/>
      <c r="M524" s="14"/>
      <c r="N524" s="7"/>
      <c r="O524" s="75">
        <f>E559-E562</f>
        <v>31.199999999999989</v>
      </c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3.2">
      <c r="A525" s="14"/>
      <c r="B525" s="5">
        <v>1</v>
      </c>
      <c r="C525" s="5">
        <f t="shared" si="120"/>
        <v>13</v>
      </c>
      <c r="D525" s="19">
        <v>43012</v>
      </c>
      <c r="E525" s="11">
        <v>280.5</v>
      </c>
      <c r="F525" s="12">
        <f t="shared" si="123"/>
        <v>8.4000000000000057</v>
      </c>
      <c r="G525" s="14"/>
      <c r="H525" s="14"/>
      <c r="I525" s="13">
        <v>19.399999999999999</v>
      </c>
      <c r="J525" s="16">
        <f t="shared" si="124"/>
        <v>2.25</v>
      </c>
      <c r="K525" s="13">
        <v>23.3</v>
      </c>
      <c r="L525" s="14"/>
      <c r="M525" s="14"/>
      <c r="N525" s="7"/>
      <c r="O525" s="75">
        <f>E563-E566</f>
        <v>31</v>
      </c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3.2">
      <c r="A526" s="14"/>
      <c r="B526" s="5">
        <v>2</v>
      </c>
      <c r="C526" s="5">
        <f t="shared" si="120"/>
        <v>14</v>
      </c>
      <c r="D526" s="20">
        <v>43013</v>
      </c>
      <c r="E526" s="11">
        <v>344.7</v>
      </c>
      <c r="F526" s="11"/>
      <c r="G526" s="14"/>
      <c r="H526" s="14"/>
      <c r="I526" s="13" t="s">
        <v>88</v>
      </c>
      <c r="J526" s="14"/>
      <c r="K526" s="13"/>
      <c r="L526" s="14"/>
      <c r="M526" s="14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3.2">
      <c r="A527" s="14"/>
      <c r="B527" s="5">
        <v>2</v>
      </c>
      <c r="C527" s="5">
        <f t="shared" si="120"/>
        <v>15</v>
      </c>
      <c r="D527" s="20">
        <v>43014</v>
      </c>
      <c r="E527" s="11">
        <v>338.9</v>
      </c>
      <c r="F527" s="12">
        <f t="shared" ref="F527:F529" si="125">(E526-E527)/(D527-D526)</f>
        <v>5.8000000000000114</v>
      </c>
      <c r="G527" s="14"/>
      <c r="H527" s="14"/>
      <c r="I527" s="13">
        <v>74.900000000000006</v>
      </c>
      <c r="J527" s="14">
        <f>(93.5-I527)/(D528-D525)</f>
        <v>3.7199999999999989</v>
      </c>
      <c r="K527" s="13">
        <v>23.8</v>
      </c>
      <c r="L527" s="14"/>
      <c r="M527" s="14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3.2">
      <c r="A528" s="14"/>
      <c r="B528" s="5">
        <v>2</v>
      </c>
      <c r="C528" s="5">
        <f t="shared" si="120"/>
        <v>18</v>
      </c>
      <c r="D528" s="20">
        <v>43017</v>
      </c>
      <c r="E528" s="11">
        <v>325</v>
      </c>
      <c r="F528" s="12">
        <f t="shared" si="125"/>
        <v>4.6333333333333258</v>
      </c>
      <c r="G528" s="14"/>
      <c r="H528" s="14"/>
      <c r="I528" s="13">
        <v>51.8</v>
      </c>
      <c r="J528" s="16">
        <f t="shared" ref="J528:J529" si="126">(I527-I528)/(D528-D527)</f>
        <v>7.7000000000000028</v>
      </c>
      <c r="K528" s="13">
        <v>24.7</v>
      </c>
      <c r="L528" s="14"/>
      <c r="M528" s="14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3.2">
      <c r="A529" s="14"/>
      <c r="B529" s="5">
        <v>2</v>
      </c>
      <c r="C529" s="5">
        <f t="shared" si="120"/>
        <v>20</v>
      </c>
      <c r="D529" s="20">
        <v>43019</v>
      </c>
      <c r="E529" s="11">
        <v>316.39999999999998</v>
      </c>
      <c r="F529" s="12">
        <f t="shared" si="125"/>
        <v>4.3000000000000114</v>
      </c>
      <c r="G529" s="14"/>
      <c r="H529" s="14"/>
      <c r="I529" s="13">
        <v>24.8</v>
      </c>
      <c r="J529" s="14">
        <f t="shared" si="126"/>
        <v>13.499999999999998</v>
      </c>
      <c r="K529" s="13">
        <v>24.1</v>
      </c>
      <c r="L529" s="14"/>
      <c r="M529" s="14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3.2">
      <c r="A530" s="14"/>
      <c r="B530" s="5">
        <v>3</v>
      </c>
      <c r="C530" s="5">
        <f t="shared" si="120"/>
        <v>21</v>
      </c>
      <c r="D530" s="20">
        <v>43020</v>
      </c>
      <c r="E530" s="11">
        <v>332.3</v>
      </c>
      <c r="F530" s="12"/>
      <c r="G530" s="14"/>
      <c r="H530" s="14"/>
      <c r="I530" s="13">
        <v>88.2</v>
      </c>
      <c r="J530" s="14"/>
      <c r="K530" s="13"/>
      <c r="L530" s="14"/>
      <c r="M530" s="14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3.2">
      <c r="A531" s="14"/>
      <c r="B531" s="5">
        <v>3</v>
      </c>
      <c r="C531" s="5">
        <f t="shared" si="120"/>
        <v>22</v>
      </c>
      <c r="D531" s="20">
        <f>D529+2</f>
        <v>43021</v>
      </c>
      <c r="E531" s="11">
        <v>323.10000000000002</v>
      </c>
      <c r="F531" s="12">
        <f t="shared" ref="F531:F533" si="127">(E530-E531)/(D531-D530)</f>
        <v>9.1999999999999886</v>
      </c>
      <c r="G531" s="12">
        <f>AVERAGE(F519:F562)</f>
        <v>6.3146464646464686</v>
      </c>
      <c r="H531" s="14"/>
      <c r="I531" s="13">
        <v>44.8</v>
      </c>
      <c r="J531" s="14"/>
      <c r="K531" s="13">
        <v>25.1</v>
      </c>
      <c r="L531" s="14"/>
      <c r="M531" s="14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3.2">
      <c r="A532" s="14"/>
      <c r="B532" s="5">
        <v>3</v>
      </c>
      <c r="C532" s="5">
        <f t="shared" si="120"/>
        <v>25</v>
      </c>
      <c r="D532" s="20">
        <f>D531+3</f>
        <v>43024</v>
      </c>
      <c r="E532" s="11">
        <v>305.5</v>
      </c>
      <c r="F532" s="12">
        <f t="shared" si="127"/>
        <v>5.8666666666666742</v>
      </c>
      <c r="G532" s="14"/>
      <c r="H532" s="14"/>
      <c r="I532" s="13">
        <v>12.4</v>
      </c>
      <c r="J532" s="14"/>
      <c r="K532" s="13">
        <v>25.1</v>
      </c>
      <c r="L532" s="14"/>
      <c r="M532" s="14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3.2">
      <c r="A533" s="14"/>
      <c r="B533" s="5">
        <v>3</v>
      </c>
      <c r="C533" s="5">
        <f t="shared" si="120"/>
        <v>27</v>
      </c>
      <c r="D533" s="20">
        <f>D532+2</f>
        <v>43026</v>
      </c>
      <c r="E533" s="11">
        <v>292.7</v>
      </c>
      <c r="F533" s="12">
        <f t="shared" si="127"/>
        <v>6.4000000000000057</v>
      </c>
      <c r="G533" s="14"/>
      <c r="H533" s="14"/>
      <c r="I533" s="13">
        <v>48.7</v>
      </c>
      <c r="J533" s="14"/>
      <c r="K533" s="13">
        <v>26.3</v>
      </c>
      <c r="L533" s="14"/>
      <c r="M533" s="14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3.2">
      <c r="A534" s="14"/>
      <c r="B534" s="5">
        <v>4</v>
      </c>
      <c r="C534" s="5">
        <f t="shared" si="120"/>
        <v>28</v>
      </c>
      <c r="D534" s="20">
        <v>43027</v>
      </c>
      <c r="E534" s="11">
        <v>384.6</v>
      </c>
      <c r="F534" s="12"/>
      <c r="G534" s="14"/>
      <c r="H534" s="14"/>
      <c r="I534" s="15"/>
      <c r="J534" s="14"/>
      <c r="K534" s="15"/>
      <c r="L534" s="14"/>
      <c r="M534" s="14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3.2">
      <c r="A535" s="14"/>
      <c r="B535" s="5">
        <v>4</v>
      </c>
      <c r="C535" s="5">
        <f t="shared" si="120"/>
        <v>29</v>
      </c>
      <c r="D535" s="20">
        <f>D533+2</f>
        <v>43028</v>
      </c>
      <c r="E535" s="11">
        <v>375.9</v>
      </c>
      <c r="F535" s="12">
        <f t="shared" ref="F535:F537" si="128">(E534-E535)/(D535-D534)</f>
        <v>8.7000000000000455</v>
      </c>
      <c r="G535" s="14"/>
      <c r="H535" s="14"/>
      <c r="I535" s="13">
        <v>14.5</v>
      </c>
      <c r="J535" s="15"/>
      <c r="K535" s="13">
        <v>25.8</v>
      </c>
      <c r="L535" s="14"/>
      <c r="M535" s="14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3.2">
      <c r="A536" s="14"/>
      <c r="B536" s="5">
        <v>4</v>
      </c>
      <c r="C536" s="5">
        <f t="shared" si="120"/>
        <v>32</v>
      </c>
      <c r="D536" s="20">
        <v>43031</v>
      </c>
      <c r="E536" s="11">
        <v>358.7</v>
      </c>
      <c r="F536" s="12">
        <f t="shared" si="128"/>
        <v>5.7333333333333298</v>
      </c>
      <c r="G536" s="14"/>
      <c r="H536" s="14"/>
      <c r="I536" s="13">
        <v>11.8</v>
      </c>
      <c r="J536" s="15">
        <f>(39.8-I536)/(D536-D535)</f>
        <v>9.3333333333333321</v>
      </c>
      <c r="K536" s="15"/>
      <c r="L536" s="14"/>
      <c r="M536" s="14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3.2">
      <c r="A537" s="14"/>
      <c r="B537" s="5">
        <v>4</v>
      </c>
      <c r="C537" s="5">
        <f t="shared" si="120"/>
        <v>34</v>
      </c>
      <c r="D537" s="20">
        <v>43033</v>
      </c>
      <c r="E537" s="11">
        <v>343.6</v>
      </c>
      <c r="F537" s="12">
        <f t="shared" si="128"/>
        <v>7.5499999999999829</v>
      </c>
      <c r="G537" s="14"/>
      <c r="H537" s="14"/>
      <c r="I537" s="13">
        <v>19.399999999999999</v>
      </c>
      <c r="J537" s="15"/>
      <c r="K537" s="15"/>
      <c r="L537" s="14"/>
      <c r="M537" s="14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3.2">
      <c r="A538" s="14"/>
      <c r="B538" s="5">
        <v>5</v>
      </c>
      <c r="C538" s="5">
        <f t="shared" si="120"/>
        <v>35</v>
      </c>
      <c r="D538" s="20">
        <v>43034</v>
      </c>
      <c r="E538" s="11">
        <v>336.6</v>
      </c>
      <c r="F538" s="12"/>
      <c r="G538" s="14"/>
      <c r="H538" s="14"/>
      <c r="J538" s="15"/>
      <c r="K538" s="15"/>
      <c r="L538" s="14"/>
      <c r="M538" s="14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3.2">
      <c r="A539" s="14"/>
      <c r="B539" s="5">
        <v>5</v>
      </c>
      <c r="C539" s="5">
        <f t="shared" si="120"/>
        <v>36</v>
      </c>
      <c r="D539" s="20">
        <v>43035</v>
      </c>
      <c r="E539" s="11">
        <v>328.1</v>
      </c>
      <c r="F539" s="12">
        <f t="shared" ref="F539:F541" si="129">(E538-E539)/(D539-D538)</f>
        <v>8.5</v>
      </c>
      <c r="G539" s="14"/>
      <c r="H539" s="14"/>
      <c r="I539" s="13">
        <v>12.5</v>
      </c>
      <c r="J539" s="15">
        <f>(I537-I539)/(D539-D537)</f>
        <v>3.4499999999999993</v>
      </c>
      <c r="K539" s="13">
        <v>28.9</v>
      </c>
      <c r="L539" s="14"/>
      <c r="M539" s="14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3.2">
      <c r="A540" s="14"/>
      <c r="B540" s="5">
        <v>5</v>
      </c>
      <c r="C540" s="5">
        <f t="shared" si="120"/>
        <v>39</v>
      </c>
      <c r="D540" s="20">
        <v>43038</v>
      </c>
      <c r="E540" s="11">
        <v>306.8</v>
      </c>
      <c r="F540" s="12">
        <f t="shared" si="129"/>
        <v>7.1000000000000041</v>
      </c>
      <c r="G540" s="14"/>
      <c r="H540" s="14"/>
      <c r="I540" s="13">
        <v>13.7</v>
      </c>
      <c r="J540" s="15">
        <f>(49.3-I540)/(D540-D539)</f>
        <v>11.866666666666665</v>
      </c>
      <c r="K540" s="13">
        <v>29.6</v>
      </c>
      <c r="L540" s="14"/>
      <c r="M540" s="14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3.2">
      <c r="A541" s="14"/>
      <c r="B541" s="5">
        <v>5</v>
      </c>
      <c r="C541" s="5">
        <f t="shared" si="120"/>
        <v>41</v>
      </c>
      <c r="D541" s="20">
        <v>43040</v>
      </c>
      <c r="E541" s="11">
        <v>295.5</v>
      </c>
      <c r="F541" s="12">
        <f t="shared" si="129"/>
        <v>5.6500000000000057</v>
      </c>
      <c r="G541" s="14"/>
      <c r="H541" s="14"/>
      <c r="I541" s="13">
        <v>39.299999999999997</v>
      </c>
      <c r="J541" s="15"/>
      <c r="K541" s="13">
        <v>31.2</v>
      </c>
      <c r="L541" s="14"/>
      <c r="M541" s="14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3.2">
      <c r="A542" s="14"/>
      <c r="B542" s="5">
        <v>6</v>
      </c>
      <c r="C542" s="5">
        <f t="shared" si="120"/>
        <v>42</v>
      </c>
      <c r="D542" s="20">
        <v>43041</v>
      </c>
      <c r="E542" s="11">
        <v>324.10000000000002</v>
      </c>
      <c r="F542" s="12"/>
      <c r="G542" s="14"/>
      <c r="H542" s="14"/>
      <c r="I542" s="15"/>
      <c r="J542" s="14"/>
      <c r="K542" s="15"/>
      <c r="L542" s="14"/>
      <c r="M542" s="14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3.2">
      <c r="A543" s="14"/>
      <c r="B543" s="5">
        <v>6</v>
      </c>
      <c r="C543" s="5">
        <f t="shared" si="120"/>
        <v>43</v>
      </c>
      <c r="D543" s="20">
        <v>43042</v>
      </c>
      <c r="E543" s="11">
        <v>317.3</v>
      </c>
      <c r="F543" s="12">
        <f t="shared" ref="F543:F545" si="130">(E542-E543)/(D543-D542)</f>
        <v>6.8000000000000114</v>
      </c>
      <c r="G543" s="14"/>
      <c r="H543" s="14"/>
      <c r="I543" s="13">
        <v>15.6</v>
      </c>
      <c r="J543" s="15">
        <f>(I541-I543)/(D543-D541)</f>
        <v>11.849999999999998</v>
      </c>
      <c r="K543" s="13">
        <v>31.6</v>
      </c>
      <c r="L543" s="14"/>
      <c r="M543" s="14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3.2">
      <c r="A544" s="14"/>
      <c r="B544" s="5">
        <v>6</v>
      </c>
      <c r="C544" s="5">
        <f t="shared" si="120"/>
        <v>46</v>
      </c>
      <c r="D544" s="20">
        <v>43045</v>
      </c>
      <c r="E544" s="11">
        <v>299.39999999999998</v>
      </c>
      <c r="F544" s="12">
        <f t="shared" si="130"/>
        <v>5.9666666666666783</v>
      </c>
      <c r="G544" s="14"/>
      <c r="H544" s="14"/>
      <c r="I544" s="13">
        <v>7.6</v>
      </c>
      <c r="J544" s="14">
        <f>(51.7-I544)/(D544-D543)</f>
        <v>14.700000000000001</v>
      </c>
      <c r="K544" s="13">
        <v>33.799999999999997</v>
      </c>
      <c r="L544" s="14"/>
      <c r="M544" s="14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3.2">
      <c r="A545" s="14"/>
      <c r="B545" s="5">
        <v>6</v>
      </c>
      <c r="C545" s="5">
        <f t="shared" si="120"/>
        <v>48</v>
      </c>
      <c r="D545" s="20">
        <v>43047</v>
      </c>
      <c r="E545" s="11">
        <v>289.2</v>
      </c>
      <c r="F545" s="12">
        <f t="shared" si="130"/>
        <v>5.0999999999999943</v>
      </c>
      <c r="G545" s="14"/>
      <c r="H545" s="14"/>
      <c r="I545" s="13">
        <v>22.9</v>
      </c>
      <c r="J545" s="14"/>
      <c r="K545" s="13">
        <v>33.799999999999997</v>
      </c>
      <c r="L545" s="14"/>
      <c r="M545" s="14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3.2">
      <c r="A546" s="14"/>
      <c r="B546" s="5">
        <v>7</v>
      </c>
      <c r="C546" s="5">
        <f t="shared" si="120"/>
        <v>49</v>
      </c>
      <c r="D546" s="20">
        <v>43048</v>
      </c>
      <c r="E546" s="11">
        <v>335.5</v>
      </c>
      <c r="F546" s="12"/>
      <c r="G546" s="14"/>
      <c r="H546" s="14"/>
      <c r="I546" s="15"/>
      <c r="J546" s="14"/>
      <c r="K546" s="15"/>
      <c r="L546" s="14"/>
      <c r="M546" s="14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3.2">
      <c r="A547" s="14"/>
      <c r="B547" s="5">
        <v>7</v>
      </c>
      <c r="C547" s="5">
        <f t="shared" si="120"/>
        <v>50</v>
      </c>
      <c r="D547" s="20">
        <v>43049</v>
      </c>
      <c r="E547" s="11">
        <v>326.39999999999998</v>
      </c>
      <c r="F547" s="12">
        <f t="shared" ref="F547:F549" si="131">(E546-E547)/(D547-D546)</f>
        <v>9.1000000000000227</v>
      </c>
      <c r="G547" s="14"/>
      <c r="H547" s="14"/>
      <c r="I547" s="13">
        <v>25.2</v>
      </c>
      <c r="J547" s="14"/>
      <c r="K547" s="13">
        <v>35.5</v>
      </c>
      <c r="L547" s="14"/>
      <c r="M547" s="14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3.2">
      <c r="A548" s="14"/>
      <c r="B548" s="5">
        <v>7</v>
      </c>
      <c r="C548" s="5">
        <f t="shared" si="120"/>
        <v>53</v>
      </c>
      <c r="D548" s="20">
        <v>43052</v>
      </c>
      <c r="E548" s="11">
        <v>311.3</v>
      </c>
      <c r="F548" s="12">
        <f t="shared" si="131"/>
        <v>5.0333333333333217</v>
      </c>
      <c r="G548" s="14"/>
      <c r="H548" s="14"/>
      <c r="I548" s="13">
        <v>6.3</v>
      </c>
      <c r="J548" s="16">
        <f>(I547-I548)/(D548-D547)</f>
        <v>6.3</v>
      </c>
      <c r="K548" s="13">
        <v>35.299999999999997</v>
      </c>
      <c r="L548" s="14"/>
      <c r="M548" s="14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3.2">
      <c r="A549" s="14"/>
      <c r="B549" s="5">
        <v>7</v>
      </c>
      <c r="C549" s="5">
        <f t="shared" si="120"/>
        <v>55</v>
      </c>
      <c r="D549" s="20">
        <v>43054</v>
      </c>
      <c r="E549" s="11">
        <v>291.89999999999998</v>
      </c>
      <c r="F549" s="12">
        <f t="shared" si="131"/>
        <v>9.7000000000000171</v>
      </c>
      <c r="G549" s="14"/>
      <c r="H549" s="14"/>
      <c r="I549" s="13">
        <v>81.3</v>
      </c>
      <c r="J549" s="16"/>
      <c r="K549" s="13">
        <v>36.9</v>
      </c>
      <c r="L549" s="14"/>
      <c r="M549" s="14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3.2">
      <c r="A550" s="14"/>
      <c r="B550" s="5">
        <v>8</v>
      </c>
      <c r="C550" s="5">
        <f t="shared" si="120"/>
        <v>56</v>
      </c>
      <c r="D550" s="20">
        <v>43055</v>
      </c>
      <c r="E550" s="11">
        <v>336.1</v>
      </c>
      <c r="F550" s="12"/>
      <c r="G550" s="14"/>
      <c r="H550" s="14"/>
      <c r="I550" s="15"/>
      <c r="J550" s="14"/>
      <c r="K550" s="15"/>
      <c r="L550" s="14"/>
      <c r="M550" s="14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3.2">
      <c r="A551" s="14"/>
      <c r="B551" s="5">
        <v>8</v>
      </c>
      <c r="C551" s="5">
        <f t="shared" si="120"/>
        <v>57</v>
      </c>
      <c r="D551" s="20">
        <v>43056</v>
      </c>
      <c r="E551" s="11">
        <v>329.3</v>
      </c>
      <c r="F551" s="12">
        <f t="shared" ref="F551:F552" si="132">(E550-E551)/(D551-D550)</f>
        <v>6.8000000000000114</v>
      </c>
      <c r="G551" s="14"/>
      <c r="H551" s="14"/>
      <c r="I551" s="13">
        <v>38</v>
      </c>
      <c r="J551" s="14"/>
      <c r="K551" s="13">
        <v>37.1</v>
      </c>
      <c r="L551" s="14"/>
      <c r="M551" s="14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3.2">
      <c r="A552" s="14"/>
      <c r="B552" s="5">
        <v>8</v>
      </c>
      <c r="C552" s="5">
        <f t="shared" si="120"/>
        <v>60</v>
      </c>
      <c r="D552" s="20">
        <v>43059</v>
      </c>
      <c r="E552" s="11">
        <v>313.2</v>
      </c>
      <c r="F552" s="12">
        <f t="shared" si="132"/>
        <v>5.3666666666666742</v>
      </c>
      <c r="G552" s="14"/>
      <c r="H552" s="14"/>
      <c r="I552" s="13">
        <v>12.6</v>
      </c>
      <c r="J552" s="16">
        <f>(I551-I552)/(D552-D551)</f>
        <v>8.4666666666666668</v>
      </c>
      <c r="K552" s="13">
        <v>38.4</v>
      </c>
      <c r="L552" s="14"/>
      <c r="M552" s="14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3.2">
      <c r="A553" s="14"/>
      <c r="B553" s="5">
        <v>8</v>
      </c>
      <c r="C553" s="5">
        <f t="shared" si="120"/>
        <v>61</v>
      </c>
      <c r="D553" s="20">
        <v>43060</v>
      </c>
      <c r="E553" s="11">
        <v>350.4</v>
      </c>
      <c r="F553" s="12"/>
      <c r="G553" s="14"/>
      <c r="H553" s="14"/>
      <c r="I553" s="15"/>
      <c r="J553" s="14"/>
      <c r="K553" s="15"/>
      <c r="L553" s="14"/>
      <c r="M553" s="14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3.2">
      <c r="A554" s="14"/>
      <c r="B554" s="5">
        <v>9</v>
      </c>
      <c r="C554" s="5">
        <f t="shared" si="120"/>
        <v>62</v>
      </c>
      <c r="D554" s="20">
        <v>43061</v>
      </c>
      <c r="E554" s="11">
        <v>342.8</v>
      </c>
      <c r="F554" s="12">
        <f>(E553-E554)/(D554-D553)</f>
        <v>7.5999999999999659</v>
      </c>
      <c r="G554" s="14"/>
      <c r="H554" s="14"/>
      <c r="I554" s="13">
        <v>37.9</v>
      </c>
      <c r="J554" s="14">
        <f>(108.9-I554)/(D554-D553)</f>
        <v>71</v>
      </c>
      <c r="K554" s="13">
        <v>38.9</v>
      </c>
      <c r="L554" s="14"/>
      <c r="M554" s="14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3.2">
      <c r="A555" s="14"/>
      <c r="B555" s="5">
        <v>9</v>
      </c>
      <c r="C555" s="5">
        <f t="shared" si="120"/>
        <v>93</v>
      </c>
      <c r="D555" s="20">
        <v>43092</v>
      </c>
      <c r="E555" s="11"/>
      <c r="F555" s="12"/>
      <c r="G555" s="14"/>
      <c r="H555" s="14"/>
      <c r="I555" s="13"/>
      <c r="J555" s="14"/>
      <c r="K555" s="13"/>
      <c r="L555" s="14"/>
      <c r="M555" s="14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3.2">
      <c r="A556" s="14"/>
      <c r="B556" s="5">
        <v>9</v>
      </c>
      <c r="C556" s="5">
        <f t="shared" si="120"/>
        <v>64</v>
      </c>
      <c r="D556" s="20">
        <v>43063</v>
      </c>
      <c r="E556" s="11">
        <v>332.3</v>
      </c>
      <c r="F556" s="12">
        <f>(E554-E556)/(D556-D554)</f>
        <v>5.25</v>
      </c>
      <c r="G556" s="14"/>
      <c r="H556" s="14"/>
      <c r="I556" s="13">
        <v>33.5</v>
      </c>
      <c r="J556" s="14"/>
      <c r="K556" s="13">
        <v>39.5</v>
      </c>
      <c r="L556" s="14"/>
      <c r="M556" s="14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3.2">
      <c r="A557" s="14"/>
      <c r="B557" s="5">
        <v>9</v>
      </c>
      <c r="C557" s="5">
        <f t="shared" si="120"/>
        <v>67</v>
      </c>
      <c r="D557" s="23">
        <v>43066</v>
      </c>
      <c r="E557" s="11">
        <v>318.39999999999998</v>
      </c>
      <c r="F557" s="12">
        <f t="shared" ref="F557:F558" si="133">(E556-E557)/(D557-D556)</f>
        <v>4.6333333333333444</v>
      </c>
      <c r="G557" s="14"/>
      <c r="H557" s="14"/>
      <c r="I557" s="13">
        <v>20.6</v>
      </c>
      <c r="J557" s="14"/>
      <c r="K557" s="13">
        <v>40.799999999999997</v>
      </c>
      <c r="L557" s="14"/>
      <c r="M557" s="14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3.2">
      <c r="A558" s="14"/>
      <c r="B558" s="5">
        <v>9</v>
      </c>
      <c r="C558" s="5">
        <f t="shared" si="120"/>
        <v>69</v>
      </c>
      <c r="D558" s="23">
        <v>43068</v>
      </c>
      <c r="E558" s="11">
        <v>307.89999999999998</v>
      </c>
      <c r="F558" s="12">
        <f t="shared" si="133"/>
        <v>5.25</v>
      </c>
      <c r="G558" s="14"/>
      <c r="H558" s="14"/>
      <c r="I558" s="13">
        <v>48.5</v>
      </c>
      <c r="J558" s="14"/>
      <c r="K558" s="13">
        <v>42.3</v>
      </c>
      <c r="L558" s="14"/>
      <c r="M558" s="14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3.2">
      <c r="A559" s="14"/>
      <c r="B559" s="5">
        <v>10</v>
      </c>
      <c r="C559" s="5">
        <f t="shared" si="120"/>
        <v>70</v>
      </c>
      <c r="D559" s="23">
        <v>43069</v>
      </c>
      <c r="E559" s="11">
        <v>323</v>
      </c>
      <c r="F559" s="12"/>
      <c r="G559" s="14"/>
      <c r="H559" s="14"/>
      <c r="I559" s="15"/>
      <c r="J559" s="14"/>
      <c r="K559" s="15"/>
      <c r="L559" s="14"/>
      <c r="M559" s="14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3.2">
      <c r="A560" s="14"/>
      <c r="B560" s="5">
        <v>10</v>
      </c>
      <c r="C560" s="5">
        <f t="shared" si="120"/>
        <v>71</v>
      </c>
      <c r="D560" s="23">
        <v>43070</v>
      </c>
      <c r="E560" s="11">
        <v>316.7</v>
      </c>
      <c r="F560" s="12">
        <f t="shared" ref="F560:F562" si="134">(E559-E560)/(D560-D559)</f>
        <v>6.3000000000000114</v>
      </c>
      <c r="G560" s="14"/>
      <c r="H560" s="14"/>
      <c r="I560" s="13">
        <v>14.7</v>
      </c>
      <c r="J560" s="14"/>
      <c r="K560" s="13">
        <v>42.8</v>
      </c>
      <c r="L560" s="14"/>
      <c r="M560" s="14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3.2">
      <c r="A561" s="14"/>
      <c r="B561" s="5">
        <v>10</v>
      </c>
      <c r="C561" s="5">
        <f t="shared" si="120"/>
        <v>74</v>
      </c>
      <c r="D561" s="23">
        <v>43073</v>
      </c>
      <c r="E561" s="11">
        <v>303.8</v>
      </c>
      <c r="F561" s="12">
        <f t="shared" si="134"/>
        <v>4.2999999999999927</v>
      </c>
      <c r="G561" s="14"/>
      <c r="H561" s="14"/>
      <c r="I561" s="13">
        <v>27.8</v>
      </c>
      <c r="J561" s="14">
        <f>(62.3-I561)/(D561-D560)</f>
        <v>11.5</v>
      </c>
      <c r="K561" s="13">
        <v>44.4</v>
      </c>
      <c r="L561" s="14"/>
      <c r="M561" s="14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3.2">
      <c r="A562" s="14"/>
      <c r="B562" s="5">
        <v>10</v>
      </c>
      <c r="C562" s="5">
        <f t="shared" si="120"/>
        <v>76</v>
      </c>
      <c r="D562" s="23">
        <v>43075</v>
      </c>
      <c r="E562" s="11">
        <v>291.8</v>
      </c>
      <c r="F562" s="12">
        <f t="shared" si="134"/>
        <v>6</v>
      </c>
      <c r="G562" s="14"/>
      <c r="H562" s="14"/>
      <c r="I562" s="13">
        <v>45.6</v>
      </c>
      <c r="J562" s="14"/>
      <c r="K562" s="13">
        <v>44.7</v>
      </c>
      <c r="L562" s="14"/>
      <c r="M562" s="14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3.2">
      <c r="A563" s="14"/>
      <c r="B563" s="5">
        <v>11</v>
      </c>
      <c r="C563" s="5">
        <f t="shared" si="120"/>
        <v>77</v>
      </c>
      <c r="D563" s="24">
        <v>43076</v>
      </c>
      <c r="E563" s="11">
        <v>345.4</v>
      </c>
      <c r="F563" s="12"/>
      <c r="G563" s="14"/>
      <c r="H563" s="14"/>
      <c r="I563" s="13">
        <v>17.3</v>
      </c>
      <c r="J563" s="14"/>
      <c r="K563" s="13">
        <v>45</v>
      </c>
      <c r="L563" s="14"/>
      <c r="M563" s="14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3.2">
      <c r="A564" s="14"/>
      <c r="B564" s="5">
        <v>11</v>
      </c>
      <c r="C564" s="5">
        <f t="shared" si="120"/>
        <v>78</v>
      </c>
      <c r="D564" s="24">
        <v>43077</v>
      </c>
      <c r="E564" s="11">
        <v>337.6</v>
      </c>
      <c r="F564" s="12">
        <f t="shared" ref="F564:F566" si="135">(E563-E564)/(D564-D563)</f>
        <v>7.7999999999999545</v>
      </c>
      <c r="G564" s="14"/>
      <c r="H564" s="14"/>
      <c r="I564" s="13">
        <v>7.1</v>
      </c>
      <c r="J564" s="14"/>
      <c r="K564" s="13">
        <v>45.8</v>
      </c>
      <c r="L564" s="14"/>
      <c r="M564" s="14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3.2">
      <c r="A565" s="14"/>
      <c r="B565" s="5">
        <v>11</v>
      </c>
      <c r="C565" s="5">
        <f t="shared" si="120"/>
        <v>81</v>
      </c>
      <c r="D565" s="24">
        <v>43080</v>
      </c>
      <c r="E565" s="11">
        <v>327.3</v>
      </c>
      <c r="F565" s="12">
        <f t="shared" si="135"/>
        <v>3.4333333333333371</v>
      </c>
      <c r="G565" s="14"/>
      <c r="H565" s="14"/>
      <c r="I565" s="13">
        <v>1.3</v>
      </c>
      <c r="J565" s="14"/>
      <c r="K565" s="13">
        <v>46.2</v>
      </c>
      <c r="L565" s="14"/>
      <c r="M565" s="14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3.2">
      <c r="A566" s="14"/>
      <c r="B566" s="5">
        <v>11</v>
      </c>
      <c r="C566" s="5">
        <f t="shared" si="120"/>
        <v>83</v>
      </c>
      <c r="D566" s="25">
        <v>43082</v>
      </c>
      <c r="E566" s="11">
        <v>314.39999999999998</v>
      </c>
      <c r="F566" s="12">
        <f t="shared" si="135"/>
        <v>6.4500000000000171</v>
      </c>
      <c r="G566" s="14"/>
      <c r="H566" s="14"/>
      <c r="I566" s="15"/>
      <c r="J566" s="14"/>
      <c r="K566" s="13">
        <v>45.9</v>
      </c>
      <c r="L566" s="14"/>
      <c r="M566" s="14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3.2">
      <c r="A567" s="14"/>
      <c r="B567" s="5">
        <v>12</v>
      </c>
      <c r="C567" s="5">
        <f t="shared" si="120"/>
        <v>84</v>
      </c>
      <c r="D567" s="24">
        <v>43083</v>
      </c>
      <c r="E567" s="12"/>
      <c r="F567" s="12"/>
      <c r="G567" s="14"/>
      <c r="H567" s="14"/>
      <c r="I567" s="15"/>
      <c r="J567" s="14"/>
      <c r="K567" s="33"/>
      <c r="L567" s="14"/>
      <c r="M567" s="14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3.2">
      <c r="A568" s="80"/>
      <c r="B568" s="76">
        <v>12</v>
      </c>
      <c r="C568" s="76">
        <f t="shared" si="120"/>
        <v>85</v>
      </c>
      <c r="D568" s="90">
        <v>43084</v>
      </c>
      <c r="E568" s="91"/>
      <c r="F568" s="91"/>
      <c r="G568" s="80"/>
      <c r="H568" s="80"/>
      <c r="I568" s="92"/>
      <c r="J568" s="80"/>
      <c r="K568" s="128">
        <v>48.4</v>
      </c>
      <c r="L568" s="80"/>
      <c r="M568" s="14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3.2">
      <c r="A569" s="14"/>
      <c r="B569" s="5">
        <v>12</v>
      </c>
      <c r="C569" s="5">
        <f t="shared" si="120"/>
        <v>98</v>
      </c>
      <c r="D569" s="32">
        <v>43097</v>
      </c>
      <c r="E569" s="12"/>
      <c r="F569" s="12"/>
      <c r="G569" s="14"/>
      <c r="H569" s="14"/>
      <c r="I569" s="33">
        <v>64.3</v>
      </c>
      <c r="J569" s="14"/>
      <c r="K569" s="36">
        <v>45.9</v>
      </c>
      <c r="L569" s="14"/>
      <c r="M569" s="14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3.2">
      <c r="A570" s="14"/>
      <c r="B570" s="5">
        <v>12</v>
      </c>
      <c r="C570" s="5">
        <f t="shared" si="120"/>
        <v>105</v>
      </c>
      <c r="D570" s="32">
        <v>43104</v>
      </c>
      <c r="E570" s="12"/>
      <c r="F570" s="12"/>
      <c r="G570" s="14"/>
      <c r="H570" s="14"/>
      <c r="I570" s="33">
        <v>40.6</v>
      </c>
      <c r="J570" s="14"/>
      <c r="K570" s="33">
        <v>49.4</v>
      </c>
      <c r="L570" s="14"/>
      <c r="M570" s="14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3.2">
      <c r="A571" s="14"/>
      <c r="B571" s="14"/>
      <c r="C571" s="5">
        <f t="shared" si="120"/>
        <v>112</v>
      </c>
      <c r="D571" s="32">
        <v>43111</v>
      </c>
      <c r="E571" s="12"/>
      <c r="F571" s="12"/>
      <c r="G571" s="14"/>
      <c r="H571" s="14"/>
      <c r="I571" s="33">
        <v>35</v>
      </c>
      <c r="J571" s="14"/>
      <c r="K571" s="33">
        <v>41.9</v>
      </c>
      <c r="L571" s="14"/>
      <c r="M571" s="14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3.2">
      <c r="A572" s="14"/>
      <c r="B572" s="14"/>
      <c r="C572" s="5">
        <f t="shared" si="120"/>
        <v>116</v>
      </c>
      <c r="D572" s="94">
        <v>43115</v>
      </c>
      <c r="E572" s="12"/>
      <c r="F572" s="12"/>
      <c r="G572" s="14"/>
      <c r="H572" s="14"/>
      <c r="I572" s="33">
        <v>29.8</v>
      </c>
      <c r="J572" s="14"/>
      <c r="K572" s="33">
        <v>40.5</v>
      </c>
      <c r="L572" s="14"/>
      <c r="M572" s="14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3.2">
      <c r="A573" s="14"/>
      <c r="B573" s="14"/>
      <c r="C573" s="5">
        <f t="shared" si="120"/>
        <v>117</v>
      </c>
      <c r="D573" s="32">
        <v>43116</v>
      </c>
      <c r="E573" s="12"/>
      <c r="F573" s="12"/>
      <c r="G573" s="14"/>
      <c r="H573" s="14"/>
      <c r="I573" s="33">
        <v>24.4</v>
      </c>
      <c r="J573" s="14"/>
      <c r="K573" s="33">
        <v>40.200000000000003</v>
      </c>
      <c r="L573" s="14"/>
      <c r="M573" s="14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3.2">
      <c r="A574" s="14"/>
      <c r="B574" s="14"/>
      <c r="C574" s="5">
        <f t="shared" si="120"/>
        <v>118</v>
      </c>
      <c r="D574" s="32">
        <v>43117</v>
      </c>
      <c r="E574" s="12"/>
      <c r="F574" s="12"/>
      <c r="G574" s="14"/>
      <c r="H574" s="14"/>
      <c r="I574" s="33">
        <v>49.5</v>
      </c>
      <c r="J574" s="14"/>
      <c r="K574" s="33">
        <v>40.700000000000003</v>
      </c>
      <c r="L574" s="14"/>
      <c r="M574" s="14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3.2">
      <c r="A575" s="14"/>
      <c r="B575" s="14"/>
      <c r="C575" s="5">
        <v>119</v>
      </c>
      <c r="D575" s="32">
        <v>43118</v>
      </c>
      <c r="E575" s="12"/>
      <c r="F575" s="12"/>
      <c r="G575" s="14"/>
      <c r="H575" s="14"/>
      <c r="I575" s="33">
        <v>45.4</v>
      </c>
      <c r="J575" s="14"/>
      <c r="K575" s="33">
        <v>41.4</v>
      </c>
      <c r="L575" s="14"/>
      <c r="M575" s="14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3.2">
      <c r="A576" s="14"/>
      <c r="B576" s="14"/>
      <c r="C576" s="5">
        <v>120</v>
      </c>
      <c r="D576" s="32">
        <v>43119</v>
      </c>
      <c r="E576" s="12"/>
      <c r="F576" s="12"/>
      <c r="G576" s="14"/>
      <c r="H576" s="14"/>
      <c r="I576" s="33">
        <v>40.700000000000003</v>
      </c>
      <c r="J576" s="14"/>
      <c r="K576" s="33">
        <v>41.8</v>
      </c>
      <c r="L576" s="14"/>
      <c r="M576" s="14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3.2">
      <c r="A577" s="14"/>
      <c r="B577" s="14"/>
      <c r="C577" s="5">
        <v>121</v>
      </c>
      <c r="D577" s="32">
        <v>43120</v>
      </c>
      <c r="E577" s="12"/>
      <c r="F577" s="12"/>
      <c r="G577" s="14"/>
      <c r="H577" s="14"/>
      <c r="I577" s="33">
        <v>36.1</v>
      </c>
      <c r="J577" s="14"/>
      <c r="K577" s="33">
        <v>41.9</v>
      </c>
      <c r="L577" s="14"/>
      <c r="M577" s="14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3.2">
      <c r="A578" s="14"/>
      <c r="B578" s="14"/>
      <c r="C578" s="5">
        <v>122</v>
      </c>
      <c r="D578" s="32">
        <v>43121</v>
      </c>
      <c r="E578" s="12"/>
      <c r="F578" s="12"/>
      <c r="G578" s="14"/>
      <c r="H578" s="14"/>
      <c r="I578" s="33">
        <v>25.9</v>
      </c>
      <c r="J578" s="14"/>
      <c r="K578" s="33">
        <v>42.7</v>
      </c>
      <c r="L578" s="14"/>
      <c r="M578" s="14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3.2">
      <c r="A579" s="14"/>
      <c r="B579" s="14"/>
      <c r="C579" s="5">
        <v>123</v>
      </c>
      <c r="D579" s="32">
        <v>43122</v>
      </c>
      <c r="E579" s="12"/>
      <c r="F579" s="12"/>
      <c r="G579" s="14"/>
      <c r="H579" s="14"/>
      <c r="I579" s="33">
        <v>61.2</v>
      </c>
      <c r="J579" s="14"/>
      <c r="K579" s="33">
        <v>43.1</v>
      </c>
      <c r="L579" s="14"/>
      <c r="M579" s="14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3.2">
      <c r="A580" s="14"/>
      <c r="B580" s="14"/>
      <c r="C580" s="5">
        <v>124</v>
      </c>
      <c r="D580" s="32">
        <v>43123</v>
      </c>
      <c r="E580" s="12"/>
      <c r="F580" s="12"/>
      <c r="G580" s="14"/>
      <c r="H580" s="14"/>
      <c r="I580" s="33">
        <v>53.7</v>
      </c>
      <c r="J580" s="14"/>
      <c r="K580" s="33">
        <v>44.2</v>
      </c>
      <c r="L580" s="14"/>
      <c r="M580" s="14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3.2">
      <c r="A581" s="14"/>
      <c r="B581" s="14"/>
      <c r="C581" s="5">
        <v>125</v>
      </c>
      <c r="D581" s="32">
        <v>43124</v>
      </c>
      <c r="E581" s="12"/>
      <c r="F581" s="12"/>
      <c r="G581" s="14"/>
      <c r="H581" s="14"/>
      <c r="I581" s="33">
        <v>44.4</v>
      </c>
      <c r="J581" s="14"/>
      <c r="K581" s="33">
        <v>45.1</v>
      </c>
      <c r="L581" s="14"/>
      <c r="M581" s="14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3.2">
      <c r="A582" s="5" t="s">
        <v>77</v>
      </c>
      <c r="B582" s="14"/>
      <c r="C582" s="5">
        <v>126</v>
      </c>
      <c r="D582" s="131">
        <v>43125</v>
      </c>
      <c r="E582" s="12"/>
      <c r="F582" s="12"/>
      <c r="G582" s="14"/>
      <c r="H582" s="14"/>
      <c r="I582" s="107">
        <v>39.799999999999997</v>
      </c>
      <c r="J582" s="14"/>
      <c r="K582" s="107">
        <v>45</v>
      </c>
      <c r="L582" s="14"/>
      <c r="M582" s="14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3.2">
      <c r="A583" s="14"/>
      <c r="B583" s="14"/>
      <c r="C583" s="5">
        <v>127</v>
      </c>
      <c r="D583" s="32">
        <v>43126</v>
      </c>
      <c r="E583" s="12"/>
      <c r="F583" s="12"/>
      <c r="G583" s="14"/>
      <c r="H583" s="14"/>
      <c r="I583" s="33" t="s">
        <v>71</v>
      </c>
      <c r="J583" s="14"/>
      <c r="K583" s="33">
        <v>44.1</v>
      </c>
      <c r="L583" s="14"/>
      <c r="M583" s="14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3.2">
      <c r="A584" s="14"/>
      <c r="B584" s="14"/>
      <c r="C584" s="5">
        <v>128</v>
      </c>
      <c r="D584" s="32">
        <v>43127</v>
      </c>
      <c r="E584" s="12"/>
      <c r="F584" s="12"/>
      <c r="G584" s="14"/>
      <c r="H584" s="14"/>
      <c r="I584" s="33" t="s">
        <v>71</v>
      </c>
      <c r="J584" s="14"/>
      <c r="K584" s="33">
        <v>44.3</v>
      </c>
      <c r="L584" s="14"/>
      <c r="M584" s="14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3.2">
      <c r="A585" s="14"/>
      <c r="B585" s="14"/>
      <c r="C585" s="5">
        <v>129</v>
      </c>
      <c r="D585" s="32">
        <v>43128</v>
      </c>
      <c r="E585" s="12"/>
      <c r="F585" s="12"/>
      <c r="G585" s="14"/>
      <c r="H585" s="14"/>
      <c r="I585" s="33" t="s">
        <v>71</v>
      </c>
      <c r="J585" s="14"/>
      <c r="K585" s="33">
        <v>42.8</v>
      </c>
      <c r="L585" s="14"/>
      <c r="M585" s="14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3.2">
      <c r="A586" s="14"/>
      <c r="B586" s="14"/>
      <c r="C586" s="5">
        <v>130</v>
      </c>
      <c r="D586" s="32">
        <v>43129</v>
      </c>
      <c r="E586" s="12"/>
      <c r="F586" s="12"/>
      <c r="G586" s="14"/>
      <c r="H586" s="14"/>
      <c r="I586" s="33" t="s">
        <v>71</v>
      </c>
      <c r="J586" s="14"/>
      <c r="K586" s="33">
        <v>41.6</v>
      </c>
      <c r="L586" s="14"/>
      <c r="M586" s="14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3.2">
      <c r="A587" s="14"/>
      <c r="B587" s="14"/>
      <c r="C587" s="5">
        <v>131</v>
      </c>
      <c r="D587" s="32">
        <v>43130</v>
      </c>
      <c r="E587" s="12"/>
      <c r="F587" s="12"/>
      <c r="G587" s="14"/>
      <c r="H587" s="14"/>
      <c r="I587" s="33" t="s">
        <v>71</v>
      </c>
      <c r="J587" s="14"/>
      <c r="K587" s="33">
        <v>41.3</v>
      </c>
      <c r="L587" s="14"/>
      <c r="M587" s="14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3.2">
      <c r="A588" s="14"/>
      <c r="B588" s="14"/>
      <c r="C588" s="5">
        <v>132</v>
      </c>
      <c r="D588" s="32">
        <v>43131</v>
      </c>
      <c r="E588" s="12"/>
      <c r="F588" s="12"/>
      <c r="G588" s="14"/>
      <c r="H588" s="14"/>
      <c r="I588" s="33" t="s">
        <v>71</v>
      </c>
      <c r="J588" s="14"/>
      <c r="K588" s="33">
        <v>40.799999999999997</v>
      </c>
      <c r="L588" s="14"/>
      <c r="M588" s="14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3.2">
      <c r="A589" s="14"/>
      <c r="B589" s="14"/>
      <c r="C589" s="5">
        <v>133</v>
      </c>
      <c r="D589" s="32">
        <v>43132</v>
      </c>
      <c r="E589" s="12"/>
      <c r="F589" s="12"/>
      <c r="G589" s="14"/>
      <c r="H589" s="14"/>
      <c r="I589" s="33" t="s">
        <v>71</v>
      </c>
      <c r="J589" s="37"/>
      <c r="K589" s="33">
        <v>39.799999999999997</v>
      </c>
      <c r="L589" s="14"/>
      <c r="M589" s="14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3.2">
      <c r="A590" s="14"/>
      <c r="B590" s="14"/>
      <c r="C590" s="5">
        <v>134</v>
      </c>
      <c r="D590" s="32">
        <v>43133</v>
      </c>
      <c r="E590" s="12"/>
      <c r="F590" s="12"/>
      <c r="G590" s="14"/>
      <c r="H590" s="14"/>
      <c r="I590" s="108" t="s">
        <v>71</v>
      </c>
      <c r="J590" s="37"/>
      <c r="K590" s="33">
        <v>39.299999999999997</v>
      </c>
      <c r="L590" s="14"/>
      <c r="M590" s="14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3.2">
      <c r="A591" s="14"/>
      <c r="B591" s="14"/>
      <c r="C591" s="5">
        <v>135</v>
      </c>
      <c r="D591" s="32">
        <v>43134</v>
      </c>
      <c r="E591" s="12"/>
      <c r="F591" s="12"/>
      <c r="G591" s="14"/>
      <c r="H591" s="14"/>
      <c r="I591" s="108" t="s">
        <v>71</v>
      </c>
      <c r="J591" s="37"/>
      <c r="K591" s="33">
        <v>38.4</v>
      </c>
      <c r="L591" s="14"/>
      <c r="M591" s="14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3.2">
      <c r="A592" s="14"/>
      <c r="B592" s="14"/>
      <c r="C592" s="5">
        <v>136</v>
      </c>
      <c r="D592" s="32">
        <v>43135</v>
      </c>
      <c r="E592" s="12"/>
      <c r="F592" s="12"/>
      <c r="G592" s="14"/>
      <c r="H592" s="14"/>
      <c r="I592" s="108" t="s">
        <v>71</v>
      </c>
      <c r="J592" s="37"/>
      <c r="K592" s="33">
        <v>37.6</v>
      </c>
      <c r="L592" s="14"/>
      <c r="M592" s="14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3.2">
      <c r="A593" s="14"/>
      <c r="B593" s="14"/>
      <c r="C593" s="5">
        <v>137</v>
      </c>
      <c r="D593" s="32">
        <v>43136</v>
      </c>
      <c r="E593" s="12"/>
      <c r="F593" s="12"/>
      <c r="G593" s="14"/>
      <c r="H593" s="14"/>
      <c r="I593" s="108" t="s">
        <v>71</v>
      </c>
      <c r="J593" s="37"/>
      <c r="K593" s="33">
        <v>36.9</v>
      </c>
      <c r="L593" s="14"/>
      <c r="M593" s="14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3.2">
      <c r="A594" s="14"/>
      <c r="B594" s="14"/>
      <c r="C594" s="5">
        <v>138</v>
      </c>
      <c r="D594" s="32">
        <v>43137</v>
      </c>
      <c r="E594" s="12"/>
      <c r="F594" s="12"/>
      <c r="G594" s="14"/>
      <c r="H594" s="14"/>
      <c r="I594" s="108" t="s">
        <v>71</v>
      </c>
      <c r="J594" s="37"/>
      <c r="K594" s="33">
        <v>36.200000000000003</v>
      </c>
      <c r="L594" s="14"/>
      <c r="M594" s="14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3.2">
      <c r="A595" s="14"/>
      <c r="B595" s="14"/>
      <c r="C595" s="5">
        <v>139</v>
      </c>
      <c r="D595" s="20">
        <v>43138</v>
      </c>
      <c r="E595" s="12"/>
      <c r="F595" s="12"/>
      <c r="G595" s="14"/>
      <c r="H595" s="14"/>
      <c r="I595" s="13" t="s">
        <v>71</v>
      </c>
      <c r="J595" s="14"/>
      <c r="K595" s="13">
        <v>35.6</v>
      </c>
      <c r="L595" s="14"/>
      <c r="M595" s="14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3.2">
      <c r="A596" s="14"/>
      <c r="B596" s="14"/>
      <c r="C596" s="5">
        <v>140</v>
      </c>
      <c r="D596" s="20">
        <v>43139</v>
      </c>
      <c r="E596" s="12"/>
      <c r="F596" s="12"/>
      <c r="G596" s="14"/>
      <c r="H596" s="14"/>
      <c r="I596" s="13" t="s">
        <v>71</v>
      </c>
      <c r="J596" s="14"/>
      <c r="K596" s="13">
        <v>35</v>
      </c>
      <c r="L596" s="14"/>
      <c r="M596" s="14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3.2">
      <c r="A597" s="14"/>
      <c r="B597" s="14"/>
      <c r="C597" s="5">
        <v>141</v>
      </c>
      <c r="D597" s="20">
        <v>43140</v>
      </c>
      <c r="E597" s="12"/>
      <c r="F597" s="12"/>
      <c r="G597" s="14"/>
      <c r="H597" s="14"/>
      <c r="I597" s="13" t="s">
        <v>71</v>
      </c>
      <c r="J597" s="14"/>
      <c r="K597" s="13">
        <v>34.5</v>
      </c>
      <c r="L597" s="14"/>
      <c r="M597" s="14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3.2">
      <c r="A598" s="14"/>
      <c r="B598" s="14"/>
      <c r="C598" s="5">
        <v>142</v>
      </c>
      <c r="D598" s="20">
        <v>43141</v>
      </c>
      <c r="E598" s="12"/>
      <c r="F598" s="12"/>
      <c r="G598" s="14"/>
      <c r="H598" s="14"/>
      <c r="I598" s="13" t="s">
        <v>71</v>
      </c>
      <c r="J598" s="14"/>
      <c r="K598" s="13">
        <v>34.1</v>
      </c>
      <c r="L598" s="14"/>
      <c r="M598" s="14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3.2">
      <c r="A599" s="14"/>
      <c r="B599" s="14"/>
      <c r="C599" s="5">
        <v>143</v>
      </c>
      <c r="D599" s="20">
        <v>43142</v>
      </c>
      <c r="E599" s="12"/>
      <c r="F599" s="12"/>
      <c r="G599" s="14"/>
      <c r="H599" s="14"/>
      <c r="I599" s="13" t="s">
        <v>71</v>
      </c>
      <c r="J599" s="14"/>
      <c r="K599" s="13">
        <v>33.9</v>
      </c>
      <c r="L599" s="14"/>
      <c r="M599" s="14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3.2">
      <c r="A600" s="14"/>
      <c r="B600" s="14"/>
      <c r="C600" s="5">
        <v>144</v>
      </c>
      <c r="D600" s="20">
        <v>43143</v>
      </c>
      <c r="E600" s="12"/>
      <c r="F600" s="12"/>
      <c r="G600" s="14"/>
      <c r="H600" s="14"/>
      <c r="I600" s="13" t="s">
        <v>71</v>
      </c>
      <c r="J600" s="14"/>
      <c r="K600" s="13">
        <v>33</v>
      </c>
      <c r="L600" s="14"/>
      <c r="M600" s="14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3.2">
      <c r="A601" s="14"/>
      <c r="B601" s="14"/>
      <c r="C601" s="5">
        <v>145</v>
      </c>
      <c r="D601" s="20">
        <v>43144</v>
      </c>
      <c r="E601" s="12"/>
      <c r="F601" s="12"/>
      <c r="G601" s="14"/>
      <c r="H601" s="14"/>
      <c r="I601" s="13" t="s">
        <v>71</v>
      </c>
      <c r="J601" s="14"/>
      <c r="K601" s="13">
        <v>32.6</v>
      </c>
      <c r="L601" s="14"/>
      <c r="M601" s="14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3.2">
      <c r="A602" s="14"/>
      <c r="B602" s="14"/>
      <c r="C602" s="5">
        <v>146</v>
      </c>
      <c r="D602" s="20">
        <v>43145</v>
      </c>
      <c r="E602" s="12"/>
      <c r="F602" s="12"/>
      <c r="G602" s="14"/>
      <c r="H602" s="14"/>
      <c r="I602" s="13" t="s">
        <v>71</v>
      </c>
      <c r="J602" s="14"/>
      <c r="K602" s="13">
        <v>32</v>
      </c>
      <c r="L602" s="14"/>
      <c r="M602" s="14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3.2">
      <c r="A603" s="14"/>
      <c r="B603" s="14"/>
      <c r="C603" s="5">
        <v>147</v>
      </c>
      <c r="D603" s="20">
        <v>43146</v>
      </c>
      <c r="E603" s="12"/>
      <c r="F603" s="12"/>
      <c r="G603" s="14"/>
      <c r="H603" s="14"/>
      <c r="I603" s="13" t="s">
        <v>71</v>
      </c>
      <c r="J603" s="14"/>
      <c r="K603" s="13">
        <v>31.5</v>
      </c>
      <c r="L603" s="14"/>
      <c r="M603" s="14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3.2">
      <c r="A604" s="14"/>
      <c r="B604" s="14"/>
      <c r="C604" s="5">
        <v>148</v>
      </c>
      <c r="D604" s="20">
        <v>43147</v>
      </c>
      <c r="E604" s="12"/>
      <c r="F604" s="12"/>
      <c r="G604" s="14"/>
      <c r="H604" s="14"/>
      <c r="I604" s="13" t="s">
        <v>71</v>
      </c>
      <c r="J604" s="14"/>
      <c r="K604" s="13">
        <v>30.8</v>
      </c>
      <c r="L604" s="14"/>
      <c r="M604" s="14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3.2">
      <c r="A605" s="14"/>
      <c r="B605" s="14"/>
      <c r="C605" s="5">
        <v>149</v>
      </c>
      <c r="D605" s="20">
        <v>43148</v>
      </c>
      <c r="E605" s="12"/>
      <c r="F605" s="12"/>
      <c r="G605" s="14"/>
      <c r="H605" s="14"/>
      <c r="I605" s="13" t="s">
        <v>71</v>
      </c>
      <c r="J605" s="14"/>
      <c r="K605" s="13">
        <v>30.4</v>
      </c>
      <c r="L605" s="14"/>
      <c r="M605" s="14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3.2">
      <c r="A606" s="14"/>
      <c r="B606" s="14"/>
      <c r="C606" s="14">
        <f t="shared" ref="C606:C615" si="136">C605+1</f>
        <v>150</v>
      </c>
      <c r="D606" s="20">
        <v>43149</v>
      </c>
      <c r="E606" s="12"/>
      <c r="F606" s="12"/>
      <c r="G606" s="14"/>
      <c r="H606" s="14"/>
      <c r="I606" s="13" t="s">
        <v>71</v>
      </c>
      <c r="J606" s="14"/>
      <c r="K606" s="13">
        <v>29.9</v>
      </c>
      <c r="L606" s="14"/>
      <c r="M606" s="14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3.2">
      <c r="A607" s="14"/>
      <c r="B607" s="14"/>
      <c r="C607" s="14">
        <f t="shared" si="136"/>
        <v>151</v>
      </c>
      <c r="D607" s="20">
        <v>43150</v>
      </c>
      <c r="E607" s="12"/>
      <c r="F607" s="12"/>
      <c r="G607" s="14"/>
      <c r="H607" s="14"/>
      <c r="I607" s="13" t="s">
        <v>71</v>
      </c>
      <c r="J607" s="14"/>
      <c r="K607" s="13">
        <v>29</v>
      </c>
      <c r="L607" s="14"/>
      <c r="M607" s="14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3.2">
      <c r="A608" s="14"/>
      <c r="B608" s="14"/>
      <c r="C608" s="14">
        <f t="shared" si="136"/>
        <v>152</v>
      </c>
      <c r="D608" s="20">
        <v>43151</v>
      </c>
      <c r="E608" s="12"/>
      <c r="F608" s="12"/>
      <c r="G608" s="14"/>
      <c r="H608" s="14"/>
      <c r="I608" s="13" t="s">
        <v>71</v>
      </c>
      <c r="J608" s="14"/>
      <c r="K608" s="13">
        <v>28.4</v>
      </c>
      <c r="L608" s="14"/>
      <c r="M608" s="14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3.2">
      <c r="A609" s="14"/>
      <c r="B609" s="14"/>
      <c r="C609" s="14">
        <f t="shared" si="136"/>
        <v>153</v>
      </c>
      <c r="D609" s="20">
        <v>43152</v>
      </c>
      <c r="E609" s="12"/>
      <c r="F609" s="12"/>
      <c r="G609" s="14"/>
      <c r="H609" s="14"/>
      <c r="I609" s="13" t="s">
        <v>71</v>
      </c>
      <c r="J609" s="14"/>
      <c r="K609" s="13">
        <v>28</v>
      </c>
      <c r="L609" s="14"/>
      <c r="M609" s="14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3.2">
      <c r="A610" s="14"/>
      <c r="B610" s="14"/>
      <c r="C610" s="14">
        <f t="shared" si="136"/>
        <v>154</v>
      </c>
      <c r="D610" s="20">
        <v>43153</v>
      </c>
      <c r="E610" s="12"/>
      <c r="F610" s="12"/>
      <c r="G610" s="14"/>
      <c r="H610" s="14"/>
      <c r="I610" s="13" t="s">
        <v>71</v>
      </c>
      <c r="J610" s="14"/>
      <c r="K610" s="13">
        <v>27.6</v>
      </c>
      <c r="L610" s="14"/>
      <c r="M610" s="14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3.2">
      <c r="A611" s="14"/>
      <c r="B611" s="14"/>
      <c r="C611" s="14">
        <f t="shared" si="136"/>
        <v>155</v>
      </c>
      <c r="D611" s="20">
        <v>43154</v>
      </c>
      <c r="E611" s="12"/>
      <c r="F611" s="12"/>
      <c r="G611" s="14"/>
      <c r="H611" s="14"/>
      <c r="I611" s="13" t="s">
        <v>71</v>
      </c>
      <c r="J611" s="14"/>
      <c r="K611" s="13">
        <v>27</v>
      </c>
      <c r="L611" s="14"/>
      <c r="M611" s="14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3.2">
      <c r="A612" s="14"/>
      <c r="B612" s="14"/>
      <c r="C612" s="14">
        <f t="shared" si="136"/>
        <v>156</v>
      </c>
      <c r="D612" s="20">
        <v>43155</v>
      </c>
      <c r="E612" s="12"/>
      <c r="F612" s="12"/>
      <c r="G612" s="14"/>
      <c r="H612" s="14"/>
      <c r="I612" s="13">
        <v>66.8</v>
      </c>
      <c r="J612" s="14"/>
      <c r="K612" s="13">
        <v>26.8</v>
      </c>
      <c r="L612" s="14"/>
      <c r="M612" s="14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3.2">
      <c r="A613" s="14"/>
      <c r="B613" s="14"/>
      <c r="C613" s="14">
        <f t="shared" si="136"/>
        <v>157</v>
      </c>
      <c r="D613" s="20">
        <v>43156</v>
      </c>
      <c r="E613" s="12"/>
      <c r="F613" s="12"/>
      <c r="G613" s="14"/>
      <c r="H613" s="14"/>
      <c r="I613" s="13">
        <v>62.8</v>
      </c>
      <c r="J613" s="14"/>
      <c r="K613" s="13">
        <v>28.9</v>
      </c>
      <c r="L613" s="14"/>
      <c r="M613" s="14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3.2">
      <c r="A614" s="14"/>
      <c r="B614" s="14"/>
      <c r="C614" s="14">
        <f t="shared" si="136"/>
        <v>158</v>
      </c>
      <c r="D614" s="20">
        <v>43157</v>
      </c>
      <c r="E614" s="12"/>
      <c r="F614" s="12"/>
      <c r="G614" s="14"/>
      <c r="H614" s="14"/>
      <c r="I614" s="13">
        <v>58.7</v>
      </c>
      <c r="J614" s="14"/>
      <c r="K614" s="13">
        <v>30.3</v>
      </c>
      <c r="L614" s="14"/>
      <c r="M614" s="14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3.2">
      <c r="A615" s="14"/>
      <c r="B615" s="14"/>
      <c r="C615" s="14">
        <f t="shared" si="136"/>
        <v>159</v>
      </c>
      <c r="D615" s="20">
        <v>43158</v>
      </c>
      <c r="E615" s="12"/>
      <c r="F615" s="12"/>
      <c r="G615" s="14"/>
      <c r="H615" s="14"/>
      <c r="I615" s="13">
        <v>55.2</v>
      </c>
      <c r="J615" s="14"/>
      <c r="K615" s="13">
        <v>30</v>
      </c>
      <c r="L615" s="14"/>
      <c r="M615" s="14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3.2">
      <c r="A616" s="14"/>
      <c r="B616" s="14"/>
      <c r="C616" s="5">
        <v>166</v>
      </c>
      <c r="D616" s="20">
        <v>43165</v>
      </c>
      <c r="E616" s="12"/>
      <c r="F616" s="12"/>
      <c r="G616" s="14"/>
      <c r="H616" s="14"/>
      <c r="I616" s="13">
        <v>27.8</v>
      </c>
      <c r="J616" s="14"/>
      <c r="K616" s="13">
        <v>30.9</v>
      </c>
      <c r="L616" s="14"/>
      <c r="M616" s="14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3.2">
      <c r="A617" s="14"/>
      <c r="B617" s="14"/>
      <c r="C617" s="5">
        <v>173</v>
      </c>
      <c r="D617" s="20">
        <v>43172</v>
      </c>
      <c r="E617" s="12"/>
      <c r="F617" s="12"/>
      <c r="G617" s="14"/>
      <c r="H617" s="14"/>
      <c r="I617" s="13">
        <v>60.7</v>
      </c>
      <c r="J617" s="14"/>
      <c r="K617" s="13">
        <v>30.8</v>
      </c>
      <c r="L617" s="14"/>
      <c r="M617" s="14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3.2">
      <c r="A618" s="14"/>
      <c r="B618" s="14"/>
      <c r="C618" s="14"/>
      <c r="D618" s="14"/>
      <c r="E618" s="12"/>
      <c r="F618" s="12"/>
      <c r="G618" s="14"/>
      <c r="H618" s="14"/>
      <c r="I618" s="15"/>
      <c r="J618" s="14"/>
      <c r="K618" s="15"/>
      <c r="L618" s="14"/>
      <c r="M618" s="14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3.2">
      <c r="A619" s="14"/>
      <c r="B619" s="14"/>
      <c r="C619" s="14"/>
      <c r="D619" s="14"/>
      <c r="E619" s="12"/>
      <c r="F619" s="12"/>
      <c r="G619" s="14"/>
      <c r="H619" s="14"/>
      <c r="I619" s="15"/>
      <c r="J619" s="14"/>
      <c r="K619" s="15"/>
      <c r="L619" s="14"/>
      <c r="M619" s="14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3.2">
      <c r="A620" s="14"/>
      <c r="B620" s="14"/>
      <c r="C620" s="14"/>
      <c r="D620" s="14"/>
      <c r="E620" s="12"/>
      <c r="F620" s="12"/>
      <c r="G620" s="14"/>
      <c r="H620" s="14"/>
      <c r="I620" s="15"/>
      <c r="J620" s="14"/>
      <c r="K620" s="15"/>
      <c r="L620" s="14"/>
      <c r="M620" s="14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3.2">
      <c r="A621" s="14"/>
      <c r="B621" s="14"/>
      <c r="C621" s="14"/>
      <c r="D621" s="14"/>
      <c r="E621" s="12"/>
      <c r="F621" s="12"/>
      <c r="G621" s="14"/>
      <c r="H621" s="14"/>
      <c r="I621" s="15"/>
      <c r="J621" s="14"/>
      <c r="K621" s="15"/>
      <c r="L621" s="14"/>
      <c r="M621" s="14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3.2">
      <c r="A622" s="14"/>
      <c r="B622" s="14"/>
      <c r="C622" s="14"/>
      <c r="D622" s="14"/>
      <c r="E622" s="12"/>
      <c r="F622" s="12"/>
      <c r="G622" s="14"/>
      <c r="H622" s="14"/>
      <c r="I622" s="15"/>
      <c r="J622" s="14"/>
      <c r="K622" s="15"/>
      <c r="L622" s="14"/>
      <c r="M622" s="14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3.2">
      <c r="A623" s="14"/>
      <c r="B623" s="14"/>
      <c r="C623" s="14"/>
      <c r="D623" s="14"/>
      <c r="E623" s="12"/>
      <c r="F623" s="12"/>
      <c r="G623" s="14"/>
      <c r="H623" s="14"/>
      <c r="I623" s="15"/>
      <c r="J623" s="14"/>
      <c r="K623" s="15"/>
      <c r="L623" s="14"/>
      <c r="M623" s="14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3.2">
      <c r="A624" s="14"/>
      <c r="B624" s="14"/>
      <c r="C624" s="14"/>
      <c r="D624" s="14"/>
      <c r="E624" s="12"/>
      <c r="F624" s="12"/>
      <c r="G624" s="14"/>
      <c r="H624" s="14"/>
      <c r="I624" s="15"/>
      <c r="J624" s="14"/>
      <c r="K624" s="15"/>
      <c r="L624" s="14"/>
      <c r="M624" s="14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3.2">
      <c r="A625" s="72" t="s">
        <v>91</v>
      </c>
      <c r="B625" s="5">
        <v>0</v>
      </c>
      <c r="C625" s="5">
        <v>0</v>
      </c>
      <c r="D625" s="9">
        <v>42992</v>
      </c>
      <c r="E625" s="10">
        <v>349.1</v>
      </c>
      <c r="F625" s="11" t="s">
        <v>21</v>
      </c>
      <c r="G625" s="12">
        <f>AVERAGE(F626,F627,F628,F633)</f>
        <v>4.975000000000013</v>
      </c>
      <c r="H625" s="14"/>
      <c r="I625" s="13">
        <v>73.5</v>
      </c>
      <c r="J625" s="14"/>
      <c r="K625" s="13">
        <v>17.600000000000001</v>
      </c>
      <c r="L625" s="14"/>
      <c r="M625" s="14"/>
      <c r="N625" s="7"/>
      <c r="O625" s="7"/>
      <c r="P625" s="7">
        <f>SUM(O625:O637)-104.4</f>
        <v>333.59999999999991</v>
      </c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3.2">
      <c r="A626" s="5" t="s">
        <v>30</v>
      </c>
      <c r="B626" s="5">
        <v>0</v>
      </c>
      <c r="C626" s="5">
        <v>0</v>
      </c>
      <c r="D626" s="9">
        <v>42993</v>
      </c>
      <c r="E626" s="10">
        <v>343</v>
      </c>
      <c r="F626" s="12">
        <f>E625-E626</f>
        <v>6.1000000000000227</v>
      </c>
      <c r="G626" s="14"/>
      <c r="H626" s="14"/>
      <c r="I626" s="13">
        <v>69.2</v>
      </c>
      <c r="J626" s="16">
        <f t="shared" ref="J626:J629" si="137">(I625-I626)/(D626-D625)</f>
        <v>4.2999999999999972</v>
      </c>
      <c r="K626" s="13">
        <v>17.7</v>
      </c>
      <c r="L626" s="14"/>
      <c r="M626" s="14"/>
      <c r="N626" s="7"/>
      <c r="O626" s="75">
        <f>E630-E633</f>
        <v>34</v>
      </c>
      <c r="P626" s="7"/>
      <c r="Q626" s="7"/>
      <c r="R626" s="7"/>
      <c r="S626" s="73">
        <f>I630-I637</f>
        <v>60.5</v>
      </c>
      <c r="T626" s="7">
        <f>SUM(S626:S635)*5.24</f>
        <v>2554.5</v>
      </c>
      <c r="U626" s="7">
        <f>SUM(T625:T626)</f>
        <v>2554.5</v>
      </c>
      <c r="V626" s="7"/>
      <c r="W626" s="7"/>
      <c r="X626" s="7"/>
      <c r="Y626" s="7"/>
      <c r="Z626" s="7"/>
      <c r="AA626" s="7"/>
      <c r="AB626" s="7"/>
    </row>
    <row r="627" spans="1:28" ht="13.2">
      <c r="A627" s="5" t="s">
        <v>92</v>
      </c>
      <c r="B627" s="5">
        <v>0</v>
      </c>
      <c r="C627" s="5">
        <v>0</v>
      </c>
      <c r="D627" s="9">
        <v>42996</v>
      </c>
      <c r="E627" s="10">
        <v>326.8</v>
      </c>
      <c r="F627" s="12">
        <f t="shared" ref="F627:F629" si="138">(E626-E627)/(D627-D626)</f>
        <v>5.3999999999999959</v>
      </c>
      <c r="G627" s="14"/>
      <c r="H627" s="14"/>
      <c r="I627" s="13">
        <v>56.2</v>
      </c>
      <c r="J627" s="16">
        <f t="shared" si="137"/>
        <v>4.333333333333333</v>
      </c>
      <c r="K627" s="13">
        <v>17.7</v>
      </c>
      <c r="L627" s="14"/>
      <c r="M627" s="14"/>
      <c r="N627" s="7"/>
      <c r="O627" s="75">
        <f>E634-E637</f>
        <v>46.600000000000023</v>
      </c>
      <c r="P627" s="7"/>
      <c r="Q627" s="7"/>
      <c r="R627" s="7"/>
      <c r="S627" s="73">
        <f>93.5-I641</f>
        <v>78.3</v>
      </c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3.2">
      <c r="A628" s="14"/>
      <c r="B628" s="5">
        <v>0</v>
      </c>
      <c r="C628" s="5">
        <v>0</v>
      </c>
      <c r="D628" s="9">
        <v>42998</v>
      </c>
      <c r="E628" s="10">
        <v>318.89999999999998</v>
      </c>
      <c r="F628" s="12">
        <f t="shared" si="138"/>
        <v>3.9500000000000171</v>
      </c>
      <c r="G628" s="14"/>
      <c r="H628" s="14"/>
      <c r="I628" s="13">
        <v>48.5</v>
      </c>
      <c r="J628" s="16">
        <f t="shared" si="137"/>
        <v>3.8500000000000014</v>
      </c>
      <c r="K628" s="13">
        <v>17.2</v>
      </c>
      <c r="L628" s="14"/>
      <c r="M628" s="14"/>
      <c r="N628" s="7"/>
      <c r="O628" s="75">
        <f>E638-E641</f>
        <v>30.699999999999989</v>
      </c>
      <c r="P628" s="7"/>
      <c r="Q628" s="7"/>
      <c r="R628" s="7"/>
      <c r="S628" s="73">
        <f>I643-I644</f>
        <v>15.099999999999994</v>
      </c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3.2">
      <c r="A629" s="14"/>
      <c r="B629" s="5">
        <v>0</v>
      </c>
      <c r="C629" s="5">
        <v>0</v>
      </c>
      <c r="D629" s="17">
        <v>42999</v>
      </c>
      <c r="E629" s="10">
        <v>312.2</v>
      </c>
      <c r="F629" s="12">
        <f t="shared" si="138"/>
        <v>6.6999999999999886</v>
      </c>
      <c r="G629" s="14"/>
      <c r="H629" s="14"/>
      <c r="I629" s="13">
        <v>44.1</v>
      </c>
      <c r="J629" s="16">
        <f t="shared" si="137"/>
        <v>4.3999999999999986</v>
      </c>
      <c r="K629" s="13">
        <v>17.7</v>
      </c>
      <c r="L629" s="14"/>
      <c r="M629" s="14"/>
      <c r="N629" s="7"/>
      <c r="O629" s="75">
        <f>E642-E645</f>
        <v>36.5</v>
      </c>
      <c r="P629" s="7"/>
      <c r="Q629" s="7"/>
      <c r="R629" s="7"/>
      <c r="S629" s="73">
        <f>92.7-I648</f>
        <v>70.7</v>
      </c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3.2">
      <c r="A630" s="14"/>
      <c r="B630" s="5">
        <v>0.5</v>
      </c>
      <c r="C630" s="5">
        <v>0</v>
      </c>
      <c r="D630" s="17">
        <v>42999</v>
      </c>
      <c r="E630" s="10">
        <v>400.7</v>
      </c>
      <c r="F630" s="12"/>
      <c r="G630" s="14"/>
      <c r="H630" s="14"/>
      <c r="I630" s="13">
        <v>78.3</v>
      </c>
      <c r="J630" s="14"/>
      <c r="K630" s="13"/>
      <c r="L630" s="14"/>
      <c r="M630" s="14"/>
      <c r="N630" s="7"/>
      <c r="O630" s="75">
        <f>E646-E649</f>
        <v>39.800000000000011</v>
      </c>
      <c r="P630" s="7"/>
      <c r="Q630" s="7"/>
      <c r="R630" s="7"/>
      <c r="S630" s="73">
        <f>51-I652</f>
        <v>30.5</v>
      </c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3.2">
      <c r="A631" s="14"/>
      <c r="B631" s="5">
        <v>0.5</v>
      </c>
      <c r="C631" s="5">
        <f t="shared" ref="C631:C685" si="139">D631-$D$7</f>
        <v>1</v>
      </c>
      <c r="D631" s="17">
        <v>43000</v>
      </c>
      <c r="E631" s="10">
        <v>392.9</v>
      </c>
      <c r="F631" s="12">
        <f t="shared" ref="F631:F633" si="140">(E630-E631)/(D631-D630)</f>
        <v>7.8000000000000114</v>
      </c>
      <c r="G631" s="14"/>
      <c r="H631" s="14"/>
      <c r="I631" s="13">
        <v>74.400000000000006</v>
      </c>
      <c r="J631" s="16">
        <f t="shared" ref="J631:J633" si="141">(I630-I631)/(D631-D630)</f>
        <v>3.8999999999999915</v>
      </c>
      <c r="K631" s="13">
        <v>18</v>
      </c>
      <c r="L631" s="14"/>
      <c r="M631" s="14"/>
      <c r="N631" s="7"/>
      <c r="O631" s="75">
        <f>E650-E653</f>
        <v>36.5</v>
      </c>
      <c r="P631" s="7"/>
      <c r="Q631" s="7"/>
      <c r="R631" s="7"/>
      <c r="S631" s="73">
        <f>86.5-I656</f>
        <v>67.400000000000006</v>
      </c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3.2">
      <c r="A632" s="14"/>
      <c r="B632" s="5">
        <v>0.5</v>
      </c>
      <c r="C632" s="5">
        <f t="shared" si="139"/>
        <v>4</v>
      </c>
      <c r="D632" s="9">
        <v>43003</v>
      </c>
      <c r="E632" s="10">
        <v>375.6</v>
      </c>
      <c r="F632" s="12">
        <f t="shared" si="140"/>
        <v>5.7666666666666515</v>
      </c>
      <c r="G632" s="14"/>
      <c r="H632" s="14"/>
      <c r="I632" s="13">
        <v>54.1</v>
      </c>
      <c r="J632" s="16">
        <f t="shared" si="141"/>
        <v>6.7666666666666684</v>
      </c>
      <c r="K632" s="13">
        <v>18.899999999999999</v>
      </c>
      <c r="L632" s="14"/>
      <c r="M632" s="14"/>
      <c r="N632" s="7"/>
      <c r="O632" s="75">
        <f>E654-E657</f>
        <v>36.399999999999977</v>
      </c>
      <c r="P632" s="7"/>
      <c r="Q632" s="7"/>
      <c r="R632" s="7"/>
      <c r="S632" s="73">
        <f>70.9-I659</f>
        <v>24.400000000000006</v>
      </c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3.2">
      <c r="A633" s="14"/>
      <c r="B633" s="5">
        <v>0.5</v>
      </c>
      <c r="C633" s="5">
        <f t="shared" si="139"/>
        <v>6</v>
      </c>
      <c r="D633" s="9">
        <v>43005</v>
      </c>
      <c r="E633" s="10">
        <v>366.7</v>
      </c>
      <c r="F633" s="12">
        <f t="shared" si="140"/>
        <v>4.4500000000000171</v>
      </c>
      <c r="G633" s="14"/>
      <c r="H633" s="14"/>
      <c r="I633" s="13">
        <v>35.6</v>
      </c>
      <c r="J633" s="16">
        <f t="shared" si="141"/>
        <v>9.25</v>
      </c>
      <c r="K633" s="18">
        <v>20</v>
      </c>
      <c r="L633" s="14"/>
      <c r="M633" s="14"/>
      <c r="N633" s="7"/>
      <c r="O633" s="75">
        <f>E658-E661</f>
        <v>47</v>
      </c>
      <c r="P633" s="7"/>
      <c r="Q633" s="7"/>
      <c r="R633" s="7"/>
      <c r="S633" s="73">
        <f>I661-I666</f>
        <v>59</v>
      </c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3.2">
      <c r="A634" s="14"/>
      <c r="B634" s="76">
        <v>1</v>
      </c>
      <c r="C634" s="5">
        <f t="shared" si="139"/>
        <v>6</v>
      </c>
      <c r="D634" s="9">
        <v>43005</v>
      </c>
      <c r="E634" s="10">
        <v>317.3</v>
      </c>
      <c r="F634" s="11"/>
      <c r="H634" s="14"/>
      <c r="I634" s="13" t="s">
        <v>57</v>
      </c>
      <c r="J634" s="14"/>
      <c r="K634" s="13"/>
      <c r="L634" s="14"/>
      <c r="M634" s="14"/>
      <c r="N634" s="7"/>
      <c r="O634" s="75">
        <f>E662-E664</f>
        <v>25.799999999999955</v>
      </c>
      <c r="P634" s="7"/>
      <c r="Q634" s="7"/>
      <c r="R634" s="7"/>
      <c r="S634" s="73">
        <f>56-I670</f>
        <v>27.3</v>
      </c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3.2">
      <c r="A635" s="14"/>
      <c r="B635" s="5">
        <v>1</v>
      </c>
      <c r="C635" s="5">
        <f t="shared" si="139"/>
        <v>8</v>
      </c>
      <c r="D635" s="9">
        <v>43007</v>
      </c>
      <c r="E635" s="10">
        <v>304.89999999999998</v>
      </c>
      <c r="F635" s="12">
        <f t="shared" ref="F635:F637" si="142">(E634-E635)/(D635-D634)</f>
        <v>6.2000000000000171</v>
      </c>
      <c r="G635" s="14"/>
      <c r="H635" s="14"/>
      <c r="I635" s="13">
        <v>26.4</v>
      </c>
      <c r="J635" s="14">
        <f>(I633-I635)/(D635-D633)</f>
        <v>4.6000000000000014</v>
      </c>
      <c r="K635" s="13">
        <v>20</v>
      </c>
      <c r="L635" s="14"/>
      <c r="M635" s="14"/>
      <c r="N635" s="7"/>
      <c r="O635" s="75">
        <f>E665-E670</f>
        <v>45.099999999999966</v>
      </c>
      <c r="P635" s="7"/>
      <c r="Q635" s="7"/>
      <c r="R635" s="7"/>
      <c r="S635" s="73">
        <f>I674-I678</f>
        <v>54.300000000000004</v>
      </c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3.2">
      <c r="A636" s="14"/>
      <c r="B636" s="5">
        <v>1</v>
      </c>
      <c r="C636" s="5">
        <f t="shared" si="139"/>
        <v>11</v>
      </c>
      <c r="D636" s="19">
        <v>43010</v>
      </c>
      <c r="E636" s="11">
        <v>288.7</v>
      </c>
      <c r="F636" s="12">
        <f t="shared" si="142"/>
        <v>5.3999999999999959</v>
      </c>
      <c r="G636" s="14"/>
      <c r="H636" s="14"/>
      <c r="I636" s="13">
        <v>23.2</v>
      </c>
      <c r="J636" s="16">
        <f t="shared" ref="J636:J637" si="143">(I635-I636)/(D636-D635)</f>
        <v>1.0666666666666664</v>
      </c>
      <c r="K636" s="13">
        <v>21</v>
      </c>
      <c r="L636" s="14"/>
      <c r="M636" s="14"/>
      <c r="N636" s="7"/>
      <c r="O636" s="75">
        <f>E671-E674</f>
        <v>29.799999999999955</v>
      </c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3.2">
      <c r="A637" s="14"/>
      <c r="B637" s="5">
        <v>1</v>
      </c>
      <c r="C637" s="5">
        <f t="shared" si="139"/>
        <v>13</v>
      </c>
      <c r="D637" s="19">
        <v>43012</v>
      </c>
      <c r="E637" s="11">
        <v>270.7</v>
      </c>
      <c r="F637" s="12">
        <f t="shared" si="142"/>
        <v>9</v>
      </c>
      <c r="G637" s="14"/>
      <c r="H637" s="14"/>
      <c r="I637" s="13">
        <v>17.8</v>
      </c>
      <c r="J637" s="16">
        <f t="shared" si="143"/>
        <v>2.6999999999999993</v>
      </c>
      <c r="K637" s="13">
        <v>21.3</v>
      </c>
      <c r="L637" s="14"/>
      <c r="M637" s="14"/>
      <c r="N637" s="7"/>
      <c r="O637" s="75">
        <f>E675-E678</f>
        <v>29.800000000000011</v>
      </c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3.2">
      <c r="A638" s="14"/>
      <c r="B638" s="5">
        <v>2</v>
      </c>
      <c r="C638" s="5">
        <f t="shared" si="139"/>
        <v>14</v>
      </c>
      <c r="D638" s="20">
        <v>43013</v>
      </c>
      <c r="E638" s="11">
        <v>336</v>
      </c>
      <c r="F638" s="11"/>
      <c r="G638" s="14"/>
      <c r="H638" s="14"/>
      <c r="I638" s="13" t="s">
        <v>24</v>
      </c>
      <c r="J638" s="14"/>
      <c r="K638" s="13"/>
      <c r="L638" s="14"/>
      <c r="M638" s="14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3.2">
      <c r="A639" s="14"/>
      <c r="B639" s="5">
        <v>2</v>
      </c>
      <c r="C639" s="5">
        <f t="shared" si="139"/>
        <v>15</v>
      </c>
      <c r="D639" s="20">
        <v>43014</v>
      </c>
      <c r="E639" s="11">
        <v>329.1</v>
      </c>
      <c r="F639" s="12">
        <f t="shared" ref="F639:F640" si="144">(E638-E639)/(D639-D638)</f>
        <v>6.8999999999999773</v>
      </c>
      <c r="G639" s="14"/>
      <c r="H639" s="14"/>
      <c r="I639" s="13">
        <v>52.3</v>
      </c>
      <c r="J639" s="14">
        <f>(93.5-I639)/(D640-D637)</f>
        <v>8.24</v>
      </c>
      <c r="K639" s="13">
        <v>21.8</v>
      </c>
      <c r="L639" s="14"/>
      <c r="M639" s="14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3.2">
      <c r="A640" s="14"/>
      <c r="B640" s="5">
        <v>2</v>
      </c>
      <c r="C640" s="5">
        <f t="shared" si="139"/>
        <v>18</v>
      </c>
      <c r="D640" s="20">
        <v>43017</v>
      </c>
      <c r="E640" s="11">
        <v>314.39999999999998</v>
      </c>
      <c r="F640" s="12">
        <f t="shared" si="144"/>
        <v>4.9000000000000155</v>
      </c>
      <c r="G640" s="14"/>
      <c r="H640" s="14"/>
      <c r="I640" s="13">
        <v>38.299999999999997</v>
      </c>
      <c r="J640" s="16">
        <f t="shared" ref="J640:J641" si="145">(I639-I640)/(D640-D639)</f>
        <v>4.666666666666667</v>
      </c>
      <c r="K640" s="13">
        <v>23.1</v>
      </c>
      <c r="L640" s="14"/>
      <c r="M640" s="14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3.2">
      <c r="A641" s="14"/>
      <c r="B641" s="5">
        <v>2</v>
      </c>
      <c r="C641" s="5">
        <f t="shared" si="139"/>
        <v>20</v>
      </c>
      <c r="D641" s="20">
        <v>43019</v>
      </c>
      <c r="E641" s="11">
        <v>305.3</v>
      </c>
      <c r="F641" s="12">
        <f>(E640-E641)-(D641-D640)</f>
        <v>7.0999999999999659</v>
      </c>
      <c r="G641" s="14"/>
      <c r="H641" s="14"/>
      <c r="I641" s="13">
        <v>15.2</v>
      </c>
      <c r="J641" s="14">
        <f t="shared" si="145"/>
        <v>11.549999999999999</v>
      </c>
      <c r="K641" s="13">
        <v>23</v>
      </c>
      <c r="L641" s="14"/>
      <c r="M641" s="14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3.2">
      <c r="A642" s="14"/>
      <c r="B642" s="5">
        <v>3</v>
      </c>
      <c r="C642" s="5">
        <f t="shared" si="139"/>
        <v>21</v>
      </c>
      <c r="D642" s="20">
        <v>43020</v>
      </c>
      <c r="E642" s="11">
        <v>356</v>
      </c>
      <c r="F642" s="12"/>
      <c r="G642" s="14"/>
      <c r="H642" s="14"/>
      <c r="I642" s="15"/>
      <c r="J642" s="14"/>
      <c r="K642" s="15"/>
      <c r="L642" s="14"/>
      <c r="M642" s="14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3.2">
      <c r="A643" s="14"/>
      <c r="B643" s="5">
        <v>3</v>
      </c>
      <c r="C643" s="5">
        <f t="shared" si="139"/>
        <v>22</v>
      </c>
      <c r="D643" s="20">
        <f>D641+2</f>
        <v>43021</v>
      </c>
      <c r="E643" s="11">
        <v>348.9</v>
      </c>
      <c r="F643" s="12">
        <f t="shared" ref="F643:F645" si="146">(E642-E643)/(D643-D642)</f>
        <v>7.1000000000000227</v>
      </c>
      <c r="G643" s="12">
        <f>AVERAGE(F631:F674)</f>
        <v>6.5646464646464606</v>
      </c>
      <c r="H643" s="14"/>
      <c r="I643" s="13">
        <v>51.8</v>
      </c>
      <c r="J643" s="14"/>
      <c r="K643" s="13">
        <v>22.8</v>
      </c>
      <c r="L643" s="14"/>
      <c r="M643" s="14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3.2">
      <c r="A644" s="14"/>
      <c r="B644" s="5">
        <v>3</v>
      </c>
      <c r="C644" s="5">
        <f t="shared" si="139"/>
        <v>25</v>
      </c>
      <c r="D644" s="20">
        <f>D643+3</f>
        <v>43024</v>
      </c>
      <c r="E644" s="11">
        <v>331.8</v>
      </c>
      <c r="F644" s="12">
        <f t="shared" si="146"/>
        <v>5.6999999999999886</v>
      </c>
      <c r="G644" s="14"/>
      <c r="H644" s="14"/>
      <c r="I644" s="13">
        <v>36.700000000000003</v>
      </c>
      <c r="J644" s="14">
        <f>(I643-I644)/(D644-D643)</f>
        <v>5.0333333333333314</v>
      </c>
      <c r="K644" s="13">
        <v>22.7</v>
      </c>
      <c r="L644" s="14"/>
      <c r="M644" s="14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3.2">
      <c r="A645" s="14"/>
      <c r="B645" s="5">
        <v>3</v>
      </c>
      <c r="C645" s="5">
        <f t="shared" si="139"/>
        <v>27</v>
      </c>
      <c r="D645" s="20">
        <f>D644+2</f>
        <v>43026</v>
      </c>
      <c r="E645" s="11">
        <v>319.5</v>
      </c>
      <c r="F645" s="12">
        <f t="shared" si="146"/>
        <v>6.1500000000000057</v>
      </c>
      <c r="G645" s="14"/>
      <c r="H645" s="14"/>
      <c r="I645" s="13">
        <v>83.1</v>
      </c>
      <c r="J645" s="14">
        <f>(92.7-I645)/(D645-D644)</f>
        <v>4.8000000000000043</v>
      </c>
      <c r="K645" s="13">
        <v>23.5</v>
      </c>
      <c r="L645" s="14"/>
      <c r="M645" s="14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3.2">
      <c r="A646" s="14"/>
      <c r="B646" s="5">
        <v>4</v>
      </c>
      <c r="C646" s="5">
        <f t="shared" si="139"/>
        <v>28</v>
      </c>
      <c r="D646" s="20">
        <v>43027</v>
      </c>
      <c r="E646" s="11">
        <v>395</v>
      </c>
      <c r="F646" s="12"/>
      <c r="G646" s="14"/>
      <c r="H646" s="14"/>
      <c r="I646" s="15"/>
      <c r="J646" s="14"/>
      <c r="K646" s="15"/>
      <c r="L646" s="14"/>
      <c r="M646" s="14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3.2">
      <c r="A647" s="14"/>
      <c r="B647" s="5">
        <v>4</v>
      </c>
      <c r="C647" s="5">
        <f t="shared" si="139"/>
        <v>29</v>
      </c>
      <c r="D647" s="20">
        <f>D645+2</f>
        <v>43028</v>
      </c>
      <c r="E647" s="11">
        <v>387.7</v>
      </c>
      <c r="F647" s="12">
        <f t="shared" ref="F647:F649" si="147">(E646-E647)/(D647-D646)</f>
        <v>7.3000000000000114</v>
      </c>
      <c r="G647" s="14"/>
      <c r="H647" s="14"/>
      <c r="I647" s="13">
        <v>31.8</v>
      </c>
      <c r="J647" s="15"/>
      <c r="K647" s="13">
        <v>23.1</v>
      </c>
      <c r="L647" s="14"/>
      <c r="M647" s="14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3.2">
      <c r="A648" s="14"/>
      <c r="B648" s="5">
        <v>4</v>
      </c>
      <c r="C648" s="5">
        <f t="shared" si="139"/>
        <v>32</v>
      </c>
      <c r="D648" s="20">
        <v>43031</v>
      </c>
      <c r="E648" s="11">
        <v>372</v>
      </c>
      <c r="F648" s="12">
        <f t="shared" si="147"/>
        <v>5.2333333333333298</v>
      </c>
      <c r="G648" s="14"/>
      <c r="H648" s="14"/>
      <c r="I648" s="13">
        <v>22</v>
      </c>
      <c r="J648" s="15">
        <f>(I647-I648)/(D648-D647)</f>
        <v>3.2666666666666671</v>
      </c>
      <c r="K648" s="13">
        <v>22.9</v>
      </c>
      <c r="L648" s="14"/>
      <c r="M648" s="14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3.2">
      <c r="A649" s="14"/>
      <c r="B649" s="5">
        <v>4</v>
      </c>
      <c r="C649" s="5">
        <f t="shared" si="139"/>
        <v>34</v>
      </c>
      <c r="D649" s="20">
        <v>43033</v>
      </c>
      <c r="E649" s="11">
        <v>355.2</v>
      </c>
      <c r="F649" s="12">
        <f t="shared" si="147"/>
        <v>8.4000000000000057</v>
      </c>
      <c r="G649" s="14"/>
      <c r="H649" s="14"/>
      <c r="I649" s="13">
        <v>30.7</v>
      </c>
      <c r="J649" s="15">
        <f>(51-I649)/(D649-D648)</f>
        <v>10.15</v>
      </c>
      <c r="K649" s="13">
        <v>22.6</v>
      </c>
      <c r="L649" s="14"/>
      <c r="M649" s="14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3.2">
      <c r="A650" s="14"/>
      <c r="B650" s="5">
        <v>5</v>
      </c>
      <c r="C650" s="5">
        <f t="shared" si="139"/>
        <v>35</v>
      </c>
      <c r="D650" s="20">
        <v>43034</v>
      </c>
      <c r="E650" s="11">
        <v>345.2</v>
      </c>
      <c r="F650" s="12"/>
      <c r="G650" s="14"/>
      <c r="H650" s="14"/>
      <c r="I650" s="15"/>
      <c r="J650" s="15"/>
      <c r="K650" s="15"/>
      <c r="L650" s="14"/>
      <c r="M650" s="14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3.2">
      <c r="A651" s="14"/>
      <c r="B651" s="5">
        <v>5</v>
      </c>
      <c r="C651" s="5">
        <f t="shared" si="139"/>
        <v>36</v>
      </c>
      <c r="D651" s="20">
        <v>43035</v>
      </c>
      <c r="E651" s="11">
        <v>339.8</v>
      </c>
      <c r="F651" s="12">
        <f t="shared" ref="F651:F653" si="148">(E650-E651)/(D651-D650)</f>
        <v>5.3999999999999773</v>
      </c>
      <c r="G651" s="14"/>
      <c r="H651" s="14"/>
      <c r="I651" s="13">
        <v>20.100000000000001</v>
      </c>
      <c r="J651" s="15">
        <f>(I649-I651)/(D651-D649)</f>
        <v>5.2999999999999989</v>
      </c>
      <c r="K651" s="13">
        <v>22.8</v>
      </c>
      <c r="L651" s="14"/>
      <c r="M651" s="14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3.2">
      <c r="A652" s="14"/>
      <c r="B652" s="5">
        <v>5</v>
      </c>
      <c r="C652" s="5">
        <f t="shared" si="139"/>
        <v>39</v>
      </c>
      <c r="D652" s="20">
        <v>43038</v>
      </c>
      <c r="E652" s="11">
        <v>319.89999999999998</v>
      </c>
      <c r="F652" s="12">
        <f t="shared" si="148"/>
        <v>6.6333333333333444</v>
      </c>
      <c r="G652" s="14"/>
      <c r="H652" s="14"/>
      <c r="I652" s="13">
        <v>20.5</v>
      </c>
      <c r="J652" s="15">
        <f>(41-I652)/(D652-D651)</f>
        <v>6.833333333333333</v>
      </c>
      <c r="K652" s="13">
        <v>23.3</v>
      </c>
      <c r="L652" s="14"/>
      <c r="M652" s="14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3.2">
      <c r="A653" s="14"/>
      <c r="B653" s="5">
        <v>5</v>
      </c>
      <c r="C653" s="5">
        <f t="shared" si="139"/>
        <v>41</v>
      </c>
      <c r="D653" s="20">
        <v>43040</v>
      </c>
      <c r="E653" s="11">
        <v>308.7</v>
      </c>
      <c r="F653" s="12">
        <f t="shared" si="148"/>
        <v>5.5999999999999943</v>
      </c>
      <c r="G653" s="14"/>
      <c r="H653" s="14"/>
      <c r="I653" s="13">
        <v>74.400000000000006</v>
      </c>
      <c r="J653" s="15">
        <f>(86.5-I653)/(D653-D652)</f>
        <v>6.0499999999999972</v>
      </c>
      <c r="K653" s="13">
        <v>24.1</v>
      </c>
      <c r="L653" s="14"/>
      <c r="M653" s="14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3.2">
      <c r="A654" s="14"/>
      <c r="B654" s="5">
        <v>6</v>
      </c>
      <c r="C654" s="5">
        <f t="shared" si="139"/>
        <v>42</v>
      </c>
      <c r="D654" s="20">
        <v>43041</v>
      </c>
      <c r="E654" s="11">
        <v>332</v>
      </c>
      <c r="F654" s="12"/>
      <c r="G654" s="14"/>
      <c r="H654" s="14"/>
      <c r="I654" s="15"/>
      <c r="J654" s="14"/>
      <c r="K654" s="15"/>
      <c r="L654" s="14"/>
      <c r="M654" s="14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3.2">
      <c r="A655" s="14"/>
      <c r="B655" s="5">
        <v>6</v>
      </c>
      <c r="C655" s="5">
        <f t="shared" si="139"/>
        <v>43</v>
      </c>
      <c r="D655" s="20">
        <v>43042</v>
      </c>
      <c r="E655" s="11">
        <v>324</v>
      </c>
      <c r="F655" s="12">
        <f t="shared" ref="F655:F657" si="149">(E654-E655)/(D655-D654)</f>
        <v>8</v>
      </c>
      <c r="G655" s="14"/>
      <c r="H655" s="14"/>
      <c r="I655" s="13">
        <v>62.4</v>
      </c>
      <c r="J655" s="15">
        <f>(I653-I655)/(D655-D653)</f>
        <v>6.0000000000000036</v>
      </c>
      <c r="K655" s="13">
        <v>24.6</v>
      </c>
      <c r="L655" s="14"/>
      <c r="M655" s="14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3.2">
      <c r="A656" s="14"/>
      <c r="B656" s="5">
        <v>6</v>
      </c>
      <c r="C656" s="5">
        <f t="shared" si="139"/>
        <v>46</v>
      </c>
      <c r="D656" s="20">
        <v>43045</v>
      </c>
      <c r="E656" s="11">
        <v>306.2</v>
      </c>
      <c r="F656" s="12">
        <f t="shared" si="149"/>
        <v>5.9333333333333371</v>
      </c>
      <c r="G656" s="14"/>
      <c r="H656" s="14"/>
      <c r="I656" s="13">
        <v>19.100000000000001</v>
      </c>
      <c r="J656" s="15">
        <f>(41-I656)/(D656-D655)</f>
        <v>7.3</v>
      </c>
      <c r="K656" s="13">
        <v>25.8</v>
      </c>
      <c r="L656" s="14"/>
      <c r="M656" s="14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3.2">
      <c r="A657" s="14"/>
      <c r="B657" s="5">
        <v>6</v>
      </c>
      <c r="C657" s="5">
        <f t="shared" si="139"/>
        <v>48</v>
      </c>
      <c r="D657" s="20">
        <v>43047</v>
      </c>
      <c r="E657" s="11">
        <v>295.60000000000002</v>
      </c>
      <c r="F657" s="12">
        <f t="shared" si="149"/>
        <v>5.2999999999999829</v>
      </c>
      <c r="G657" s="14"/>
      <c r="H657" s="14"/>
      <c r="I657" s="13">
        <v>58.7</v>
      </c>
      <c r="J657" s="14">
        <f>(70.9-I657)/(D657-D656)</f>
        <v>6.1000000000000014</v>
      </c>
      <c r="K657" s="13">
        <v>27.1</v>
      </c>
      <c r="L657" s="14"/>
      <c r="M657" s="14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3.2">
      <c r="A658" s="14"/>
      <c r="B658" s="5">
        <v>7</v>
      </c>
      <c r="C658" s="5">
        <f t="shared" si="139"/>
        <v>49</v>
      </c>
      <c r="D658" s="20">
        <v>43048</v>
      </c>
      <c r="E658" s="11">
        <v>334.7</v>
      </c>
      <c r="F658" s="12"/>
      <c r="G658" s="14"/>
      <c r="H658" s="14"/>
      <c r="I658" s="15"/>
      <c r="J658" s="14"/>
      <c r="K658" s="15"/>
      <c r="L658" s="14"/>
      <c r="M658" s="14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3.2">
      <c r="A659" s="14"/>
      <c r="B659" s="5">
        <v>7</v>
      </c>
      <c r="C659" s="5">
        <f t="shared" si="139"/>
        <v>50</v>
      </c>
      <c r="D659" s="20">
        <v>43049</v>
      </c>
      <c r="E659" s="11">
        <v>325.60000000000002</v>
      </c>
      <c r="F659" s="12">
        <f t="shared" ref="F659:F661" si="150">(E658-E659)/(D659-D658)</f>
        <v>9.0999999999999659</v>
      </c>
      <c r="G659" s="14"/>
      <c r="H659" s="14"/>
      <c r="I659" s="13">
        <v>46.5</v>
      </c>
      <c r="J659" s="15">
        <f>(I657-I659)/(D659-D657)</f>
        <v>6.1000000000000014</v>
      </c>
      <c r="K659" s="13">
        <v>27.6</v>
      </c>
      <c r="L659" s="14"/>
      <c r="M659" s="14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3.2">
      <c r="A660" s="14"/>
      <c r="B660" s="5">
        <v>7</v>
      </c>
      <c r="C660" s="5">
        <f t="shared" si="139"/>
        <v>53</v>
      </c>
      <c r="D660" s="20">
        <v>43052</v>
      </c>
      <c r="E660" s="11">
        <v>310.7</v>
      </c>
      <c r="F660" s="12">
        <f t="shared" si="150"/>
        <v>4.9666666666666783</v>
      </c>
      <c r="G660" s="14"/>
      <c r="H660" s="14"/>
      <c r="I660" s="13">
        <v>22.7</v>
      </c>
      <c r="J660" s="15">
        <f>(41-I660)/(D660-D659)</f>
        <v>6.1000000000000005</v>
      </c>
      <c r="K660" s="13">
        <v>28.4</v>
      </c>
      <c r="L660" s="14"/>
      <c r="M660" s="14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3.2">
      <c r="A661" s="14"/>
      <c r="B661" s="5">
        <v>7</v>
      </c>
      <c r="C661" s="5">
        <f t="shared" si="139"/>
        <v>55</v>
      </c>
      <c r="D661" s="20">
        <v>43054</v>
      </c>
      <c r="E661" s="11">
        <v>287.7</v>
      </c>
      <c r="F661" s="12">
        <f t="shared" si="150"/>
        <v>11.5</v>
      </c>
      <c r="G661" s="14"/>
      <c r="H661" s="14"/>
      <c r="I661" s="13">
        <v>95.7</v>
      </c>
      <c r="J661" s="14"/>
      <c r="K661" s="13">
        <v>28.6</v>
      </c>
      <c r="L661" s="14"/>
      <c r="M661" s="14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3.2">
      <c r="A662" s="14"/>
      <c r="B662" s="5">
        <v>8</v>
      </c>
      <c r="C662" s="5">
        <f t="shared" si="139"/>
        <v>56</v>
      </c>
      <c r="D662" s="20">
        <v>43055</v>
      </c>
      <c r="E662" s="11">
        <v>328.4</v>
      </c>
      <c r="F662" s="12"/>
      <c r="G662" s="14"/>
      <c r="H662" s="14"/>
      <c r="I662" s="15"/>
      <c r="J662" s="14"/>
      <c r="K662" s="15"/>
      <c r="L662" s="14"/>
      <c r="M662" s="14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3.2">
      <c r="A663" s="14"/>
      <c r="B663" s="5">
        <v>8</v>
      </c>
      <c r="C663" s="5">
        <f t="shared" si="139"/>
        <v>57</v>
      </c>
      <c r="D663" s="20">
        <v>43056</v>
      </c>
      <c r="E663" s="11">
        <v>319.2</v>
      </c>
      <c r="F663" s="12">
        <f t="shared" ref="F663:F664" si="151">(E662-E663)/(D663-D662)</f>
        <v>9.1999999999999886</v>
      </c>
      <c r="G663" s="14"/>
      <c r="H663" s="14"/>
      <c r="I663" s="13">
        <v>79.7</v>
      </c>
      <c r="J663" s="14">
        <f>(I661-I663)/(D663-D661)</f>
        <v>8</v>
      </c>
      <c r="K663" s="13">
        <v>29.4</v>
      </c>
      <c r="L663" s="14"/>
      <c r="M663" s="14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3.2">
      <c r="A664" s="14"/>
      <c r="B664" s="5">
        <v>8</v>
      </c>
      <c r="C664" s="5">
        <f t="shared" si="139"/>
        <v>60</v>
      </c>
      <c r="D664" s="20">
        <v>43059</v>
      </c>
      <c r="E664" s="11">
        <v>302.60000000000002</v>
      </c>
      <c r="F664" s="12">
        <f t="shared" si="151"/>
        <v>5.5333333333333217</v>
      </c>
      <c r="G664" s="14"/>
      <c r="H664" s="14"/>
      <c r="I664" s="13">
        <v>49.9</v>
      </c>
      <c r="J664" s="16">
        <f>(I663-I664)/(D664-D663)</f>
        <v>9.9333333333333353</v>
      </c>
      <c r="K664" s="13">
        <v>30.2</v>
      </c>
      <c r="L664" s="14"/>
      <c r="M664" s="14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3.2">
      <c r="A665" s="14"/>
      <c r="B665" s="5">
        <v>8</v>
      </c>
      <c r="C665" s="5">
        <f t="shared" si="139"/>
        <v>61</v>
      </c>
      <c r="D665" s="20">
        <v>43060</v>
      </c>
      <c r="E665" s="11">
        <v>351.9</v>
      </c>
      <c r="F665" s="12"/>
      <c r="G665" s="14"/>
      <c r="H665" s="14"/>
      <c r="I665" s="15"/>
      <c r="J665" s="14"/>
      <c r="K665" s="15"/>
      <c r="L665" s="14"/>
      <c r="M665" s="14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3.2">
      <c r="A666" s="14"/>
      <c r="B666" s="5">
        <v>9</v>
      </c>
      <c r="C666" s="5">
        <f t="shared" si="139"/>
        <v>62</v>
      </c>
      <c r="D666" s="20">
        <v>43061</v>
      </c>
      <c r="E666" s="11">
        <v>341.7</v>
      </c>
      <c r="F666" s="12">
        <f>(E665-E666)/(D666-D665)</f>
        <v>10.199999999999989</v>
      </c>
      <c r="G666" s="14"/>
      <c r="H666" s="14"/>
      <c r="I666" s="13">
        <v>36.700000000000003</v>
      </c>
      <c r="J666" s="14">
        <f>(I664-I666)/(D666-D664)</f>
        <v>6.5999999999999979</v>
      </c>
      <c r="K666" s="13">
        <v>31</v>
      </c>
      <c r="L666" s="14"/>
      <c r="M666" s="14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3.2">
      <c r="A667" s="14"/>
      <c r="B667" s="5">
        <v>9</v>
      </c>
      <c r="C667" s="5">
        <f t="shared" si="139"/>
        <v>63</v>
      </c>
      <c r="D667" s="20">
        <v>43062</v>
      </c>
      <c r="E667" s="11"/>
      <c r="F667" s="12"/>
      <c r="G667" s="14"/>
      <c r="H667" s="14"/>
      <c r="I667" s="13"/>
      <c r="J667" s="14"/>
      <c r="K667" s="13"/>
      <c r="L667" s="14"/>
      <c r="M667" s="14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3.2">
      <c r="A668" s="14"/>
      <c r="B668" s="5">
        <v>9</v>
      </c>
      <c r="C668" s="5">
        <f t="shared" si="139"/>
        <v>64</v>
      </c>
      <c r="D668" s="20">
        <v>43063</v>
      </c>
      <c r="E668" s="11">
        <v>331.4</v>
      </c>
      <c r="F668" s="12">
        <f>(E666-E668)/(D668-D666)</f>
        <v>5.1500000000000057</v>
      </c>
      <c r="G668" s="14"/>
      <c r="H668" s="14"/>
      <c r="I668" s="13">
        <v>45.4</v>
      </c>
      <c r="J668" s="14">
        <f>(56-I668)/(D668-D666)</f>
        <v>5.3000000000000007</v>
      </c>
      <c r="K668" s="13">
        <v>31.6</v>
      </c>
      <c r="L668" s="14"/>
      <c r="M668" s="14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3.2">
      <c r="A669" s="14"/>
      <c r="B669" s="5">
        <v>9</v>
      </c>
      <c r="C669" s="5">
        <f t="shared" si="139"/>
        <v>67</v>
      </c>
      <c r="D669" s="23">
        <v>43066</v>
      </c>
      <c r="E669" s="11">
        <v>317.8</v>
      </c>
      <c r="F669" s="12">
        <f t="shared" ref="F669:F670" si="152">(E668-E669)/(D669-D668)</f>
        <v>4.5333333333333217</v>
      </c>
      <c r="G669" s="14"/>
      <c r="H669" s="14"/>
      <c r="I669" s="13">
        <v>40.299999999999997</v>
      </c>
      <c r="J669" s="16">
        <f>(60.9-I669)/(D669-D668)</f>
        <v>6.8666666666666671</v>
      </c>
      <c r="K669" s="13">
        <v>33.299999999999997</v>
      </c>
      <c r="L669" s="14"/>
      <c r="M669" s="14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3.2">
      <c r="A670" s="14"/>
      <c r="B670" s="5">
        <v>9</v>
      </c>
      <c r="C670" s="5">
        <f t="shared" si="139"/>
        <v>69</v>
      </c>
      <c r="D670" s="23">
        <v>43068</v>
      </c>
      <c r="E670" s="11">
        <v>306.8</v>
      </c>
      <c r="F670" s="12">
        <f t="shared" si="152"/>
        <v>5.5</v>
      </c>
      <c r="G670" s="14"/>
      <c r="H670" s="14"/>
      <c r="I670" s="13">
        <v>28.7</v>
      </c>
      <c r="J670" s="14"/>
      <c r="K670" s="13">
        <v>32.6</v>
      </c>
      <c r="L670" s="14"/>
      <c r="M670" s="14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3.2">
      <c r="A671" s="14"/>
      <c r="B671" s="5">
        <v>10</v>
      </c>
      <c r="C671" s="5">
        <f t="shared" si="139"/>
        <v>70</v>
      </c>
      <c r="D671" s="23">
        <v>43069</v>
      </c>
      <c r="E671" s="11">
        <v>318.89999999999998</v>
      </c>
      <c r="F671" s="12"/>
      <c r="G671" s="14"/>
      <c r="H671" s="14"/>
      <c r="I671" s="15"/>
      <c r="J671" s="14"/>
      <c r="K671" s="15"/>
      <c r="L671" s="14"/>
      <c r="M671" s="14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3.2">
      <c r="A672" s="14"/>
      <c r="B672" s="5">
        <v>10</v>
      </c>
      <c r="C672" s="5">
        <f t="shared" si="139"/>
        <v>71</v>
      </c>
      <c r="D672" s="23">
        <v>43070</v>
      </c>
      <c r="E672" s="11">
        <v>311.60000000000002</v>
      </c>
      <c r="F672" s="12">
        <f t="shared" ref="F672:F674" si="153">(E671-E672)/(D672-D671)</f>
        <v>7.2999999999999545</v>
      </c>
      <c r="G672" s="14"/>
      <c r="H672" s="14"/>
      <c r="I672" s="13">
        <v>68.2</v>
      </c>
      <c r="J672" s="14">
        <f>(86-I672)/(D672-D670)</f>
        <v>8.8999999999999986</v>
      </c>
      <c r="K672" s="13">
        <v>33.799999999999997</v>
      </c>
      <c r="L672" s="14"/>
      <c r="M672" s="14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3.2">
      <c r="A673" s="14"/>
      <c r="B673" s="5">
        <v>10</v>
      </c>
      <c r="C673" s="5">
        <f t="shared" si="139"/>
        <v>74</v>
      </c>
      <c r="D673" s="23">
        <v>43073</v>
      </c>
      <c r="E673" s="11">
        <v>300.39999999999998</v>
      </c>
      <c r="F673" s="12">
        <f t="shared" si="153"/>
        <v>3.7333333333333485</v>
      </c>
      <c r="G673" s="14"/>
      <c r="H673" s="14"/>
      <c r="I673" s="13">
        <v>46.2</v>
      </c>
      <c r="J673" s="16">
        <f>(I672-I673)/(D673-D672)</f>
        <v>7.333333333333333</v>
      </c>
      <c r="K673" s="13">
        <v>34.4</v>
      </c>
      <c r="L673" s="14"/>
      <c r="M673" s="14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3.2">
      <c r="A674" s="14"/>
      <c r="B674" s="5">
        <v>10</v>
      </c>
      <c r="C674" s="5">
        <f t="shared" si="139"/>
        <v>76</v>
      </c>
      <c r="D674" s="23">
        <v>43075</v>
      </c>
      <c r="E674" s="11">
        <v>289.10000000000002</v>
      </c>
      <c r="F674" s="12">
        <f t="shared" si="153"/>
        <v>5.6499999999999773</v>
      </c>
      <c r="G674" s="14"/>
      <c r="H674" s="14"/>
      <c r="I674" s="13">
        <v>79.2</v>
      </c>
      <c r="J674" s="16"/>
      <c r="K674" s="13">
        <v>35</v>
      </c>
      <c r="L674" s="14"/>
      <c r="M674" s="14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3.2">
      <c r="A675" s="14"/>
      <c r="B675" s="5">
        <v>11</v>
      </c>
      <c r="C675" s="5">
        <f t="shared" si="139"/>
        <v>77</v>
      </c>
      <c r="D675" s="24">
        <v>43076</v>
      </c>
      <c r="E675" s="11">
        <v>346.2</v>
      </c>
      <c r="F675" s="12"/>
      <c r="G675" s="14"/>
      <c r="H675" s="14"/>
      <c r="K675" s="126"/>
      <c r="L675" s="14"/>
      <c r="M675" s="14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3.2">
      <c r="A676" s="14"/>
      <c r="B676" s="5">
        <v>11</v>
      </c>
      <c r="C676" s="5">
        <f t="shared" si="139"/>
        <v>78</v>
      </c>
      <c r="D676" s="24">
        <v>43077</v>
      </c>
      <c r="E676" s="11">
        <v>339</v>
      </c>
      <c r="F676" s="12">
        <f t="shared" ref="F676:F678" si="154">(E675-E676)/(D676-D675)</f>
        <v>7.1999999999999886</v>
      </c>
      <c r="G676" s="14"/>
      <c r="H676" s="14"/>
      <c r="I676" s="13">
        <v>44.2</v>
      </c>
      <c r="J676" s="14"/>
      <c r="K676" s="13">
        <v>35.4</v>
      </c>
      <c r="L676" s="14"/>
      <c r="M676" s="14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3.2">
      <c r="A677" s="14"/>
      <c r="B677" s="5">
        <v>11</v>
      </c>
      <c r="C677" s="5">
        <f t="shared" si="139"/>
        <v>81</v>
      </c>
      <c r="D677" s="24">
        <v>43080</v>
      </c>
      <c r="E677" s="11">
        <v>329.1</v>
      </c>
      <c r="F677" s="12">
        <f t="shared" si="154"/>
        <v>3.2999999999999923</v>
      </c>
      <c r="G677" s="14"/>
      <c r="H677" s="14"/>
      <c r="I677" s="13">
        <v>35.9</v>
      </c>
      <c r="J677" s="14">
        <f t="shared" ref="J677:J678" si="155">(I676-I677)/(D677-D676)</f>
        <v>2.7666666666666679</v>
      </c>
      <c r="K677" s="13">
        <v>35.6</v>
      </c>
      <c r="L677" s="14"/>
      <c r="M677" s="14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3.2">
      <c r="A678" s="14"/>
      <c r="B678" s="5">
        <v>11</v>
      </c>
      <c r="C678" s="5">
        <f t="shared" si="139"/>
        <v>83</v>
      </c>
      <c r="D678" s="25">
        <v>43082</v>
      </c>
      <c r="E678" s="11">
        <v>316.39999999999998</v>
      </c>
      <c r="F678" s="12">
        <f t="shared" si="154"/>
        <v>6.3500000000000227</v>
      </c>
      <c r="G678" s="14"/>
      <c r="H678" s="14"/>
      <c r="I678" s="13">
        <v>24.9</v>
      </c>
      <c r="J678" s="14">
        <f t="shared" si="155"/>
        <v>5.5</v>
      </c>
      <c r="K678" s="13">
        <v>36.4</v>
      </c>
      <c r="L678" s="14"/>
      <c r="M678" s="14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3.2">
      <c r="A679" s="14"/>
      <c r="B679" s="5">
        <v>12</v>
      </c>
      <c r="C679" s="5">
        <f t="shared" si="139"/>
        <v>84</v>
      </c>
      <c r="D679" s="24">
        <v>43083</v>
      </c>
      <c r="E679" s="12"/>
      <c r="F679" s="12"/>
      <c r="G679" s="14"/>
      <c r="H679" s="14"/>
      <c r="I679" s="15"/>
      <c r="J679" s="14"/>
      <c r="K679" s="13">
        <v>35.700000000000003</v>
      </c>
      <c r="L679" s="14"/>
      <c r="M679" s="14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3.2">
      <c r="A680" s="80"/>
      <c r="B680" s="76">
        <v>12</v>
      </c>
      <c r="C680" s="76">
        <f t="shared" si="139"/>
        <v>85</v>
      </c>
      <c r="D680" s="90">
        <v>43084</v>
      </c>
      <c r="E680" s="91"/>
      <c r="F680" s="91"/>
      <c r="G680" s="80"/>
      <c r="H680" s="80"/>
      <c r="I680" s="92"/>
      <c r="J680" s="80"/>
      <c r="K680" s="128">
        <v>35.700000000000003</v>
      </c>
      <c r="L680" s="80"/>
      <c r="M680" s="80"/>
      <c r="N680" s="93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3.2">
      <c r="A681" s="14"/>
      <c r="B681" s="5">
        <v>12</v>
      </c>
      <c r="C681" s="5">
        <f t="shared" si="139"/>
        <v>98</v>
      </c>
      <c r="D681" s="32">
        <v>43097</v>
      </c>
      <c r="E681" s="12"/>
      <c r="F681" s="12"/>
      <c r="G681" s="14"/>
      <c r="H681" s="14"/>
      <c r="I681" s="33">
        <v>67.400000000000006</v>
      </c>
      <c r="J681" s="14"/>
      <c r="K681" s="33">
        <v>40.6</v>
      </c>
      <c r="L681" s="14"/>
      <c r="M681" s="14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3.2">
      <c r="A682" s="14"/>
      <c r="B682" s="5">
        <v>12</v>
      </c>
      <c r="C682" s="5">
        <f t="shared" si="139"/>
        <v>105</v>
      </c>
      <c r="D682" s="32">
        <v>43104</v>
      </c>
      <c r="E682" s="12"/>
      <c r="F682" s="12"/>
      <c r="G682" s="14"/>
      <c r="H682" s="14"/>
      <c r="I682" s="33">
        <v>42.8</v>
      </c>
      <c r="J682" s="14"/>
      <c r="K682" s="33">
        <v>42.3</v>
      </c>
      <c r="L682" s="14"/>
      <c r="M682" s="14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3.2">
      <c r="A683" s="14"/>
      <c r="B683" s="14"/>
      <c r="C683" s="5">
        <f t="shared" si="139"/>
        <v>112</v>
      </c>
      <c r="D683" s="32">
        <v>43111</v>
      </c>
      <c r="E683" s="12"/>
      <c r="F683" s="12"/>
      <c r="G683" s="14"/>
      <c r="H683" s="14"/>
      <c r="I683" s="33">
        <v>38.200000000000003</v>
      </c>
      <c r="J683" s="14"/>
      <c r="K683" s="33">
        <v>33.5</v>
      </c>
      <c r="L683" s="14"/>
      <c r="M683" s="14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3.2">
      <c r="A684" s="14"/>
      <c r="B684" s="14"/>
      <c r="C684" s="5">
        <f t="shared" si="139"/>
        <v>116</v>
      </c>
      <c r="D684" s="94">
        <v>43115</v>
      </c>
      <c r="E684" s="12"/>
      <c r="F684" s="12"/>
      <c r="G684" s="14"/>
      <c r="H684" s="14"/>
      <c r="I684" s="33">
        <v>31.8</v>
      </c>
      <c r="J684" s="14"/>
      <c r="K684" s="33">
        <v>34.4</v>
      </c>
      <c r="L684" s="14"/>
      <c r="M684" s="14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3.2">
      <c r="A685" s="14"/>
      <c r="B685" s="14"/>
      <c r="C685" s="5">
        <f t="shared" si="139"/>
        <v>117</v>
      </c>
      <c r="D685" s="32">
        <v>43116</v>
      </c>
      <c r="E685" s="12"/>
      <c r="F685" s="12"/>
      <c r="G685" s="14"/>
      <c r="H685" s="14"/>
      <c r="I685" s="33">
        <v>29.8</v>
      </c>
      <c r="J685" s="14"/>
      <c r="K685" s="33">
        <v>34.4</v>
      </c>
      <c r="L685" s="14"/>
      <c r="M685" s="14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3.2">
      <c r="A686" s="14"/>
      <c r="B686" s="14"/>
      <c r="C686" s="5">
        <v>118</v>
      </c>
      <c r="D686" s="32">
        <v>43117</v>
      </c>
      <c r="E686" s="12"/>
      <c r="F686" s="12"/>
      <c r="G686" s="14"/>
      <c r="H686" s="14"/>
      <c r="I686" s="132">
        <v>63.1</v>
      </c>
      <c r="J686" s="14"/>
      <c r="K686" s="33">
        <v>35</v>
      </c>
      <c r="L686" s="14"/>
      <c r="M686" s="14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26.4">
      <c r="A687" s="5" t="s">
        <v>94</v>
      </c>
      <c r="B687" s="14"/>
      <c r="C687" s="5">
        <v>119</v>
      </c>
      <c r="D687" s="122">
        <v>43118</v>
      </c>
      <c r="E687" s="12"/>
      <c r="F687" s="12"/>
      <c r="G687" s="14"/>
      <c r="H687" s="14"/>
      <c r="I687" s="133">
        <v>59.9</v>
      </c>
      <c r="J687" s="14"/>
      <c r="K687" s="127">
        <v>35.700000000000003</v>
      </c>
      <c r="L687" s="14"/>
      <c r="M687" s="14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3.2">
      <c r="A688" s="14"/>
      <c r="B688" s="14"/>
      <c r="C688" s="5">
        <v>120</v>
      </c>
      <c r="D688" s="122">
        <v>43119</v>
      </c>
      <c r="E688" s="12"/>
      <c r="F688" s="12"/>
      <c r="G688" s="14"/>
      <c r="H688" s="14"/>
      <c r="I688" s="127" t="s">
        <v>71</v>
      </c>
      <c r="J688" s="14"/>
      <c r="K688" s="127">
        <v>35.200000000000003</v>
      </c>
      <c r="L688" s="14"/>
      <c r="M688" s="14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3.2">
      <c r="A689" s="14"/>
      <c r="B689" s="14"/>
      <c r="C689" s="5">
        <v>121</v>
      </c>
      <c r="D689" s="122">
        <v>43120</v>
      </c>
      <c r="E689" s="12"/>
      <c r="F689" s="12"/>
      <c r="G689" s="14"/>
      <c r="H689" s="14"/>
      <c r="I689" s="127" t="s">
        <v>71</v>
      </c>
      <c r="J689" s="14"/>
      <c r="K689" s="127">
        <v>35</v>
      </c>
      <c r="L689" s="14"/>
      <c r="M689" s="14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3.2">
      <c r="A690" s="14"/>
      <c r="B690" s="14"/>
      <c r="C690" s="5">
        <v>122</v>
      </c>
      <c r="D690" s="122">
        <v>43121</v>
      </c>
      <c r="E690" s="12"/>
      <c r="F690" s="12"/>
      <c r="G690" s="14"/>
      <c r="H690" s="14"/>
      <c r="I690" s="127" t="s">
        <v>71</v>
      </c>
      <c r="J690" s="14"/>
      <c r="K690" s="127">
        <v>35.1</v>
      </c>
      <c r="L690" s="14"/>
      <c r="M690" s="14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3.2">
      <c r="A691" s="14"/>
      <c r="B691" s="14"/>
      <c r="C691" s="5">
        <v>123</v>
      </c>
      <c r="D691" s="122">
        <v>43122</v>
      </c>
      <c r="E691" s="12"/>
      <c r="F691" s="12"/>
      <c r="G691" s="14"/>
      <c r="H691" s="14"/>
      <c r="I691" s="127" t="s">
        <v>71</v>
      </c>
      <c r="J691" s="14"/>
      <c r="K691" s="127">
        <v>34.9</v>
      </c>
      <c r="L691" s="14"/>
      <c r="M691" s="14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3.2">
      <c r="A692" s="14"/>
      <c r="B692" s="14"/>
      <c r="C692" s="5">
        <v>124</v>
      </c>
      <c r="D692" s="122">
        <v>43123</v>
      </c>
      <c r="E692" s="12"/>
      <c r="F692" s="12"/>
      <c r="G692" s="14"/>
      <c r="H692" s="14"/>
      <c r="I692" s="127" t="s">
        <v>71</v>
      </c>
      <c r="J692" s="14"/>
      <c r="K692" s="127">
        <v>34.700000000000003</v>
      </c>
      <c r="L692" s="14"/>
      <c r="M692" s="14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3.2">
      <c r="A693" s="14"/>
      <c r="B693" s="14"/>
      <c r="C693" s="5">
        <v>125</v>
      </c>
      <c r="D693" s="119">
        <v>43124</v>
      </c>
      <c r="E693" s="12"/>
      <c r="F693" s="12"/>
      <c r="G693" s="14"/>
      <c r="H693" s="14"/>
      <c r="I693" s="127" t="s">
        <v>71</v>
      </c>
      <c r="J693" s="14"/>
      <c r="K693" s="127">
        <v>34.700000000000003</v>
      </c>
      <c r="L693" s="14"/>
      <c r="M693" s="14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3.2">
      <c r="A694" s="14"/>
      <c r="B694" s="14"/>
      <c r="C694" s="5">
        <v>126</v>
      </c>
      <c r="D694" s="119">
        <v>43125</v>
      </c>
      <c r="E694" s="12"/>
      <c r="F694" s="12"/>
      <c r="G694" s="14"/>
      <c r="H694" s="14"/>
      <c r="I694" s="127" t="s">
        <v>71</v>
      </c>
      <c r="J694" s="14"/>
      <c r="K694" s="127">
        <v>34.700000000000003</v>
      </c>
      <c r="L694" s="14"/>
      <c r="M694" s="14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3.2">
      <c r="A695" s="14"/>
      <c r="B695" s="14"/>
      <c r="C695" s="5">
        <v>127</v>
      </c>
      <c r="D695" s="119">
        <v>43126</v>
      </c>
      <c r="E695" s="12"/>
      <c r="F695" s="12"/>
      <c r="G695" s="14"/>
      <c r="H695" s="14"/>
      <c r="I695" s="127" t="s">
        <v>71</v>
      </c>
      <c r="J695" s="14"/>
      <c r="K695" s="127">
        <v>34.6</v>
      </c>
      <c r="L695" s="14"/>
      <c r="M695" s="14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3.2">
      <c r="A696" s="14"/>
      <c r="B696" s="14"/>
      <c r="C696" s="5">
        <v>128</v>
      </c>
      <c r="D696" s="119">
        <v>43127</v>
      </c>
      <c r="E696" s="12"/>
      <c r="F696" s="12"/>
      <c r="G696" s="14"/>
      <c r="H696" s="14"/>
      <c r="I696" s="127" t="s">
        <v>71</v>
      </c>
      <c r="J696" s="14"/>
      <c r="K696" s="127">
        <v>34.9</v>
      </c>
      <c r="L696" s="14"/>
      <c r="M696" s="14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3.2">
      <c r="A697" s="14"/>
      <c r="B697" s="14"/>
      <c r="C697" s="5">
        <v>129</v>
      </c>
      <c r="D697" s="119">
        <v>43128</v>
      </c>
      <c r="E697" s="12"/>
      <c r="F697" s="12"/>
      <c r="G697" s="14"/>
      <c r="H697" s="14"/>
      <c r="I697" s="127" t="s">
        <v>71</v>
      </c>
      <c r="J697" s="14"/>
      <c r="K697" s="127">
        <v>34.700000000000003</v>
      </c>
      <c r="L697" s="14"/>
      <c r="M697" s="14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3.2">
      <c r="A698" s="14"/>
      <c r="B698" s="14"/>
      <c r="C698" s="5">
        <v>130</v>
      </c>
      <c r="D698" s="119">
        <v>43129</v>
      </c>
      <c r="E698" s="12"/>
      <c r="F698" s="12"/>
      <c r="G698" s="14"/>
      <c r="H698" s="14"/>
      <c r="I698" s="127" t="s">
        <v>71</v>
      </c>
      <c r="J698" s="14"/>
      <c r="K698" s="127">
        <v>34.200000000000003</v>
      </c>
      <c r="L698" s="14"/>
      <c r="M698" s="14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3.2">
      <c r="A699" s="14"/>
      <c r="B699" s="14"/>
      <c r="C699" s="5">
        <v>131</v>
      </c>
      <c r="D699" s="119">
        <v>43130</v>
      </c>
      <c r="E699" s="12"/>
      <c r="F699" s="12"/>
      <c r="G699" s="14"/>
      <c r="H699" s="14"/>
      <c r="I699" s="127" t="s">
        <v>71</v>
      </c>
      <c r="J699" s="14"/>
      <c r="K699" s="127">
        <v>33.5</v>
      </c>
      <c r="L699" s="14"/>
      <c r="M699" s="14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3.2">
      <c r="A700" s="14"/>
      <c r="B700" s="14"/>
      <c r="C700" s="5">
        <v>132</v>
      </c>
      <c r="D700" s="122">
        <v>43131</v>
      </c>
      <c r="E700" s="12"/>
      <c r="F700" s="12"/>
      <c r="G700" s="14"/>
      <c r="H700" s="14"/>
      <c r="I700" s="127" t="s">
        <v>71</v>
      </c>
      <c r="J700" s="14"/>
      <c r="K700" s="127">
        <v>33</v>
      </c>
      <c r="L700" s="14"/>
      <c r="M700" s="14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3.2">
      <c r="A701" s="14"/>
      <c r="B701" s="14"/>
      <c r="C701" s="5">
        <v>133</v>
      </c>
      <c r="D701" s="32">
        <v>43132</v>
      </c>
      <c r="E701" s="12"/>
      <c r="F701" s="12"/>
      <c r="G701" s="14"/>
      <c r="H701" s="14"/>
      <c r="I701" s="127" t="s">
        <v>71</v>
      </c>
      <c r="J701" s="14"/>
      <c r="K701" s="127">
        <v>32.9</v>
      </c>
      <c r="L701" s="14"/>
      <c r="M701" s="14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3.2">
      <c r="A702" s="14"/>
      <c r="B702" s="14"/>
      <c r="C702" s="5">
        <v>134</v>
      </c>
      <c r="D702" s="32">
        <v>43133</v>
      </c>
      <c r="E702" s="12"/>
      <c r="F702" s="12"/>
      <c r="G702" s="14"/>
      <c r="H702" s="14"/>
      <c r="I702" s="134" t="s">
        <v>71</v>
      </c>
      <c r="J702" s="14"/>
      <c r="K702" s="127">
        <v>32.4</v>
      </c>
      <c r="L702" s="14"/>
      <c r="M702" s="14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3.2">
      <c r="A703" s="14"/>
      <c r="B703" s="14"/>
      <c r="C703" s="5">
        <v>135</v>
      </c>
      <c r="D703" s="32">
        <v>43134</v>
      </c>
      <c r="E703" s="12"/>
      <c r="F703" s="12"/>
      <c r="G703" s="14"/>
      <c r="H703" s="14"/>
      <c r="I703" s="134" t="s">
        <v>71</v>
      </c>
      <c r="J703" s="14"/>
      <c r="K703" s="127">
        <v>31.9</v>
      </c>
      <c r="L703" s="14"/>
      <c r="M703" s="14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3.2">
      <c r="A704" s="14"/>
      <c r="B704" s="14"/>
      <c r="C704" s="5">
        <v>136</v>
      </c>
      <c r="D704" s="32">
        <v>43135</v>
      </c>
      <c r="E704" s="12"/>
      <c r="F704" s="12"/>
      <c r="G704" s="14"/>
      <c r="H704" s="14"/>
      <c r="I704" s="134" t="s">
        <v>71</v>
      </c>
      <c r="J704" s="14"/>
      <c r="K704" s="127">
        <v>31.6</v>
      </c>
      <c r="L704" s="14"/>
      <c r="M704" s="14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3.2">
      <c r="A705" s="14"/>
      <c r="B705" s="14"/>
      <c r="C705" s="5">
        <v>137</v>
      </c>
      <c r="D705" s="32">
        <v>43136</v>
      </c>
      <c r="E705" s="12"/>
      <c r="F705" s="12"/>
      <c r="G705" s="14"/>
      <c r="H705" s="14"/>
      <c r="I705" s="134" t="s">
        <v>71</v>
      </c>
      <c r="J705" s="14"/>
      <c r="K705" s="127">
        <v>31</v>
      </c>
      <c r="L705" s="14"/>
      <c r="M705" s="14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3.2">
      <c r="A706" s="14"/>
      <c r="B706" s="14"/>
      <c r="C706" s="5">
        <v>138</v>
      </c>
      <c r="D706" s="32">
        <v>43137</v>
      </c>
      <c r="E706" s="12"/>
      <c r="F706" s="12"/>
      <c r="G706" s="14"/>
      <c r="H706" s="14"/>
      <c r="I706" s="134" t="s">
        <v>71</v>
      </c>
      <c r="J706" s="14"/>
      <c r="K706" s="127">
        <v>31.1</v>
      </c>
      <c r="L706" s="14"/>
      <c r="M706" s="14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3.2">
      <c r="A707" s="14"/>
      <c r="B707" s="14"/>
      <c r="C707" s="5">
        <v>139</v>
      </c>
      <c r="D707" s="20">
        <v>43138</v>
      </c>
      <c r="E707" s="12"/>
      <c r="F707" s="12"/>
      <c r="G707" s="14"/>
      <c r="H707" s="14"/>
      <c r="I707" s="13" t="s">
        <v>71</v>
      </c>
      <c r="J707" s="14"/>
      <c r="K707" s="13">
        <v>30.2</v>
      </c>
      <c r="L707" s="14"/>
      <c r="M707" s="14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3.2">
      <c r="A708" s="14"/>
      <c r="B708" s="14"/>
      <c r="C708" s="5">
        <v>140</v>
      </c>
      <c r="D708" s="20">
        <v>43139</v>
      </c>
      <c r="E708" s="12"/>
      <c r="F708" s="12"/>
      <c r="G708" s="14"/>
      <c r="H708" s="14"/>
      <c r="I708" s="13" t="s">
        <v>71</v>
      </c>
      <c r="J708" s="14"/>
      <c r="K708" s="13">
        <v>29.9</v>
      </c>
      <c r="L708" s="14"/>
      <c r="M708" s="14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3.2">
      <c r="A709" s="14"/>
      <c r="B709" s="14"/>
      <c r="C709" s="5">
        <v>141</v>
      </c>
      <c r="D709" s="20">
        <v>43140</v>
      </c>
      <c r="E709" s="12"/>
      <c r="F709" s="12"/>
      <c r="G709" s="14"/>
      <c r="H709" s="14"/>
      <c r="I709" s="13" t="s">
        <v>71</v>
      </c>
      <c r="J709" s="14"/>
      <c r="K709" s="13">
        <v>29.1</v>
      </c>
      <c r="L709" s="14"/>
      <c r="M709" s="14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3.2">
      <c r="A710" s="14"/>
      <c r="B710" s="14"/>
      <c r="C710" s="5">
        <v>142</v>
      </c>
      <c r="D710" s="20">
        <v>43141</v>
      </c>
      <c r="E710" s="12"/>
      <c r="F710" s="12"/>
      <c r="G710" s="14"/>
      <c r="H710" s="14"/>
      <c r="I710" s="13" t="s">
        <v>71</v>
      </c>
      <c r="J710" s="14"/>
      <c r="K710" s="13">
        <v>28.5</v>
      </c>
      <c r="L710" s="14"/>
      <c r="M710" s="14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3.2">
      <c r="A711" s="14"/>
      <c r="B711" s="14"/>
      <c r="C711" s="5">
        <v>143</v>
      </c>
      <c r="D711" s="20">
        <v>43142</v>
      </c>
      <c r="E711" s="12"/>
      <c r="F711" s="12"/>
      <c r="G711" s="14"/>
      <c r="H711" s="14"/>
      <c r="I711" s="125" t="s">
        <v>71</v>
      </c>
      <c r="J711" s="14"/>
      <c r="K711" s="125">
        <v>28.2</v>
      </c>
      <c r="L711" s="14"/>
      <c r="M711" s="14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3.2">
      <c r="A712" s="14"/>
      <c r="B712" s="14"/>
      <c r="C712" s="5">
        <v>144</v>
      </c>
      <c r="D712" s="20">
        <v>43143</v>
      </c>
      <c r="E712" s="12"/>
      <c r="F712" s="12"/>
      <c r="G712" s="14"/>
      <c r="H712" s="14"/>
      <c r="I712" s="125" t="s">
        <v>71</v>
      </c>
      <c r="J712" s="14"/>
      <c r="K712" s="125">
        <v>27.7</v>
      </c>
      <c r="L712" s="14"/>
      <c r="M712" s="14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3.2">
      <c r="A713" s="14"/>
      <c r="B713" s="14"/>
      <c r="C713" s="5">
        <v>145</v>
      </c>
      <c r="D713" s="20">
        <v>43144</v>
      </c>
      <c r="E713" s="12"/>
      <c r="F713" s="12"/>
      <c r="G713" s="14"/>
      <c r="H713" s="14"/>
      <c r="I713" s="125" t="s">
        <v>71</v>
      </c>
      <c r="J713" s="14"/>
      <c r="K713" s="125">
        <v>27.3</v>
      </c>
      <c r="L713" s="14"/>
      <c r="M713" s="14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3.2">
      <c r="A714" s="14"/>
      <c r="B714" s="14"/>
      <c r="C714" s="5">
        <v>146</v>
      </c>
      <c r="D714" s="20">
        <v>43145</v>
      </c>
      <c r="E714" s="12"/>
      <c r="F714" s="12"/>
      <c r="G714" s="14"/>
      <c r="H714" s="14"/>
      <c r="I714" s="125" t="s">
        <v>71</v>
      </c>
      <c r="J714" s="14"/>
      <c r="K714" s="125">
        <v>26.9</v>
      </c>
      <c r="L714" s="14"/>
      <c r="M714" s="14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3.2">
      <c r="A715" s="14"/>
      <c r="B715" s="14"/>
      <c r="C715" s="5">
        <v>147</v>
      </c>
      <c r="D715" s="20">
        <v>43146</v>
      </c>
      <c r="E715" s="12"/>
      <c r="F715" s="12"/>
      <c r="G715" s="14"/>
      <c r="H715" s="14"/>
      <c r="I715" s="125" t="s">
        <v>71</v>
      </c>
      <c r="J715" s="14"/>
      <c r="K715" s="125">
        <v>26.8</v>
      </c>
      <c r="L715" s="14"/>
      <c r="M715" s="14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3.2">
      <c r="A716" s="14"/>
      <c r="B716" s="14"/>
      <c r="C716" s="5">
        <v>148</v>
      </c>
      <c r="D716" s="20">
        <v>43147</v>
      </c>
      <c r="E716" s="12"/>
      <c r="F716" s="12"/>
      <c r="G716" s="14"/>
      <c r="H716" s="14"/>
      <c r="I716" s="125" t="s">
        <v>71</v>
      </c>
      <c r="J716" s="14"/>
      <c r="K716" s="125">
        <v>26.1</v>
      </c>
      <c r="L716" s="14"/>
      <c r="M716" s="14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3.2">
      <c r="A717" s="14"/>
      <c r="B717" s="14"/>
      <c r="C717" s="5">
        <v>149</v>
      </c>
      <c r="D717" s="20">
        <v>43148</v>
      </c>
      <c r="E717" s="12"/>
      <c r="F717" s="12"/>
      <c r="G717" s="14"/>
      <c r="H717" s="14"/>
      <c r="I717" s="125" t="s">
        <v>71</v>
      </c>
      <c r="J717" s="14"/>
      <c r="K717" s="125">
        <v>25.8</v>
      </c>
      <c r="L717" s="14"/>
      <c r="M717" s="14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3.2">
      <c r="A718" s="14"/>
      <c r="B718" s="14"/>
      <c r="C718" s="14">
        <f t="shared" ref="C718:C727" si="156">C717+1</f>
        <v>150</v>
      </c>
      <c r="D718" s="20">
        <v>43149</v>
      </c>
      <c r="E718" s="12"/>
      <c r="F718" s="12"/>
      <c r="G718" s="14"/>
      <c r="H718" s="14"/>
      <c r="I718" s="135" t="s">
        <v>71</v>
      </c>
      <c r="J718" s="14"/>
      <c r="K718" s="13">
        <v>25.7</v>
      </c>
      <c r="L718" s="14"/>
      <c r="M718" s="14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3.2">
      <c r="A719" s="14"/>
      <c r="B719" s="14"/>
      <c r="C719" s="14">
        <f t="shared" si="156"/>
        <v>151</v>
      </c>
      <c r="D719" s="20">
        <v>43150</v>
      </c>
      <c r="E719" s="12"/>
      <c r="F719" s="12"/>
      <c r="G719" s="14"/>
      <c r="H719" s="14"/>
      <c r="I719" s="13" t="s">
        <v>71</v>
      </c>
      <c r="J719" s="14"/>
      <c r="K719" s="13">
        <v>24.9</v>
      </c>
      <c r="L719" s="14"/>
      <c r="M719" s="14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3.2">
      <c r="A720" s="14"/>
      <c r="B720" s="14"/>
      <c r="C720" s="14">
        <f t="shared" si="156"/>
        <v>152</v>
      </c>
      <c r="D720" s="20">
        <v>43151</v>
      </c>
      <c r="E720" s="12"/>
      <c r="F720" s="12"/>
      <c r="G720" s="14"/>
      <c r="H720" s="14"/>
      <c r="I720" s="13" t="s">
        <v>71</v>
      </c>
      <c r="J720" s="14"/>
      <c r="K720" s="13">
        <v>24.7</v>
      </c>
      <c r="L720" s="14"/>
      <c r="M720" s="14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3.2">
      <c r="A721" s="14"/>
      <c r="B721" s="14"/>
      <c r="C721" s="14">
        <f t="shared" si="156"/>
        <v>153</v>
      </c>
      <c r="D721" s="20">
        <v>43152</v>
      </c>
      <c r="E721" s="12"/>
      <c r="F721" s="12"/>
      <c r="G721" s="14"/>
      <c r="H721" s="14"/>
      <c r="I721" s="13" t="s">
        <v>71</v>
      </c>
      <c r="J721" s="14"/>
      <c r="K721" s="13">
        <v>24.4</v>
      </c>
      <c r="L721" s="14"/>
      <c r="M721" s="14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3.2">
      <c r="A722" s="14"/>
      <c r="B722" s="14"/>
      <c r="C722" s="14">
        <f t="shared" si="156"/>
        <v>154</v>
      </c>
      <c r="D722" s="20">
        <v>43153</v>
      </c>
      <c r="E722" s="12"/>
      <c r="F722" s="12"/>
      <c r="G722" s="14"/>
      <c r="H722" s="14"/>
      <c r="I722" s="13" t="s">
        <v>71</v>
      </c>
      <c r="J722" s="14"/>
      <c r="K722" s="13">
        <v>23.9</v>
      </c>
      <c r="L722" s="14"/>
      <c r="M722" s="14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3.2">
      <c r="A723" s="14"/>
      <c r="B723" s="14"/>
      <c r="C723" s="14">
        <f t="shared" si="156"/>
        <v>155</v>
      </c>
      <c r="D723" s="20">
        <v>43154</v>
      </c>
      <c r="E723" s="12"/>
      <c r="F723" s="12"/>
      <c r="G723" s="14"/>
      <c r="H723" s="14"/>
      <c r="I723" s="13" t="s">
        <v>71</v>
      </c>
      <c r="J723" s="14"/>
      <c r="K723" s="13">
        <v>23.8</v>
      </c>
      <c r="L723" s="14"/>
      <c r="M723" s="14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3.2">
      <c r="A724" s="14"/>
      <c r="B724" s="14"/>
      <c r="C724" s="14">
        <f t="shared" si="156"/>
        <v>156</v>
      </c>
      <c r="D724" s="20">
        <v>43155</v>
      </c>
      <c r="E724" s="12"/>
      <c r="F724" s="12"/>
      <c r="G724" s="14"/>
      <c r="H724" s="14"/>
      <c r="I724" s="13">
        <v>58.6</v>
      </c>
      <c r="J724" s="14"/>
      <c r="K724" s="13">
        <v>23.4</v>
      </c>
      <c r="L724" s="14"/>
      <c r="M724" s="14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3.2">
      <c r="A725" s="14"/>
      <c r="B725" s="14"/>
      <c r="C725" s="14">
        <f t="shared" si="156"/>
        <v>157</v>
      </c>
      <c r="D725" s="20">
        <v>43156</v>
      </c>
      <c r="E725" s="12"/>
      <c r="F725" s="12"/>
      <c r="G725" s="14"/>
      <c r="H725" s="14"/>
      <c r="I725" s="13">
        <v>54.4</v>
      </c>
      <c r="J725" s="14"/>
      <c r="K725" s="13">
        <v>25.1</v>
      </c>
      <c r="L725" s="14"/>
      <c r="M725" s="14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3.2">
      <c r="A726" s="14"/>
      <c r="B726" s="14"/>
      <c r="C726" s="14">
        <f t="shared" si="156"/>
        <v>158</v>
      </c>
      <c r="D726" s="20">
        <v>43157</v>
      </c>
      <c r="E726" s="12"/>
      <c r="F726" s="12"/>
      <c r="G726" s="14"/>
      <c r="H726" s="14"/>
      <c r="I726" s="13">
        <v>50.7</v>
      </c>
      <c r="J726" s="14"/>
      <c r="K726" s="13">
        <v>25.3</v>
      </c>
      <c r="L726" s="14"/>
      <c r="M726" s="14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3.2">
      <c r="A727" s="14"/>
      <c r="B727" s="14"/>
      <c r="C727" s="14">
        <f t="shared" si="156"/>
        <v>159</v>
      </c>
      <c r="D727" s="20">
        <v>43158</v>
      </c>
      <c r="E727" s="12"/>
      <c r="F727" s="12"/>
      <c r="G727" s="14"/>
      <c r="H727" s="14"/>
      <c r="I727" s="13">
        <v>45.7</v>
      </c>
      <c r="J727" s="14"/>
      <c r="K727" s="13">
        <v>26.7</v>
      </c>
      <c r="L727" s="14"/>
      <c r="M727" s="14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3.2">
      <c r="A728" s="14"/>
      <c r="B728" s="14"/>
      <c r="C728" s="5">
        <v>166</v>
      </c>
      <c r="D728" s="20">
        <v>43165</v>
      </c>
      <c r="E728" s="12"/>
      <c r="F728" s="12"/>
      <c r="G728" s="14"/>
      <c r="H728" s="14"/>
      <c r="I728" s="13">
        <v>18.600000000000001</v>
      </c>
      <c r="J728" s="14"/>
      <c r="K728" s="13">
        <v>27.2</v>
      </c>
      <c r="L728" s="14"/>
      <c r="M728" s="14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3.2">
      <c r="A729" s="14"/>
      <c r="B729" s="14"/>
      <c r="C729" s="5">
        <v>173</v>
      </c>
      <c r="D729" s="20">
        <v>43172</v>
      </c>
      <c r="E729" s="12"/>
      <c r="F729" s="12"/>
      <c r="G729" s="14"/>
      <c r="H729" s="14"/>
      <c r="I729" s="13">
        <v>48.8</v>
      </c>
      <c r="J729" s="14"/>
      <c r="K729" s="13">
        <v>27.6</v>
      </c>
      <c r="L729" s="14"/>
      <c r="M729" s="14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3.2">
      <c r="A730" s="14"/>
      <c r="B730" s="14"/>
      <c r="C730" s="14"/>
      <c r="D730" s="14"/>
      <c r="E730" s="12"/>
      <c r="F730" s="12"/>
      <c r="G730" s="14"/>
      <c r="H730" s="14"/>
      <c r="I730" s="15"/>
      <c r="J730" s="14"/>
      <c r="K730" s="15"/>
      <c r="L730" s="14"/>
      <c r="M730" s="14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3.2">
      <c r="A731" s="14"/>
      <c r="B731" s="14"/>
      <c r="C731" s="14"/>
      <c r="D731" s="14"/>
      <c r="E731" s="12"/>
      <c r="F731" s="12"/>
      <c r="G731" s="14"/>
      <c r="H731" s="14"/>
      <c r="I731" s="15"/>
      <c r="J731" s="14"/>
      <c r="K731" s="15"/>
      <c r="L731" s="14"/>
      <c r="M731" s="14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3.2">
      <c r="A732" s="14"/>
      <c r="B732" s="14"/>
      <c r="C732" s="14"/>
      <c r="D732" s="14"/>
      <c r="E732" s="12"/>
      <c r="F732" s="12"/>
      <c r="G732" s="14"/>
      <c r="H732" s="14"/>
      <c r="I732" s="15"/>
      <c r="J732" s="14"/>
      <c r="K732" s="15"/>
      <c r="L732" s="14"/>
      <c r="M732" s="14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3.2">
      <c r="A733" s="14"/>
      <c r="B733" s="14"/>
      <c r="C733" s="14"/>
      <c r="D733" s="14"/>
      <c r="E733" s="12"/>
      <c r="F733" s="12"/>
      <c r="G733" s="14"/>
      <c r="H733" s="14"/>
      <c r="I733" s="15"/>
      <c r="J733" s="14"/>
      <c r="K733" s="15"/>
      <c r="L733" s="14"/>
      <c r="M733" s="14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3.2">
      <c r="A734" s="72" t="s">
        <v>96</v>
      </c>
      <c r="B734" s="5">
        <v>0</v>
      </c>
      <c r="C734" s="5">
        <v>0</v>
      </c>
      <c r="D734" s="9">
        <v>42992</v>
      </c>
      <c r="E734" s="10">
        <v>389.3</v>
      </c>
      <c r="F734" s="11" t="s">
        <v>21</v>
      </c>
      <c r="G734" s="12">
        <f>AVERAGE(F735,F736,F737,F742)</f>
        <v>4.400000000000003</v>
      </c>
      <c r="H734" s="14"/>
      <c r="I734" s="13">
        <v>71.099999999999994</v>
      </c>
      <c r="J734" s="14"/>
      <c r="K734" s="13">
        <v>16.399999999999999</v>
      </c>
      <c r="L734" s="14"/>
      <c r="M734" s="14"/>
      <c r="N734" s="7"/>
      <c r="O734" s="7"/>
      <c r="P734" s="7">
        <f>SUM(O734:O746)-104.4</f>
        <v>291.39999999999998</v>
      </c>
      <c r="Q734" s="7"/>
      <c r="R734" s="7"/>
      <c r="S734" s="73">
        <f>I734-I738</f>
        <v>28.199999999999996</v>
      </c>
      <c r="T734" s="7"/>
      <c r="U734" s="7">
        <f>SUM(T734:T735)</f>
        <v>1016.0360000000001</v>
      </c>
      <c r="V734" s="7"/>
      <c r="W734" s="7"/>
      <c r="X734" s="7"/>
      <c r="Y734" s="7"/>
      <c r="Z734" s="7"/>
      <c r="AA734" s="7"/>
      <c r="AB734" s="7"/>
    </row>
    <row r="735" spans="1:28" ht="13.2">
      <c r="A735" s="5" t="s">
        <v>30</v>
      </c>
      <c r="B735" s="5">
        <v>0</v>
      </c>
      <c r="C735" s="5">
        <v>0</v>
      </c>
      <c r="D735" s="9">
        <v>42993</v>
      </c>
      <c r="E735" s="10">
        <v>385.3</v>
      </c>
      <c r="F735" s="12">
        <f>E734-E735</f>
        <v>4</v>
      </c>
      <c r="G735" s="14"/>
      <c r="H735" s="14"/>
      <c r="I735" s="13">
        <v>66.5</v>
      </c>
      <c r="J735" s="16">
        <f t="shared" ref="J735:J738" si="157">(I734-I735)/(D735-D734)</f>
        <v>4.5999999999999943</v>
      </c>
      <c r="K735" s="13">
        <v>16.7</v>
      </c>
      <c r="L735" s="14"/>
      <c r="M735" s="14"/>
      <c r="N735" s="7"/>
      <c r="O735" s="75">
        <f>E739-E742</f>
        <v>23.899999999999977</v>
      </c>
      <c r="P735" s="7"/>
      <c r="Q735" s="7"/>
      <c r="R735" s="7"/>
      <c r="S735" s="73">
        <f>I739-I750</f>
        <v>41.699999999999996</v>
      </c>
      <c r="T735" s="7">
        <f>SUM(S735:S738)*5.24</f>
        <v>1016.0360000000001</v>
      </c>
      <c r="U735" s="7"/>
      <c r="V735" s="7"/>
      <c r="W735" s="7"/>
      <c r="X735" s="7"/>
      <c r="Y735" s="7"/>
      <c r="Z735" s="7"/>
      <c r="AA735" s="7"/>
      <c r="AB735" s="7"/>
    </row>
    <row r="736" spans="1:28" ht="13.2">
      <c r="A736" s="5" t="s">
        <v>97</v>
      </c>
      <c r="B736" s="5">
        <v>0</v>
      </c>
      <c r="C736" s="5">
        <v>0</v>
      </c>
      <c r="D736" s="9">
        <v>42996</v>
      </c>
      <c r="E736" s="10">
        <v>370.6</v>
      </c>
      <c r="F736" s="12">
        <f t="shared" ref="F736:F738" si="158">(E735-E736)/(D736-D735)</f>
        <v>4.8999999999999959</v>
      </c>
      <c r="G736" s="14"/>
      <c r="H736" s="14"/>
      <c r="I736" s="13">
        <v>55.5</v>
      </c>
      <c r="J736" s="16">
        <f t="shared" si="157"/>
        <v>3.6666666666666665</v>
      </c>
      <c r="K736" s="13">
        <v>16.7</v>
      </c>
      <c r="L736" s="14"/>
      <c r="M736" s="14"/>
      <c r="N736" s="7"/>
      <c r="O736" s="75">
        <f>E743-E746</f>
        <v>39.5</v>
      </c>
      <c r="P736" s="7"/>
      <c r="Q736" s="7"/>
      <c r="R736" s="7"/>
      <c r="S736" s="73">
        <f>I752-I761</f>
        <v>39.700000000000003</v>
      </c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3.2">
      <c r="A737" s="14"/>
      <c r="B737" s="5">
        <v>0</v>
      </c>
      <c r="C737" s="5">
        <v>0</v>
      </c>
      <c r="D737" s="9">
        <v>42998</v>
      </c>
      <c r="E737" s="10">
        <v>361</v>
      </c>
      <c r="F737" s="12">
        <f t="shared" si="158"/>
        <v>4.8000000000000114</v>
      </c>
      <c r="G737" s="14"/>
      <c r="H737" s="14"/>
      <c r="I737" s="13">
        <v>46.9</v>
      </c>
      <c r="J737" s="16">
        <f t="shared" si="157"/>
        <v>4.3000000000000007</v>
      </c>
      <c r="K737" s="13">
        <v>17.600000000000001</v>
      </c>
      <c r="L737" s="14"/>
      <c r="M737" s="14"/>
      <c r="N737" s="7"/>
      <c r="O737" s="36">
        <v>35</v>
      </c>
      <c r="P737" s="7"/>
      <c r="Q737" s="7"/>
      <c r="R737" s="7"/>
      <c r="S737" s="73">
        <f>86.8-I773</f>
        <v>52.099999999999994</v>
      </c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3.2">
      <c r="A738" s="14"/>
      <c r="B738" s="5">
        <v>0</v>
      </c>
      <c r="C738" s="5">
        <v>0</v>
      </c>
      <c r="D738" s="17">
        <v>42999</v>
      </c>
      <c r="E738" s="10">
        <v>354</v>
      </c>
      <c r="F738" s="12">
        <f t="shared" si="158"/>
        <v>7</v>
      </c>
      <c r="G738" s="14"/>
      <c r="H738" s="14"/>
      <c r="I738" s="13">
        <v>42.9</v>
      </c>
      <c r="J738" s="16">
        <f t="shared" si="157"/>
        <v>4</v>
      </c>
      <c r="K738" s="13">
        <v>17.600000000000001</v>
      </c>
      <c r="L738" s="14"/>
      <c r="M738" s="14"/>
      <c r="N738" s="7"/>
      <c r="O738" s="75">
        <f>E751-E754</f>
        <v>40.400000000000034</v>
      </c>
      <c r="P738" s="7"/>
      <c r="Q738" s="7"/>
      <c r="R738" s="7"/>
      <c r="S738" s="73">
        <f>115-I787</f>
        <v>60.4</v>
      </c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3.2">
      <c r="A739" s="14"/>
      <c r="B739" s="5">
        <v>0.5</v>
      </c>
      <c r="C739" s="5">
        <v>0</v>
      </c>
      <c r="D739" s="17">
        <v>42999</v>
      </c>
      <c r="E739" s="10">
        <v>391.2</v>
      </c>
      <c r="F739" s="12"/>
      <c r="G739" s="14"/>
      <c r="H739" s="14"/>
      <c r="I739" s="13">
        <v>74.099999999999994</v>
      </c>
      <c r="J739" s="14"/>
      <c r="K739" s="13"/>
      <c r="L739" s="14"/>
      <c r="M739" s="14"/>
      <c r="N739" s="7"/>
      <c r="O739" s="75">
        <f>E755-E758</f>
        <v>35</v>
      </c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3.2">
      <c r="A740" s="14"/>
      <c r="B740" s="5">
        <v>0.5</v>
      </c>
      <c r="C740" s="5">
        <f t="shared" ref="C740:C805" si="159">D740-$D$7</f>
        <v>1</v>
      </c>
      <c r="D740" s="17">
        <v>43000</v>
      </c>
      <c r="E740" s="10">
        <v>388</v>
      </c>
      <c r="F740" s="12">
        <f t="shared" ref="F740:F742" si="160">(E739-E740)/(D740-D739)</f>
        <v>3.1999999999999886</v>
      </c>
      <c r="G740" s="14"/>
      <c r="H740" s="14"/>
      <c r="I740" s="13">
        <v>71.5</v>
      </c>
      <c r="J740" s="16">
        <f t="shared" ref="J740:J742" si="161">(I739-I740)/(D740-D739)</f>
        <v>2.5999999999999943</v>
      </c>
      <c r="K740" s="13">
        <v>17.399999999999999</v>
      </c>
      <c r="L740" s="14"/>
      <c r="M740" s="14"/>
      <c r="N740" s="7"/>
      <c r="O740" s="75">
        <f>E759-E762</f>
        <v>31.899999999999977</v>
      </c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3.2">
      <c r="A741" s="14"/>
      <c r="B741" s="5">
        <v>0.5</v>
      </c>
      <c r="C741" s="5">
        <f t="shared" si="159"/>
        <v>4</v>
      </c>
      <c r="D741" s="9">
        <v>43003</v>
      </c>
      <c r="E741" s="10">
        <v>375.1</v>
      </c>
      <c r="F741" s="12">
        <f t="shared" si="160"/>
        <v>4.2999999999999927</v>
      </c>
      <c r="G741" s="14"/>
      <c r="H741" s="14"/>
      <c r="I741" s="13">
        <v>66.099999999999994</v>
      </c>
      <c r="J741" s="16">
        <f t="shared" si="161"/>
        <v>1.8000000000000018</v>
      </c>
      <c r="K741" s="13">
        <v>17.3</v>
      </c>
      <c r="L741" s="14"/>
      <c r="M741" s="14"/>
      <c r="N741" s="7"/>
      <c r="O741" s="75">
        <f>E763-E766</f>
        <v>30.400000000000034</v>
      </c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3.2">
      <c r="A742" s="14"/>
      <c r="B742" s="5">
        <v>0.5</v>
      </c>
      <c r="C742" s="5">
        <f t="shared" si="159"/>
        <v>6</v>
      </c>
      <c r="D742" s="9">
        <v>43005</v>
      </c>
      <c r="E742" s="10">
        <v>367.3</v>
      </c>
      <c r="F742" s="12">
        <f t="shared" si="160"/>
        <v>3.9000000000000057</v>
      </c>
      <c r="G742" s="14"/>
      <c r="H742" s="14"/>
      <c r="I742" s="13">
        <v>62.2</v>
      </c>
      <c r="J742" s="16">
        <f t="shared" si="161"/>
        <v>1.9499999999999957</v>
      </c>
      <c r="K742" s="18">
        <v>18.399999999999999</v>
      </c>
      <c r="L742" s="14"/>
      <c r="M742" s="14"/>
      <c r="N742" s="7"/>
      <c r="O742" s="75">
        <f>E767-E770</f>
        <v>39.099999999999966</v>
      </c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3.2">
      <c r="A743" s="14"/>
      <c r="B743" s="76">
        <v>1</v>
      </c>
      <c r="C743" s="5">
        <f t="shared" si="159"/>
        <v>6</v>
      </c>
      <c r="D743" s="9">
        <v>43005</v>
      </c>
      <c r="E743" s="10">
        <v>320.5</v>
      </c>
      <c r="F743" s="11"/>
      <c r="H743" s="14"/>
      <c r="I743" s="13" t="s">
        <v>57</v>
      </c>
      <c r="J743" s="14"/>
      <c r="K743" s="13"/>
      <c r="L743" s="14"/>
      <c r="M743" s="14"/>
      <c r="N743" s="7"/>
      <c r="O743" s="75">
        <f>E771-E773</f>
        <v>19.5</v>
      </c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3.2">
      <c r="A744" s="14"/>
      <c r="B744" s="5">
        <v>1</v>
      </c>
      <c r="C744" s="5">
        <f t="shared" si="159"/>
        <v>8</v>
      </c>
      <c r="D744" s="9">
        <v>43007</v>
      </c>
      <c r="E744" s="10">
        <v>309.3</v>
      </c>
      <c r="F744" s="12">
        <f t="shared" ref="F744:F746" si="162">(E743-E744)/(D744-D743)</f>
        <v>5.5999999999999943</v>
      </c>
      <c r="G744" s="14"/>
      <c r="H744" s="14"/>
      <c r="I744" s="13">
        <v>58.1</v>
      </c>
      <c r="J744" s="14">
        <f>(I742-I744)/(D744-D742)</f>
        <v>2.0500000000000007</v>
      </c>
      <c r="K744" s="13">
        <v>18.100000000000001</v>
      </c>
      <c r="L744" s="14"/>
      <c r="M744" s="14"/>
      <c r="N744" s="7"/>
      <c r="O744" s="75">
        <f>E774-E779</f>
        <v>37.599999999999966</v>
      </c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3.2">
      <c r="A745" s="14"/>
      <c r="B745" s="5">
        <v>1</v>
      </c>
      <c r="C745" s="5">
        <f t="shared" si="159"/>
        <v>11</v>
      </c>
      <c r="D745" s="19">
        <v>43010</v>
      </c>
      <c r="E745" s="11">
        <v>296.39999999999998</v>
      </c>
      <c r="F745" s="12">
        <f t="shared" si="162"/>
        <v>4.3000000000000114</v>
      </c>
      <c r="G745" s="14"/>
      <c r="H745" s="14"/>
      <c r="I745" s="13">
        <v>51.4</v>
      </c>
      <c r="J745" s="16">
        <f t="shared" ref="J745:J746" si="163">(I744-I745)/(D745-D744)</f>
        <v>2.2333333333333343</v>
      </c>
      <c r="K745" s="13">
        <v>19.2</v>
      </c>
      <c r="L745" s="14"/>
      <c r="M745" s="14"/>
      <c r="N745" s="7"/>
      <c r="O745" s="75">
        <f>E780-E783</f>
        <v>34.600000000000023</v>
      </c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3.2">
      <c r="A746" s="14"/>
      <c r="B746" s="5">
        <v>1</v>
      </c>
      <c r="C746" s="5">
        <f t="shared" si="159"/>
        <v>13</v>
      </c>
      <c r="D746" s="19">
        <v>43012</v>
      </c>
      <c r="E746" s="11">
        <v>281</v>
      </c>
      <c r="F746" s="12">
        <f t="shared" si="162"/>
        <v>7.6999999999999886</v>
      </c>
      <c r="G746" s="14"/>
      <c r="H746" s="14"/>
      <c r="I746" s="13">
        <v>46.7</v>
      </c>
      <c r="J746" s="16">
        <f t="shared" si="163"/>
        <v>2.3499999999999979</v>
      </c>
      <c r="K746" s="13">
        <v>19.399999999999999</v>
      </c>
      <c r="L746" s="14"/>
      <c r="M746" s="14"/>
      <c r="N746" s="7"/>
      <c r="O746" s="75">
        <f>E784-E787</f>
        <v>28.899999999999977</v>
      </c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3.2">
      <c r="A747" s="14"/>
      <c r="B747" s="5">
        <v>2</v>
      </c>
      <c r="C747" s="5">
        <f t="shared" si="159"/>
        <v>14</v>
      </c>
      <c r="D747" s="20">
        <v>43013</v>
      </c>
      <c r="E747" s="11">
        <v>334.6</v>
      </c>
      <c r="F747" s="11"/>
      <c r="G747" s="14"/>
      <c r="H747" s="14"/>
      <c r="I747" s="13" t="s">
        <v>24</v>
      </c>
      <c r="J747" s="14"/>
      <c r="K747" s="13"/>
      <c r="L747" s="14"/>
      <c r="M747" s="14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3.2">
      <c r="A748" s="14"/>
      <c r="B748" s="5">
        <v>2</v>
      </c>
      <c r="C748" s="5">
        <f t="shared" si="159"/>
        <v>15</v>
      </c>
      <c r="D748" s="20">
        <v>43014</v>
      </c>
      <c r="E748" s="11">
        <v>255.1</v>
      </c>
      <c r="F748" s="12"/>
      <c r="G748" s="14"/>
      <c r="H748" s="14"/>
      <c r="I748" s="13">
        <v>42.7</v>
      </c>
      <c r="J748" s="14">
        <f>(93.5-I748)/(D749-D746)</f>
        <v>10.16</v>
      </c>
      <c r="K748" s="13">
        <v>18.899999999999999</v>
      </c>
      <c r="L748" s="14"/>
      <c r="M748" s="14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3.2">
      <c r="A749" s="14"/>
      <c r="B749" s="5">
        <v>2</v>
      </c>
      <c r="C749" s="5">
        <f t="shared" si="159"/>
        <v>18</v>
      </c>
      <c r="D749" s="20">
        <v>43017</v>
      </c>
      <c r="E749" s="11">
        <v>255.6</v>
      </c>
      <c r="F749" s="12"/>
      <c r="G749" s="14"/>
      <c r="H749" s="14"/>
      <c r="I749" s="13">
        <v>36.6</v>
      </c>
      <c r="J749" s="16">
        <f t="shared" ref="J749:J750" si="164">(I748-I749)/(D749-D748)</f>
        <v>2.0333333333333337</v>
      </c>
      <c r="K749" s="13">
        <v>17.399999999999999</v>
      </c>
      <c r="L749" s="14"/>
      <c r="M749" s="14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3.2">
      <c r="A750" s="14"/>
      <c r="B750" s="5">
        <v>2</v>
      </c>
      <c r="C750" s="5">
        <f t="shared" si="159"/>
        <v>20</v>
      </c>
      <c r="D750" s="20">
        <v>43019</v>
      </c>
      <c r="E750" s="11">
        <v>255.3</v>
      </c>
      <c r="F750" s="12"/>
      <c r="G750" s="14"/>
      <c r="H750" s="14"/>
      <c r="I750" s="13">
        <v>32.4</v>
      </c>
      <c r="J750" s="14">
        <f t="shared" si="164"/>
        <v>2.1000000000000014</v>
      </c>
      <c r="K750" s="13">
        <v>17.8</v>
      </c>
      <c r="L750" s="14"/>
      <c r="M750" s="14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3.2">
      <c r="A751" s="14"/>
      <c r="B751" s="5">
        <v>3</v>
      </c>
      <c r="C751" s="5">
        <f t="shared" si="159"/>
        <v>21</v>
      </c>
      <c r="D751" s="20">
        <v>43020</v>
      </c>
      <c r="E751" s="11">
        <v>368.1</v>
      </c>
      <c r="F751" s="12"/>
      <c r="G751" s="14"/>
      <c r="H751" s="14"/>
      <c r="I751" s="15"/>
      <c r="J751" s="14"/>
      <c r="K751" s="15"/>
      <c r="L751" s="14"/>
      <c r="M751" s="14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3.2">
      <c r="A752" s="14"/>
      <c r="B752" s="5">
        <v>3</v>
      </c>
      <c r="C752" s="5">
        <f t="shared" si="159"/>
        <v>22</v>
      </c>
      <c r="D752" s="20">
        <f>D750+2</f>
        <v>43021</v>
      </c>
      <c r="E752" s="50">
        <v>357</v>
      </c>
      <c r="F752" s="12">
        <f t="shared" ref="F752:F754" si="165">(E751-E752)/(D752-D751)</f>
        <v>11.100000000000023</v>
      </c>
      <c r="G752" s="12">
        <f>AVERAGE(F740:F783)</f>
        <v>5.7966666666666651</v>
      </c>
      <c r="H752" s="14"/>
      <c r="I752" s="13">
        <v>71</v>
      </c>
      <c r="J752" s="14">
        <f t="shared" ref="J752:J754" si="166">(77.8-I752)/(D752-D750)</f>
        <v>3.3999999999999986</v>
      </c>
      <c r="K752" s="13">
        <v>20.7</v>
      </c>
      <c r="L752" s="14"/>
      <c r="M752" s="14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3.2">
      <c r="A753" s="14"/>
      <c r="B753" s="5">
        <v>3</v>
      </c>
      <c r="C753" s="5">
        <f t="shared" si="159"/>
        <v>25</v>
      </c>
      <c r="D753" s="20">
        <f>D752+3</f>
        <v>43024</v>
      </c>
      <c r="E753" s="11">
        <v>339.9</v>
      </c>
      <c r="F753" s="12">
        <f t="shared" si="165"/>
        <v>5.7000000000000073</v>
      </c>
      <c r="G753" s="14"/>
      <c r="H753" s="14"/>
      <c r="I753" s="13">
        <v>64</v>
      </c>
      <c r="J753" s="14">
        <f t="shared" si="166"/>
        <v>3.4499999999999993</v>
      </c>
      <c r="K753" s="13">
        <v>20.7</v>
      </c>
      <c r="L753" s="14"/>
      <c r="M753" s="14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3.2">
      <c r="A754" s="14"/>
      <c r="B754" s="5">
        <v>3</v>
      </c>
      <c r="C754" s="5">
        <f t="shared" si="159"/>
        <v>27</v>
      </c>
      <c r="D754" s="20">
        <f>D753+2</f>
        <v>43026</v>
      </c>
      <c r="E754" s="11">
        <v>327.7</v>
      </c>
      <c r="F754" s="12">
        <f t="shared" si="165"/>
        <v>6.0999999999999943</v>
      </c>
      <c r="G754" s="14"/>
      <c r="H754" s="14"/>
      <c r="I754" s="13">
        <v>59.2</v>
      </c>
      <c r="J754" s="14">
        <f t="shared" si="166"/>
        <v>3.7199999999999989</v>
      </c>
      <c r="K754" s="13">
        <v>20.399999999999999</v>
      </c>
      <c r="L754" s="14"/>
      <c r="M754" s="14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3.2">
      <c r="A755" s="14"/>
      <c r="B755" s="5">
        <v>4</v>
      </c>
      <c r="C755" s="5">
        <f t="shared" si="159"/>
        <v>28</v>
      </c>
      <c r="D755" s="20">
        <v>43027</v>
      </c>
      <c r="E755" s="11">
        <v>374.8</v>
      </c>
      <c r="F755" s="12"/>
      <c r="G755" s="14"/>
      <c r="H755" s="14"/>
      <c r="I755" s="15"/>
      <c r="J755" s="14"/>
      <c r="K755" s="15"/>
      <c r="L755" s="14"/>
      <c r="M755" s="14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3.2">
      <c r="A756" s="14"/>
      <c r="B756" s="5">
        <v>4</v>
      </c>
      <c r="C756" s="5">
        <f t="shared" si="159"/>
        <v>29</v>
      </c>
      <c r="D756" s="20">
        <f>D754+2</f>
        <v>43028</v>
      </c>
      <c r="E756" s="11">
        <v>367.8</v>
      </c>
      <c r="F756" s="12">
        <f t="shared" ref="F756:F758" si="167">(E755-E756)/(D756-D755)</f>
        <v>7</v>
      </c>
      <c r="G756" s="14"/>
      <c r="H756" s="14"/>
      <c r="I756" s="13">
        <v>55</v>
      </c>
      <c r="J756" s="15">
        <f>(I754-I756)/(D756-D754)</f>
        <v>2.1000000000000014</v>
      </c>
      <c r="K756" s="13">
        <v>20.2</v>
      </c>
      <c r="L756" s="14"/>
      <c r="M756" s="14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3.2">
      <c r="A757" s="14"/>
      <c r="B757" s="5">
        <v>4</v>
      </c>
      <c r="C757" s="5">
        <f t="shared" si="159"/>
        <v>32</v>
      </c>
      <c r="D757" s="20">
        <v>43031</v>
      </c>
      <c r="E757" s="11">
        <v>351.9</v>
      </c>
      <c r="F757" s="12">
        <f t="shared" si="167"/>
        <v>5.3000000000000114</v>
      </c>
      <c r="G757" s="14"/>
      <c r="H757" s="14"/>
      <c r="I757" s="13">
        <v>48.6</v>
      </c>
      <c r="J757" s="15">
        <f t="shared" ref="J757:J758" si="168">(I756-I757)/(D757-D756)</f>
        <v>2.1333333333333329</v>
      </c>
      <c r="K757" s="13">
        <v>20.100000000000001</v>
      </c>
      <c r="L757" s="14"/>
      <c r="M757" s="14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3.2">
      <c r="A758" s="14"/>
      <c r="B758" s="5">
        <v>4</v>
      </c>
      <c r="C758" s="5">
        <f t="shared" si="159"/>
        <v>34</v>
      </c>
      <c r="D758" s="20">
        <v>43033</v>
      </c>
      <c r="E758" s="11">
        <v>339.8</v>
      </c>
      <c r="F758" s="12">
        <f t="shared" si="167"/>
        <v>6.0499999999999829</v>
      </c>
      <c r="G758" s="14"/>
      <c r="H758" s="14"/>
      <c r="I758" s="13">
        <v>43.2</v>
      </c>
      <c r="J758" s="15">
        <f t="shared" si="168"/>
        <v>2.6999999999999993</v>
      </c>
      <c r="K758" s="13">
        <v>19.8</v>
      </c>
      <c r="L758" s="14"/>
      <c r="M758" s="14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3.2">
      <c r="A759" s="14"/>
      <c r="B759" s="5">
        <v>5</v>
      </c>
      <c r="C759" s="5">
        <f t="shared" si="159"/>
        <v>35</v>
      </c>
      <c r="D759" s="20">
        <v>43034</v>
      </c>
      <c r="E759" s="11">
        <v>338.5</v>
      </c>
      <c r="F759" s="12"/>
      <c r="G759" s="14"/>
      <c r="H759" s="14"/>
      <c r="I759" s="15"/>
      <c r="J759" s="15"/>
      <c r="K759" s="15"/>
      <c r="L759" s="14"/>
      <c r="M759" s="14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3.2">
      <c r="A760" s="14"/>
      <c r="B760" s="5">
        <v>5</v>
      </c>
      <c r="C760" s="5">
        <f t="shared" si="159"/>
        <v>36</v>
      </c>
      <c r="D760" s="20">
        <v>43035</v>
      </c>
      <c r="E760" s="11">
        <v>334.9</v>
      </c>
      <c r="F760" s="12">
        <f t="shared" ref="F760:F762" si="169">(E759-E760)/(D760-D759)</f>
        <v>3.6000000000000227</v>
      </c>
      <c r="G760" s="14"/>
      <c r="H760" s="14"/>
      <c r="I760" s="13">
        <v>38.1</v>
      </c>
      <c r="J760" s="15">
        <f>(I758-I760)/(D760-D758)</f>
        <v>2.5500000000000007</v>
      </c>
      <c r="K760" s="13">
        <v>20.9</v>
      </c>
      <c r="L760" s="14"/>
      <c r="M760" s="14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3.2">
      <c r="A761" s="14"/>
      <c r="B761" s="5">
        <v>5</v>
      </c>
      <c r="C761" s="5">
        <f t="shared" si="159"/>
        <v>39</v>
      </c>
      <c r="D761" s="20">
        <v>43038</v>
      </c>
      <c r="E761" s="11">
        <v>316.60000000000002</v>
      </c>
      <c r="F761" s="12">
        <f t="shared" si="169"/>
        <v>6.0999999999999845</v>
      </c>
      <c r="G761" s="14"/>
      <c r="H761" s="14"/>
      <c r="I761" s="13">
        <v>31.3</v>
      </c>
      <c r="J761" s="15">
        <f>(I760-I761)/(D761-D760)</f>
        <v>2.2666666666666671</v>
      </c>
      <c r="K761" s="13">
        <v>21</v>
      </c>
      <c r="L761" s="14"/>
      <c r="M761" s="14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3.2">
      <c r="A762" s="14"/>
      <c r="B762" s="5">
        <v>5</v>
      </c>
      <c r="C762" s="5">
        <f t="shared" si="159"/>
        <v>41</v>
      </c>
      <c r="D762" s="20">
        <v>43040</v>
      </c>
      <c r="E762" s="11">
        <v>306.60000000000002</v>
      </c>
      <c r="F762" s="12">
        <f t="shared" si="169"/>
        <v>5</v>
      </c>
      <c r="G762" s="14"/>
      <c r="H762" s="14"/>
      <c r="I762" s="13">
        <v>82</v>
      </c>
      <c r="J762" s="15">
        <f>(86.8-I762)/(D762-D761)</f>
        <v>2.3999999999999986</v>
      </c>
      <c r="K762" s="13">
        <v>21.4</v>
      </c>
      <c r="L762" s="14"/>
      <c r="M762" s="14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3.2">
      <c r="A763" s="14"/>
      <c r="B763" s="5">
        <v>6</v>
      </c>
      <c r="C763" s="5">
        <f t="shared" si="159"/>
        <v>42</v>
      </c>
      <c r="D763" s="20">
        <v>43041</v>
      </c>
      <c r="E763" s="11">
        <v>327.3</v>
      </c>
      <c r="F763" s="12"/>
      <c r="G763" s="14"/>
      <c r="H763" s="14"/>
      <c r="I763" s="15"/>
      <c r="J763" s="14"/>
      <c r="K763" s="15"/>
      <c r="L763" s="14"/>
      <c r="M763" s="14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3.2">
      <c r="A764" s="14"/>
      <c r="B764" s="5">
        <v>6</v>
      </c>
      <c r="C764" s="5">
        <f t="shared" si="159"/>
        <v>43</v>
      </c>
      <c r="D764" s="20">
        <v>43042</v>
      </c>
      <c r="E764" s="11">
        <v>320.10000000000002</v>
      </c>
      <c r="F764" s="12">
        <f t="shared" ref="F764:F766" si="170">(E763-E764)/(D764-D763)</f>
        <v>7.1999999999999886</v>
      </c>
      <c r="G764" s="14"/>
      <c r="H764" s="14"/>
      <c r="I764" s="13">
        <v>77.400000000000006</v>
      </c>
      <c r="J764" s="15">
        <f>(I762-I764)/(D764-D762)</f>
        <v>2.2999999999999972</v>
      </c>
      <c r="K764" s="13">
        <v>21.6</v>
      </c>
      <c r="L764" s="14"/>
      <c r="M764" s="14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3.2">
      <c r="A765" s="14"/>
      <c r="B765" s="5">
        <v>6</v>
      </c>
      <c r="C765" s="5">
        <f t="shared" si="159"/>
        <v>46</v>
      </c>
      <c r="D765" s="20">
        <v>43045</v>
      </c>
      <c r="E765" s="11">
        <v>304.89999999999998</v>
      </c>
      <c r="F765" s="12">
        <f t="shared" si="170"/>
        <v>5.0666666666666815</v>
      </c>
      <c r="G765" s="14"/>
      <c r="H765" s="14"/>
      <c r="I765" s="13">
        <v>70.5</v>
      </c>
      <c r="J765" s="15">
        <f>(I764-I765)/(D765-D764)</f>
        <v>2.300000000000002</v>
      </c>
      <c r="K765" s="13">
        <v>21.8</v>
      </c>
      <c r="L765" s="14"/>
      <c r="M765" s="14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3.2">
      <c r="A766" s="14"/>
      <c r="B766" s="5">
        <v>6</v>
      </c>
      <c r="C766" s="5">
        <f t="shared" si="159"/>
        <v>48</v>
      </c>
      <c r="D766" s="20">
        <v>43047</v>
      </c>
      <c r="E766" s="11">
        <v>296.89999999999998</v>
      </c>
      <c r="F766" s="12">
        <f t="shared" si="170"/>
        <v>4</v>
      </c>
      <c r="G766" s="14"/>
      <c r="H766" s="14"/>
      <c r="I766" s="13">
        <v>64.8</v>
      </c>
      <c r="J766" s="15">
        <f>(86.8-I766)/(D766-D765)</f>
        <v>11</v>
      </c>
      <c r="K766" s="13">
        <v>22.4</v>
      </c>
      <c r="L766" s="14"/>
      <c r="M766" s="14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3.2">
      <c r="A767" s="14"/>
      <c r="B767" s="5">
        <v>7</v>
      </c>
      <c r="C767" s="5">
        <f t="shared" si="159"/>
        <v>49</v>
      </c>
      <c r="D767" s="20">
        <v>43048</v>
      </c>
      <c r="E767" s="11">
        <v>333.7</v>
      </c>
      <c r="F767" s="12"/>
      <c r="G767" s="14"/>
      <c r="H767" s="14"/>
      <c r="I767" s="15"/>
      <c r="J767" s="14"/>
      <c r="K767" s="15"/>
      <c r="L767" s="14"/>
      <c r="M767" s="14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3.2">
      <c r="A768" s="14"/>
      <c r="B768" s="5">
        <v>7</v>
      </c>
      <c r="C768" s="5">
        <f t="shared" si="159"/>
        <v>50</v>
      </c>
      <c r="D768" s="20">
        <v>43049</v>
      </c>
      <c r="E768" s="11">
        <v>325.10000000000002</v>
      </c>
      <c r="F768" s="12">
        <f t="shared" ref="F768:F770" si="171">(E767-E768)/(D768-D767)</f>
        <v>8.5999999999999659</v>
      </c>
      <c r="G768" s="14"/>
      <c r="H768" s="14"/>
      <c r="I768" s="13">
        <v>60.2</v>
      </c>
      <c r="J768" s="15">
        <f>(I766-I768)/(D768-D766)</f>
        <v>2.2999999999999972</v>
      </c>
      <c r="K768" s="13">
        <v>22.5</v>
      </c>
      <c r="L768" s="14"/>
      <c r="M768" s="14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3.2">
      <c r="A769" s="14"/>
      <c r="B769" s="5">
        <v>7</v>
      </c>
      <c r="C769" s="5">
        <f t="shared" si="159"/>
        <v>53</v>
      </c>
      <c r="D769" s="20">
        <v>43052</v>
      </c>
      <c r="E769" s="11">
        <v>312.60000000000002</v>
      </c>
      <c r="F769" s="12">
        <f t="shared" si="171"/>
        <v>4.166666666666667</v>
      </c>
      <c r="G769" s="14"/>
      <c r="H769" s="14"/>
      <c r="I769" s="13">
        <v>53.1</v>
      </c>
      <c r="J769" s="15">
        <f t="shared" ref="J769:J770" si="172">(I768-I769)/(D769-D768)</f>
        <v>2.3666666666666671</v>
      </c>
      <c r="K769" s="13">
        <v>22.8</v>
      </c>
      <c r="L769" s="14"/>
      <c r="M769" s="14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3.2">
      <c r="A770" s="14"/>
      <c r="B770" s="5">
        <v>7</v>
      </c>
      <c r="C770" s="5">
        <f t="shared" si="159"/>
        <v>55</v>
      </c>
      <c r="D770" s="20">
        <v>43054</v>
      </c>
      <c r="E770" s="11">
        <v>294.60000000000002</v>
      </c>
      <c r="F770" s="12">
        <f t="shared" si="171"/>
        <v>9</v>
      </c>
      <c r="G770" s="14"/>
      <c r="H770" s="14"/>
      <c r="I770" s="13">
        <v>46.8</v>
      </c>
      <c r="J770" s="15">
        <f t="shared" si="172"/>
        <v>3.1500000000000021</v>
      </c>
      <c r="K770" s="13">
        <v>23</v>
      </c>
      <c r="L770" s="14"/>
      <c r="M770" s="14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3.2">
      <c r="A771" s="14"/>
      <c r="B771" s="5">
        <v>8</v>
      </c>
      <c r="C771" s="5">
        <f t="shared" si="159"/>
        <v>56</v>
      </c>
      <c r="D771" s="20">
        <v>43055</v>
      </c>
      <c r="E771" s="11">
        <v>332.1</v>
      </c>
      <c r="F771" s="12"/>
      <c r="G771" s="14"/>
      <c r="H771" s="14"/>
      <c r="I771" s="15"/>
      <c r="J771" s="14"/>
      <c r="K771" s="15"/>
      <c r="L771" s="14"/>
      <c r="M771" s="14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3.2">
      <c r="A772" s="14"/>
      <c r="B772" s="5">
        <v>8</v>
      </c>
      <c r="C772" s="5">
        <f t="shared" si="159"/>
        <v>57</v>
      </c>
      <c r="D772" s="20">
        <v>43056</v>
      </c>
      <c r="E772" s="11">
        <v>326.7</v>
      </c>
      <c r="F772" s="12">
        <f t="shared" ref="F772:F773" si="173">(E771-E772)/(D772-D771)</f>
        <v>5.4000000000000341</v>
      </c>
      <c r="G772" s="14"/>
      <c r="H772" s="14"/>
      <c r="I772" s="13">
        <v>42.8</v>
      </c>
      <c r="J772" s="15">
        <f>(I770-I772)/(D772-D770)</f>
        <v>2</v>
      </c>
      <c r="K772" s="13">
        <v>23.1</v>
      </c>
      <c r="L772" s="14"/>
      <c r="M772" s="14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3.2">
      <c r="A773" s="14"/>
      <c r="B773" s="5">
        <v>8</v>
      </c>
      <c r="C773" s="5">
        <f t="shared" si="159"/>
        <v>60</v>
      </c>
      <c r="D773" s="20">
        <v>43059</v>
      </c>
      <c r="E773" s="11">
        <v>312.60000000000002</v>
      </c>
      <c r="F773" s="12">
        <f t="shared" si="173"/>
        <v>4.6999999999999886</v>
      </c>
      <c r="G773" s="14"/>
      <c r="H773" s="14"/>
      <c r="I773" s="13">
        <v>34.700000000000003</v>
      </c>
      <c r="J773" s="15">
        <f>(I772-I773)/(D773-D772)</f>
        <v>2.699999999999998</v>
      </c>
      <c r="K773" s="13">
        <v>24.4</v>
      </c>
      <c r="L773" s="14"/>
      <c r="M773" s="14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3.2">
      <c r="A774" s="14"/>
      <c r="B774" s="5">
        <v>8</v>
      </c>
      <c r="C774" s="5">
        <f t="shared" si="159"/>
        <v>61</v>
      </c>
      <c r="D774" s="20">
        <v>43060</v>
      </c>
      <c r="E774" s="11">
        <v>346.4</v>
      </c>
      <c r="F774" s="12"/>
      <c r="G774" s="14"/>
      <c r="H774" s="14"/>
      <c r="I774" s="13"/>
      <c r="J774" s="14"/>
      <c r="K774" s="15"/>
      <c r="L774" s="14"/>
      <c r="M774" s="14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3.2">
      <c r="A775" s="14"/>
      <c r="B775" s="5">
        <v>9</v>
      </c>
      <c r="C775" s="5">
        <f t="shared" si="159"/>
        <v>62</v>
      </c>
      <c r="D775" s="20">
        <v>43061</v>
      </c>
      <c r="E775" s="11">
        <v>339.6</v>
      </c>
      <c r="F775" s="12">
        <f>(E774-E775)/(D775-D774)</f>
        <v>6.7999999999999545</v>
      </c>
      <c r="G775" s="14"/>
      <c r="H775" s="14"/>
      <c r="I775" s="13">
        <v>107.8</v>
      </c>
      <c r="J775" s="14">
        <f>(115-I775)/(D775-D774)</f>
        <v>7.2000000000000028</v>
      </c>
      <c r="K775" s="13">
        <v>26</v>
      </c>
      <c r="L775" s="14"/>
      <c r="M775" s="14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3.2">
      <c r="A776" s="14"/>
      <c r="B776" s="5">
        <v>9</v>
      </c>
      <c r="C776" s="5">
        <f t="shared" si="159"/>
        <v>63</v>
      </c>
      <c r="D776" s="20">
        <v>43062</v>
      </c>
      <c r="E776" s="11"/>
      <c r="F776" s="12"/>
      <c r="G776" s="14"/>
      <c r="H776" s="14"/>
      <c r="I776" s="13"/>
      <c r="J776" s="15"/>
      <c r="K776" s="13"/>
      <c r="L776" s="14"/>
      <c r="M776" s="14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3.2">
      <c r="A777" s="14"/>
      <c r="B777" s="5">
        <v>9</v>
      </c>
      <c r="C777" s="5">
        <f t="shared" si="159"/>
        <v>64</v>
      </c>
      <c r="D777" s="20">
        <v>43063</v>
      </c>
      <c r="E777" s="11">
        <v>330.6</v>
      </c>
      <c r="F777" s="12">
        <f>(E775-E777)/(D777-D775)</f>
        <v>4.5</v>
      </c>
      <c r="G777" s="14"/>
      <c r="H777" s="14"/>
      <c r="I777" s="13">
        <v>101.3</v>
      </c>
      <c r="J777" s="15">
        <f>(I775-I777)/(D777-D775)</f>
        <v>3.25</v>
      </c>
      <c r="K777" s="13">
        <v>27.5</v>
      </c>
      <c r="L777" s="14"/>
      <c r="M777" s="14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3.2">
      <c r="A778" s="14"/>
      <c r="B778" s="5">
        <v>9</v>
      </c>
      <c r="C778" s="5">
        <f t="shared" si="159"/>
        <v>67</v>
      </c>
      <c r="D778" s="23">
        <v>43066</v>
      </c>
      <c r="E778" s="11">
        <v>318.10000000000002</v>
      </c>
      <c r="F778" s="12">
        <f t="shared" ref="F778:F779" si="174">(E777-E778)/(D778-D777)</f>
        <v>4.166666666666667</v>
      </c>
      <c r="G778" s="14"/>
      <c r="H778" s="14"/>
      <c r="I778" s="13">
        <v>92.8</v>
      </c>
      <c r="J778" s="15">
        <f t="shared" ref="J778:J779" si="175">(I777-I778)/(D778-D777)</f>
        <v>2.8333333333333335</v>
      </c>
      <c r="K778" s="13">
        <v>28.4</v>
      </c>
      <c r="L778" s="14"/>
      <c r="M778" s="14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3.2">
      <c r="A779" s="14"/>
      <c r="B779" s="5">
        <v>9</v>
      </c>
      <c r="C779" s="5">
        <f t="shared" si="159"/>
        <v>69</v>
      </c>
      <c r="D779" s="23">
        <v>43068</v>
      </c>
      <c r="E779" s="11">
        <v>308.8</v>
      </c>
      <c r="F779" s="12">
        <f t="shared" si="174"/>
        <v>4.6500000000000057</v>
      </c>
      <c r="G779" s="14"/>
      <c r="H779" s="14"/>
      <c r="I779" s="13">
        <v>88</v>
      </c>
      <c r="J779" s="15">
        <f t="shared" si="175"/>
        <v>2.3999999999999986</v>
      </c>
      <c r="K779" s="13">
        <v>28.6</v>
      </c>
      <c r="L779" s="14"/>
      <c r="M779" s="14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3.2">
      <c r="A780" s="14"/>
      <c r="B780" s="5">
        <v>10</v>
      </c>
      <c r="C780" s="5">
        <f t="shared" si="159"/>
        <v>70</v>
      </c>
      <c r="D780" s="23">
        <v>43069</v>
      </c>
      <c r="E780" s="11">
        <v>318.5</v>
      </c>
      <c r="F780" s="12"/>
      <c r="G780" s="14"/>
      <c r="H780" s="14"/>
      <c r="I780" s="15"/>
      <c r="J780" s="14"/>
      <c r="K780" s="15"/>
      <c r="L780" s="14"/>
      <c r="M780" s="14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3.2">
      <c r="A781" s="14"/>
      <c r="B781" s="5">
        <v>10</v>
      </c>
      <c r="C781" s="5">
        <f t="shared" si="159"/>
        <v>71</v>
      </c>
      <c r="D781" s="23">
        <v>43070</v>
      </c>
      <c r="E781" s="11">
        <v>308</v>
      </c>
      <c r="F781" s="12">
        <f t="shared" ref="F781:F783" si="176">(E780-E781)/(D781-D780)</f>
        <v>10.5</v>
      </c>
      <c r="G781" s="14"/>
      <c r="H781" s="14"/>
      <c r="I781" s="13">
        <v>81.900000000000006</v>
      </c>
      <c r="J781" s="14">
        <f>(I779-I781)/(D781-D779)</f>
        <v>3.0499999999999972</v>
      </c>
      <c r="K781" s="13">
        <v>29.4</v>
      </c>
      <c r="L781" s="14"/>
      <c r="M781" s="14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3.2">
      <c r="A782" s="14"/>
      <c r="B782" s="5">
        <v>10</v>
      </c>
      <c r="C782" s="5">
        <f t="shared" si="159"/>
        <v>74</v>
      </c>
      <c r="D782" s="23">
        <v>43073</v>
      </c>
      <c r="E782" s="11">
        <v>296.89999999999998</v>
      </c>
      <c r="F782" s="12">
        <f t="shared" si="176"/>
        <v>3.7000000000000077</v>
      </c>
      <c r="G782" s="14"/>
      <c r="H782" s="14"/>
      <c r="I782" s="13">
        <v>75.2</v>
      </c>
      <c r="J782" s="15">
        <f t="shared" ref="J782:J783" si="177">(I781-I782)/(D782-D781)</f>
        <v>2.2333333333333343</v>
      </c>
      <c r="K782" s="13">
        <v>29.5</v>
      </c>
      <c r="L782" s="14"/>
      <c r="M782" s="14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3.2">
      <c r="A783" s="14"/>
      <c r="B783" s="5">
        <v>10</v>
      </c>
      <c r="C783" s="5">
        <f t="shared" si="159"/>
        <v>76</v>
      </c>
      <c r="D783" s="23">
        <v>43075</v>
      </c>
      <c r="E783" s="11">
        <v>283.89999999999998</v>
      </c>
      <c r="F783" s="12">
        <f t="shared" si="176"/>
        <v>6.5</v>
      </c>
      <c r="G783" s="14"/>
      <c r="H783" s="14"/>
      <c r="I783" s="139">
        <v>69.8</v>
      </c>
      <c r="J783" s="15">
        <f t="shared" si="177"/>
        <v>2.7000000000000028</v>
      </c>
      <c r="K783" s="13">
        <v>30.4</v>
      </c>
      <c r="L783" s="14"/>
      <c r="M783" s="14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3.2">
      <c r="A784" s="14"/>
      <c r="B784" s="5">
        <v>11</v>
      </c>
      <c r="C784" s="5">
        <f t="shared" si="159"/>
        <v>77</v>
      </c>
      <c r="D784" s="24">
        <v>43076</v>
      </c>
      <c r="E784" s="11">
        <v>334.4</v>
      </c>
      <c r="F784" s="12"/>
      <c r="G784" s="14"/>
      <c r="H784" s="14"/>
      <c r="I784" s="13"/>
      <c r="J784" s="14"/>
      <c r="K784" s="15"/>
      <c r="L784" s="14"/>
      <c r="M784" s="14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3.2">
      <c r="A785" s="14"/>
      <c r="B785" s="5">
        <v>11</v>
      </c>
      <c r="C785" s="5">
        <f t="shared" si="159"/>
        <v>78</v>
      </c>
      <c r="D785" s="24">
        <v>43077</v>
      </c>
      <c r="E785" s="11">
        <v>327.3</v>
      </c>
      <c r="F785" s="12">
        <f t="shared" ref="F785:F787" si="178">(E784-E785)/(D785-D784)</f>
        <v>7.0999999999999659</v>
      </c>
      <c r="G785" s="14"/>
      <c r="H785" s="14"/>
      <c r="I785" s="13">
        <v>65.8</v>
      </c>
      <c r="J785" s="14">
        <f>(I783-I785)/(D785-D784)</f>
        <v>4</v>
      </c>
      <c r="K785" s="13">
        <v>30</v>
      </c>
      <c r="L785" s="14"/>
      <c r="M785" s="14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3.2">
      <c r="A786" s="14"/>
      <c r="B786" s="5">
        <v>11</v>
      </c>
      <c r="C786" s="5">
        <f t="shared" si="159"/>
        <v>81</v>
      </c>
      <c r="D786" s="24">
        <v>43080</v>
      </c>
      <c r="E786" s="11">
        <v>317.60000000000002</v>
      </c>
      <c r="F786" s="12">
        <f t="shared" si="178"/>
        <v>3.2333333333333294</v>
      </c>
      <c r="G786" s="14"/>
      <c r="H786" s="14"/>
      <c r="I786" s="13">
        <v>59.1</v>
      </c>
      <c r="J786" s="15">
        <f t="shared" ref="J786:J787" si="179">(I785-I786)/(D786-D785)</f>
        <v>2.2333333333333321</v>
      </c>
      <c r="K786" s="13">
        <v>30.2</v>
      </c>
      <c r="L786" s="14"/>
      <c r="M786" s="14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3.2">
      <c r="A787" s="14"/>
      <c r="B787" s="5">
        <v>11</v>
      </c>
      <c r="C787" s="5">
        <f t="shared" si="159"/>
        <v>83</v>
      </c>
      <c r="D787" s="25">
        <v>43082</v>
      </c>
      <c r="E787" s="11">
        <v>305.5</v>
      </c>
      <c r="F787" s="12">
        <f t="shared" si="178"/>
        <v>6.0500000000000114</v>
      </c>
      <c r="G787" s="14"/>
      <c r="H787" s="14"/>
      <c r="I787" s="13">
        <v>54.6</v>
      </c>
      <c r="J787" s="15">
        <f t="shared" si="179"/>
        <v>2.25</v>
      </c>
      <c r="K787" s="13">
        <v>30.5</v>
      </c>
      <c r="L787" s="14"/>
      <c r="M787" s="14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3.2">
      <c r="A788" s="14"/>
      <c r="B788" s="5">
        <v>12</v>
      </c>
      <c r="C788" s="5">
        <f t="shared" si="159"/>
        <v>84</v>
      </c>
      <c r="D788" s="24">
        <v>43083</v>
      </c>
      <c r="E788" s="12"/>
      <c r="F788" s="12"/>
      <c r="G788" s="14"/>
      <c r="H788" s="14"/>
      <c r="I788" s="13"/>
      <c r="J788" s="14"/>
      <c r="K788" s="13"/>
      <c r="L788" s="14"/>
      <c r="M788" s="14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3.2">
      <c r="A789" s="80"/>
      <c r="B789" s="76">
        <v>12</v>
      </c>
      <c r="C789" s="76">
        <f t="shared" si="159"/>
        <v>85</v>
      </c>
      <c r="D789" s="90">
        <v>43084</v>
      </c>
      <c r="E789" s="91"/>
      <c r="F789" s="91"/>
      <c r="G789" s="80"/>
      <c r="H789" s="80"/>
      <c r="I789" s="81"/>
      <c r="J789" s="80"/>
      <c r="K789" s="81">
        <v>31.1</v>
      </c>
      <c r="L789" s="80"/>
      <c r="M789" s="80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3.2">
      <c r="A790" s="14"/>
      <c r="B790" s="5">
        <v>12</v>
      </c>
      <c r="C790" s="5">
        <f t="shared" si="159"/>
        <v>98</v>
      </c>
      <c r="D790" s="32">
        <v>43097</v>
      </c>
      <c r="E790" s="12"/>
      <c r="F790" s="12"/>
      <c r="G790" s="14"/>
      <c r="H790" s="14"/>
      <c r="I790" s="33">
        <v>68</v>
      </c>
      <c r="J790" s="14"/>
      <c r="K790" s="33">
        <v>33.6</v>
      </c>
      <c r="L790" s="14"/>
      <c r="M790" s="14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3.2">
      <c r="A791" s="14"/>
      <c r="B791" s="5">
        <v>12</v>
      </c>
      <c r="C791" s="5">
        <f t="shared" si="159"/>
        <v>105</v>
      </c>
      <c r="D791" s="32">
        <v>43104</v>
      </c>
      <c r="E791" s="12"/>
      <c r="F791" s="12"/>
      <c r="G791" s="14"/>
      <c r="H791" s="14"/>
      <c r="I791" s="33">
        <v>49.3</v>
      </c>
      <c r="J791" s="14"/>
      <c r="K791" s="33">
        <v>34.700000000000003</v>
      </c>
      <c r="L791" s="14"/>
      <c r="M791" s="14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3.2">
      <c r="A792" s="14"/>
      <c r="B792" s="14"/>
      <c r="C792" s="5">
        <f t="shared" si="159"/>
        <v>112</v>
      </c>
      <c r="D792" s="32">
        <v>43111</v>
      </c>
      <c r="E792" s="12"/>
      <c r="F792" s="12"/>
      <c r="G792" s="14"/>
      <c r="H792" s="14"/>
      <c r="I792" s="33">
        <v>42.3</v>
      </c>
      <c r="J792" s="14"/>
      <c r="K792" s="33">
        <v>30.3</v>
      </c>
      <c r="L792" s="14"/>
      <c r="M792" s="14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3.2">
      <c r="A793" s="14"/>
      <c r="B793" s="14"/>
      <c r="C793" s="5">
        <f t="shared" si="159"/>
        <v>116</v>
      </c>
      <c r="D793" s="94">
        <v>43115</v>
      </c>
      <c r="E793" s="12"/>
      <c r="F793" s="12"/>
      <c r="G793" s="14"/>
      <c r="H793" s="14"/>
      <c r="I793" s="33">
        <v>36.5</v>
      </c>
      <c r="J793" s="14"/>
      <c r="K793" s="33">
        <v>29.7</v>
      </c>
      <c r="L793" s="14"/>
      <c r="M793" s="14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3.2">
      <c r="A794" s="14"/>
      <c r="B794" s="14"/>
      <c r="C794" s="5">
        <f t="shared" si="159"/>
        <v>117</v>
      </c>
      <c r="D794" s="32">
        <v>43116</v>
      </c>
      <c r="E794" s="12"/>
      <c r="F794" s="12"/>
      <c r="G794" s="14"/>
      <c r="H794" s="14"/>
      <c r="I794" s="33">
        <v>34.799999999999997</v>
      </c>
      <c r="J794" s="14"/>
      <c r="K794" s="33">
        <v>29.4</v>
      </c>
      <c r="L794" s="14"/>
      <c r="M794" s="14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3.2">
      <c r="A795" s="14"/>
      <c r="B795" s="14"/>
      <c r="C795" s="5">
        <f t="shared" si="159"/>
        <v>118</v>
      </c>
      <c r="D795" s="32">
        <v>43117</v>
      </c>
      <c r="E795" s="12"/>
      <c r="F795" s="12"/>
      <c r="G795" s="14"/>
      <c r="H795" s="14"/>
      <c r="I795" s="33">
        <v>81.400000000000006</v>
      </c>
      <c r="J795" s="14"/>
      <c r="K795" s="33">
        <v>30.2</v>
      </c>
      <c r="L795" s="14"/>
      <c r="M795" s="14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3.2">
      <c r="A796" s="14"/>
      <c r="B796" s="14"/>
      <c r="C796" s="5">
        <f t="shared" si="159"/>
        <v>119</v>
      </c>
      <c r="D796" s="32">
        <v>43118</v>
      </c>
      <c r="E796" s="12"/>
      <c r="F796" s="12"/>
      <c r="G796" s="14"/>
      <c r="H796" s="14"/>
      <c r="I796" s="33">
        <v>78.5</v>
      </c>
      <c r="J796" s="14"/>
      <c r="K796" s="33">
        <v>30.9</v>
      </c>
      <c r="L796" s="14"/>
      <c r="M796" s="14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3.2">
      <c r="A797" s="14"/>
      <c r="B797" s="14"/>
      <c r="C797" s="5">
        <f t="shared" si="159"/>
        <v>120</v>
      </c>
      <c r="D797" s="32">
        <v>43119</v>
      </c>
      <c r="E797" s="12"/>
      <c r="F797" s="12"/>
      <c r="G797" s="14"/>
      <c r="H797" s="14"/>
      <c r="I797" s="33">
        <v>76</v>
      </c>
      <c r="J797" s="14"/>
      <c r="K797" s="33">
        <v>31</v>
      </c>
      <c r="L797" s="14"/>
      <c r="M797" s="14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3.2">
      <c r="A798" s="14"/>
      <c r="B798" s="14"/>
      <c r="C798" s="5">
        <f t="shared" si="159"/>
        <v>121</v>
      </c>
      <c r="D798" s="32">
        <v>43120</v>
      </c>
      <c r="E798" s="12"/>
      <c r="F798" s="12"/>
      <c r="G798" s="14"/>
      <c r="H798" s="14"/>
      <c r="I798" s="33">
        <v>73.400000000000006</v>
      </c>
      <c r="J798" s="14"/>
      <c r="K798" s="33">
        <v>31.3</v>
      </c>
      <c r="L798" s="14"/>
      <c r="M798" s="14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3.2">
      <c r="A799" s="14"/>
      <c r="B799" s="14"/>
      <c r="C799" s="5">
        <f t="shared" si="159"/>
        <v>122</v>
      </c>
      <c r="D799" s="32">
        <v>43121</v>
      </c>
      <c r="E799" s="12"/>
      <c r="F799" s="12"/>
      <c r="G799" s="14"/>
      <c r="H799" s="14"/>
      <c r="I799" s="33">
        <v>70.599999999999994</v>
      </c>
      <c r="J799" s="14"/>
      <c r="K799" s="33">
        <v>31.7</v>
      </c>
      <c r="L799" s="14"/>
      <c r="M799" s="14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3.2">
      <c r="A800" s="14"/>
      <c r="B800" s="14"/>
      <c r="C800" s="5">
        <f t="shared" si="159"/>
        <v>123</v>
      </c>
      <c r="D800" s="32">
        <v>43122</v>
      </c>
      <c r="E800" s="12"/>
      <c r="F800" s="12"/>
      <c r="G800" s="14"/>
      <c r="H800" s="14"/>
      <c r="I800" s="33">
        <v>67.400000000000006</v>
      </c>
      <c r="J800" s="14"/>
      <c r="K800" s="33">
        <v>32.4</v>
      </c>
      <c r="L800" s="14"/>
      <c r="M800" s="14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3.2">
      <c r="A801" s="14"/>
      <c r="B801" s="14"/>
      <c r="C801" s="5">
        <f t="shared" si="159"/>
        <v>124</v>
      </c>
      <c r="D801" s="32">
        <v>43123</v>
      </c>
      <c r="E801" s="12"/>
      <c r="F801" s="12"/>
      <c r="G801" s="14"/>
      <c r="H801" s="14"/>
      <c r="I801" s="33">
        <v>64.900000000000006</v>
      </c>
      <c r="J801" s="14"/>
      <c r="K801" s="33">
        <v>32.4</v>
      </c>
      <c r="L801" s="14"/>
      <c r="M801" s="14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3.2">
      <c r="A802" s="14"/>
      <c r="B802" s="14"/>
      <c r="C802" s="5">
        <f t="shared" si="159"/>
        <v>125</v>
      </c>
      <c r="D802" s="52">
        <v>43124</v>
      </c>
      <c r="E802" s="12"/>
      <c r="F802" s="12"/>
      <c r="G802" s="14"/>
      <c r="H802" s="14"/>
      <c r="I802" s="33">
        <v>62.8</v>
      </c>
      <c r="J802" s="14"/>
      <c r="K802" s="33">
        <v>32.4</v>
      </c>
      <c r="L802" s="14"/>
      <c r="M802" s="14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3.2">
      <c r="A803" s="5" t="s">
        <v>77</v>
      </c>
      <c r="B803" s="14"/>
      <c r="C803" s="5">
        <f t="shared" si="159"/>
        <v>126</v>
      </c>
      <c r="D803" s="106">
        <v>43125</v>
      </c>
      <c r="E803" s="12"/>
      <c r="F803" s="12"/>
      <c r="G803" s="14"/>
      <c r="H803" s="14"/>
      <c r="I803" s="107">
        <v>60.4</v>
      </c>
      <c r="J803" s="14"/>
      <c r="K803" s="107">
        <v>32.5</v>
      </c>
      <c r="L803" s="14"/>
      <c r="M803" s="14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3.2">
      <c r="A804" s="14"/>
      <c r="B804" s="14"/>
      <c r="C804" s="5">
        <f t="shared" si="159"/>
        <v>127</v>
      </c>
      <c r="D804" s="52">
        <v>43126</v>
      </c>
      <c r="E804" s="12"/>
      <c r="F804" s="12"/>
      <c r="G804" s="14"/>
      <c r="H804" s="14"/>
      <c r="I804" s="33" t="s">
        <v>71</v>
      </c>
      <c r="J804" s="14"/>
      <c r="K804" s="33">
        <v>31.3</v>
      </c>
      <c r="L804" s="14"/>
      <c r="M804" s="14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3.2">
      <c r="A805" s="14"/>
      <c r="B805" s="14"/>
      <c r="C805" s="5">
        <f t="shared" si="159"/>
        <v>128</v>
      </c>
      <c r="D805" s="52">
        <v>43127</v>
      </c>
      <c r="E805" s="12"/>
      <c r="F805" s="12"/>
      <c r="G805" s="14"/>
      <c r="H805" s="14"/>
      <c r="I805" s="33" t="s">
        <v>71</v>
      </c>
      <c r="J805" s="14"/>
      <c r="K805" s="33">
        <v>30.5</v>
      </c>
      <c r="L805" s="14"/>
      <c r="M805" s="14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3.2">
      <c r="A806" s="14"/>
      <c r="B806" s="14"/>
      <c r="C806" s="5">
        <v>129</v>
      </c>
      <c r="D806" s="52">
        <v>43128</v>
      </c>
      <c r="E806" s="12"/>
      <c r="F806" s="12"/>
      <c r="G806" s="14"/>
      <c r="H806" s="14"/>
      <c r="I806" s="33" t="s">
        <v>71</v>
      </c>
      <c r="J806" s="14"/>
      <c r="K806" s="33">
        <v>29.8</v>
      </c>
      <c r="L806" s="14"/>
      <c r="M806" s="14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3.2">
      <c r="A807" s="14"/>
      <c r="B807" s="14"/>
      <c r="C807" s="5">
        <v>130</v>
      </c>
      <c r="D807" s="52">
        <v>43129</v>
      </c>
      <c r="E807" s="12"/>
      <c r="F807" s="12"/>
      <c r="G807" s="14"/>
      <c r="H807" s="14"/>
      <c r="I807" s="33" t="s">
        <v>71</v>
      </c>
      <c r="J807" s="14"/>
      <c r="K807" s="33">
        <v>29.4</v>
      </c>
      <c r="L807" s="14"/>
      <c r="M807" s="14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3.2">
      <c r="A808" s="14"/>
      <c r="B808" s="14"/>
      <c r="C808" s="5">
        <v>131</v>
      </c>
      <c r="D808" s="52">
        <v>43130</v>
      </c>
      <c r="E808" s="12"/>
      <c r="F808" s="12"/>
      <c r="G808" s="14"/>
      <c r="H808" s="14"/>
      <c r="I808" s="33" t="s">
        <v>71</v>
      </c>
      <c r="J808" s="14"/>
      <c r="K808" s="33">
        <v>28.8</v>
      </c>
      <c r="L808" s="14"/>
      <c r="M808" s="14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3.2">
      <c r="A809" s="14"/>
      <c r="B809" s="14"/>
      <c r="C809" s="5">
        <v>132</v>
      </c>
      <c r="D809" s="121">
        <v>43131</v>
      </c>
      <c r="E809" s="12"/>
      <c r="F809" s="12"/>
      <c r="G809" s="14"/>
      <c r="H809" s="14"/>
      <c r="I809" s="120" t="s">
        <v>71</v>
      </c>
      <c r="J809" s="14"/>
      <c r="K809" s="120">
        <v>28.5</v>
      </c>
      <c r="L809" s="14"/>
      <c r="M809" s="14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3.2">
      <c r="A810" s="14"/>
      <c r="B810" s="14"/>
      <c r="C810" s="5">
        <v>133</v>
      </c>
      <c r="D810" s="122">
        <v>43132</v>
      </c>
      <c r="E810" s="12"/>
      <c r="F810" s="12"/>
      <c r="G810" s="14"/>
      <c r="H810" s="14"/>
      <c r="I810" s="120" t="s">
        <v>71</v>
      </c>
      <c r="J810" s="14"/>
      <c r="K810" s="120">
        <v>27.9</v>
      </c>
      <c r="L810" s="14"/>
      <c r="M810" s="14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3.2">
      <c r="A811" s="14"/>
      <c r="B811" s="14"/>
      <c r="C811" s="5">
        <v>134</v>
      </c>
      <c r="D811" s="122">
        <v>43133</v>
      </c>
      <c r="E811" s="12"/>
      <c r="F811" s="12"/>
      <c r="G811" s="14"/>
      <c r="H811" s="14"/>
      <c r="I811" s="124" t="s">
        <v>71</v>
      </c>
      <c r="J811" s="14"/>
      <c r="K811" s="120">
        <v>27.4</v>
      </c>
      <c r="L811" s="14"/>
      <c r="M811" s="14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3.2">
      <c r="A812" s="14"/>
      <c r="B812" s="14"/>
      <c r="C812" s="5">
        <v>135</v>
      </c>
      <c r="D812" s="122">
        <v>43134</v>
      </c>
      <c r="E812" s="12"/>
      <c r="F812" s="12"/>
      <c r="G812" s="14"/>
      <c r="H812" s="14"/>
      <c r="I812" s="124" t="s">
        <v>71</v>
      </c>
      <c r="J812" s="14"/>
      <c r="K812" s="120">
        <v>26.4</v>
      </c>
      <c r="L812" s="14"/>
      <c r="M812" s="14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3.2">
      <c r="A813" s="14"/>
      <c r="B813" s="14"/>
      <c r="C813" s="5">
        <v>136</v>
      </c>
      <c r="D813" s="122">
        <v>43135</v>
      </c>
      <c r="E813" s="12"/>
      <c r="F813" s="12"/>
      <c r="G813" s="14"/>
      <c r="H813" s="14"/>
      <c r="I813" s="124" t="s">
        <v>71</v>
      </c>
      <c r="J813" s="14"/>
      <c r="K813" s="120">
        <v>26</v>
      </c>
      <c r="L813" s="14"/>
      <c r="M813" s="14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3.2">
      <c r="A814" s="14"/>
      <c r="B814" s="14"/>
      <c r="C814" s="5">
        <v>137</v>
      </c>
      <c r="D814" s="122">
        <v>43136</v>
      </c>
      <c r="E814" s="12"/>
      <c r="F814" s="12"/>
      <c r="G814" s="14"/>
      <c r="H814" s="14"/>
      <c r="I814" s="124" t="s">
        <v>71</v>
      </c>
      <c r="J814" s="14"/>
      <c r="K814" s="120">
        <v>25.6</v>
      </c>
      <c r="L814" s="14"/>
      <c r="M814" s="14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3.2">
      <c r="A815" s="14"/>
      <c r="B815" s="14"/>
      <c r="C815" s="5">
        <v>138</v>
      </c>
      <c r="D815" s="122">
        <v>43137</v>
      </c>
      <c r="E815" s="12"/>
      <c r="F815" s="12"/>
      <c r="G815" s="14"/>
      <c r="H815" s="14"/>
      <c r="I815" s="124" t="s">
        <v>71</v>
      </c>
      <c r="J815" s="14"/>
      <c r="K815" s="120">
        <v>25.4</v>
      </c>
      <c r="L815" s="14"/>
      <c r="M815" s="14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3.2">
      <c r="A816" s="14"/>
      <c r="B816" s="14"/>
      <c r="C816" s="5">
        <v>139</v>
      </c>
      <c r="D816" s="20">
        <v>43138</v>
      </c>
      <c r="E816" s="12"/>
      <c r="F816" s="12"/>
      <c r="G816" s="14"/>
      <c r="H816" s="14"/>
      <c r="I816" s="125" t="s">
        <v>71</v>
      </c>
      <c r="J816" s="14"/>
      <c r="K816" s="125">
        <v>24.7</v>
      </c>
      <c r="L816" s="14"/>
      <c r="M816" s="14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3.2">
      <c r="A817" s="14"/>
      <c r="B817" s="14"/>
      <c r="C817" s="5">
        <v>140</v>
      </c>
      <c r="D817" s="20">
        <v>43139</v>
      </c>
      <c r="E817" s="12"/>
      <c r="F817" s="12"/>
      <c r="G817" s="14"/>
      <c r="H817" s="14"/>
      <c r="I817" s="125" t="s">
        <v>71</v>
      </c>
      <c r="J817" s="14"/>
      <c r="K817" s="125">
        <v>24.2</v>
      </c>
      <c r="L817" s="14"/>
      <c r="M817" s="14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3.2">
      <c r="A818" s="14"/>
      <c r="B818" s="14"/>
      <c r="C818" s="5">
        <v>141</v>
      </c>
      <c r="D818" s="20">
        <v>43140</v>
      </c>
      <c r="E818" s="12"/>
      <c r="F818" s="12"/>
      <c r="G818" s="14"/>
      <c r="H818" s="14"/>
      <c r="I818" s="125" t="s">
        <v>71</v>
      </c>
      <c r="J818" s="14"/>
      <c r="K818" s="125">
        <v>23.6</v>
      </c>
      <c r="L818" s="14"/>
      <c r="M818" s="14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3.2">
      <c r="A819" s="14"/>
      <c r="B819" s="14"/>
      <c r="C819" s="5">
        <v>142</v>
      </c>
      <c r="D819" s="20">
        <v>43141</v>
      </c>
      <c r="E819" s="12"/>
      <c r="F819" s="12"/>
      <c r="G819" s="14"/>
      <c r="H819" s="14"/>
      <c r="I819" s="125" t="s">
        <v>71</v>
      </c>
      <c r="J819" s="14"/>
      <c r="K819" s="125">
        <v>23.3</v>
      </c>
      <c r="L819" s="14"/>
      <c r="M819" s="14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3.2">
      <c r="A820" s="14"/>
      <c r="B820" s="14"/>
      <c r="C820" s="5">
        <v>143</v>
      </c>
      <c r="D820" s="20">
        <v>43142</v>
      </c>
      <c r="E820" s="12"/>
      <c r="F820" s="12"/>
      <c r="G820" s="14"/>
      <c r="H820" s="14"/>
      <c r="I820" s="125" t="s">
        <v>71</v>
      </c>
      <c r="J820" s="14"/>
      <c r="K820" s="125">
        <v>23.1</v>
      </c>
      <c r="L820" s="14"/>
      <c r="M820" s="14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3.2">
      <c r="A821" s="14"/>
      <c r="B821" s="14"/>
      <c r="C821" s="5">
        <v>144</v>
      </c>
      <c r="D821" s="20">
        <v>43143</v>
      </c>
      <c r="E821" s="12"/>
      <c r="F821" s="12"/>
      <c r="G821" s="14"/>
      <c r="H821" s="14"/>
      <c r="I821" s="125" t="s">
        <v>71</v>
      </c>
      <c r="J821" s="14"/>
      <c r="K821" s="125">
        <v>22.8</v>
      </c>
      <c r="L821" s="14"/>
      <c r="M821" s="14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3.2">
      <c r="A822" s="14"/>
      <c r="B822" s="14"/>
      <c r="C822" s="5">
        <v>145</v>
      </c>
      <c r="D822" s="20">
        <v>43144</v>
      </c>
      <c r="E822" s="12"/>
      <c r="F822" s="12"/>
      <c r="G822" s="14"/>
      <c r="H822" s="14"/>
      <c r="I822" s="125" t="s">
        <v>71</v>
      </c>
      <c r="J822" s="14"/>
      <c r="K822" s="125">
        <v>22.5</v>
      </c>
      <c r="L822" s="14"/>
      <c r="M822" s="14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3.2">
      <c r="A823" s="14"/>
      <c r="B823" s="14"/>
      <c r="C823" s="5">
        <v>146</v>
      </c>
      <c r="D823" s="20">
        <v>43145</v>
      </c>
      <c r="E823" s="12"/>
      <c r="F823" s="12"/>
      <c r="G823" s="14"/>
      <c r="H823" s="14"/>
      <c r="I823" s="125" t="s">
        <v>71</v>
      </c>
      <c r="J823" s="14"/>
      <c r="K823" s="125">
        <v>22.3</v>
      </c>
      <c r="L823" s="14"/>
      <c r="M823" s="14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3.2">
      <c r="A824" s="14"/>
      <c r="B824" s="14"/>
      <c r="C824" s="5">
        <v>147</v>
      </c>
      <c r="D824" s="20">
        <v>43146</v>
      </c>
      <c r="E824" s="12"/>
      <c r="F824" s="12"/>
      <c r="G824" s="14"/>
      <c r="H824" s="14"/>
      <c r="I824" s="125" t="s">
        <v>71</v>
      </c>
      <c r="J824" s="14"/>
      <c r="K824" s="125">
        <v>22</v>
      </c>
      <c r="L824" s="14"/>
      <c r="M824" s="14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3.2">
      <c r="A825" s="14"/>
      <c r="B825" s="14"/>
      <c r="C825" s="5">
        <v>148</v>
      </c>
      <c r="D825" s="20">
        <v>43147</v>
      </c>
      <c r="E825" s="12"/>
      <c r="F825" s="12"/>
      <c r="G825" s="14"/>
      <c r="H825" s="14"/>
      <c r="I825" s="125" t="s">
        <v>71</v>
      </c>
      <c r="J825" s="14"/>
      <c r="K825" s="125">
        <v>21.5</v>
      </c>
      <c r="L825" s="14"/>
      <c r="M825" s="14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3.2">
      <c r="A826" s="14"/>
      <c r="B826" s="14"/>
      <c r="C826" s="5">
        <v>149</v>
      </c>
      <c r="D826" s="20">
        <v>43148</v>
      </c>
      <c r="E826" s="12"/>
      <c r="F826" s="12"/>
      <c r="G826" s="14"/>
      <c r="H826" s="14"/>
      <c r="I826" s="125" t="s">
        <v>71</v>
      </c>
      <c r="J826" s="14"/>
      <c r="K826" s="125">
        <v>21.3</v>
      </c>
      <c r="L826" s="14"/>
      <c r="M826" s="14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3.2">
      <c r="A827" s="14"/>
      <c r="B827" s="14"/>
      <c r="C827" s="14">
        <f t="shared" ref="C827:C836" si="180">C826+1</f>
        <v>150</v>
      </c>
      <c r="D827" s="20">
        <v>43149</v>
      </c>
      <c r="E827" s="12"/>
      <c r="F827" s="12"/>
      <c r="G827" s="14"/>
      <c r="H827" s="14"/>
      <c r="I827" s="13" t="s">
        <v>71</v>
      </c>
      <c r="J827" s="14"/>
      <c r="K827" s="13">
        <v>21.4</v>
      </c>
      <c r="L827" s="14"/>
      <c r="M827" s="14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3.2">
      <c r="A828" s="14"/>
      <c r="B828" s="14"/>
      <c r="C828" s="14">
        <f t="shared" si="180"/>
        <v>151</v>
      </c>
      <c r="D828" s="20">
        <v>43150</v>
      </c>
      <c r="E828" s="12"/>
      <c r="F828" s="12"/>
      <c r="G828" s="14"/>
      <c r="H828" s="14"/>
      <c r="I828" s="13" t="s">
        <v>71</v>
      </c>
      <c r="J828" s="14"/>
      <c r="K828" s="13">
        <v>21</v>
      </c>
      <c r="L828" s="14"/>
      <c r="M828" s="14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3.2">
      <c r="A829" s="14"/>
      <c r="B829" s="14"/>
      <c r="C829" s="14">
        <f t="shared" si="180"/>
        <v>152</v>
      </c>
      <c r="D829" s="20">
        <v>43151</v>
      </c>
      <c r="E829" s="12"/>
      <c r="F829" s="12"/>
      <c r="G829" s="14"/>
      <c r="H829" s="14"/>
      <c r="I829" s="13" t="s">
        <v>71</v>
      </c>
      <c r="J829" s="14"/>
      <c r="K829" s="13">
        <v>21</v>
      </c>
      <c r="L829" s="14"/>
      <c r="M829" s="14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3.2">
      <c r="A830" s="14"/>
      <c r="B830" s="14"/>
      <c r="C830" s="14">
        <f t="shared" si="180"/>
        <v>153</v>
      </c>
      <c r="D830" s="20">
        <v>43152</v>
      </c>
      <c r="E830" s="12"/>
      <c r="F830" s="12"/>
      <c r="G830" s="14"/>
      <c r="H830" s="14"/>
      <c r="I830" s="13" t="s">
        <v>71</v>
      </c>
      <c r="J830" s="14"/>
      <c r="K830" s="13">
        <v>20.6</v>
      </c>
      <c r="L830" s="14"/>
      <c r="M830" s="14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3.2">
      <c r="A831" s="14"/>
      <c r="B831" s="14"/>
      <c r="C831" s="14">
        <f t="shared" si="180"/>
        <v>154</v>
      </c>
      <c r="D831" s="20">
        <v>43153</v>
      </c>
      <c r="E831" s="12"/>
      <c r="F831" s="12"/>
      <c r="G831" s="14"/>
      <c r="H831" s="14"/>
      <c r="I831" s="13" t="s">
        <v>71</v>
      </c>
      <c r="J831" s="14"/>
      <c r="K831" s="13">
        <v>20.6</v>
      </c>
      <c r="L831" s="14"/>
      <c r="M831" s="14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3.2">
      <c r="A832" s="14"/>
      <c r="B832" s="14"/>
      <c r="C832" s="14">
        <f t="shared" si="180"/>
        <v>155</v>
      </c>
      <c r="D832" s="20">
        <v>43154</v>
      </c>
      <c r="E832" s="12"/>
      <c r="F832" s="12"/>
      <c r="G832" s="14"/>
      <c r="H832" s="14"/>
      <c r="I832" s="13" t="s">
        <v>71</v>
      </c>
      <c r="J832" s="14"/>
      <c r="K832" s="13">
        <v>20.399999999999999</v>
      </c>
      <c r="L832" s="14"/>
      <c r="M832" s="14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3.2">
      <c r="A833" s="14"/>
      <c r="B833" s="14"/>
      <c r="C833" s="14">
        <f t="shared" si="180"/>
        <v>156</v>
      </c>
      <c r="D833" s="20">
        <v>43155</v>
      </c>
      <c r="E833" s="12"/>
      <c r="F833" s="12"/>
      <c r="G833" s="14"/>
      <c r="H833" s="14"/>
      <c r="I833" s="13">
        <v>56.7</v>
      </c>
      <c r="J833" s="14"/>
      <c r="K833" s="13">
        <v>20.100000000000001</v>
      </c>
      <c r="L833" s="14"/>
      <c r="M833" s="14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3.2">
      <c r="A834" s="14"/>
      <c r="B834" s="14"/>
      <c r="C834" s="14">
        <f t="shared" si="180"/>
        <v>157</v>
      </c>
      <c r="D834" s="20">
        <v>43156</v>
      </c>
      <c r="E834" s="12"/>
      <c r="F834" s="12"/>
      <c r="G834" s="14"/>
      <c r="H834" s="14"/>
      <c r="I834" s="13">
        <v>52.9</v>
      </c>
      <c r="J834" s="14"/>
      <c r="K834" s="13">
        <v>22.2</v>
      </c>
      <c r="L834" s="14"/>
      <c r="M834" s="14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3.2">
      <c r="A835" s="14"/>
      <c r="B835" s="14"/>
      <c r="C835" s="14">
        <f t="shared" si="180"/>
        <v>158</v>
      </c>
      <c r="D835" s="20">
        <v>43157</v>
      </c>
      <c r="E835" s="12"/>
      <c r="F835" s="12"/>
      <c r="G835" s="14"/>
      <c r="H835" s="14"/>
      <c r="I835" s="13">
        <v>50.1</v>
      </c>
      <c r="J835" s="14"/>
      <c r="K835" s="13">
        <v>22.5</v>
      </c>
      <c r="L835" s="14"/>
      <c r="M835" s="14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3.2">
      <c r="A836" s="14"/>
      <c r="B836" s="14"/>
      <c r="C836" s="14">
        <f t="shared" si="180"/>
        <v>159</v>
      </c>
      <c r="D836" s="20">
        <v>43158</v>
      </c>
      <c r="E836" s="12"/>
      <c r="F836" s="12"/>
      <c r="G836" s="14"/>
      <c r="H836" s="14"/>
      <c r="I836" s="13">
        <v>46.2</v>
      </c>
      <c r="J836" s="14"/>
      <c r="K836" s="13">
        <v>22.8</v>
      </c>
      <c r="L836" s="14"/>
      <c r="M836" s="14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3.2">
      <c r="A837" s="14"/>
      <c r="B837" s="14"/>
      <c r="C837" s="5">
        <v>166</v>
      </c>
      <c r="D837" s="20">
        <v>43165</v>
      </c>
      <c r="E837" s="12"/>
      <c r="F837" s="12"/>
      <c r="G837" s="14"/>
      <c r="H837" s="14"/>
      <c r="I837" s="13">
        <v>20.2</v>
      </c>
      <c r="J837" s="14"/>
      <c r="K837" s="13">
        <v>25.4</v>
      </c>
      <c r="L837" s="14"/>
      <c r="M837" s="14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3.2">
      <c r="A838" s="14"/>
      <c r="B838" s="14"/>
      <c r="C838" s="5">
        <v>173</v>
      </c>
      <c r="D838" s="20">
        <v>43172</v>
      </c>
      <c r="E838" s="12"/>
      <c r="F838" s="12"/>
      <c r="G838" s="14"/>
      <c r="H838" s="14"/>
      <c r="I838" s="13">
        <v>70.099999999999994</v>
      </c>
      <c r="J838" s="14"/>
      <c r="K838" s="13">
        <v>25.4</v>
      </c>
      <c r="L838" s="14"/>
      <c r="M838" s="14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3.2">
      <c r="A839" s="14"/>
      <c r="B839" s="14"/>
      <c r="C839" s="14"/>
      <c r="D839" s="14"/>
      <c r="E839" s="12"/>
      <c r="F839" s="12"/>
      <c r="G839" s="14"/>
      <c r="H839" s="14"/>
      <c r="I839" s="13"/>
      <c r="J839" s="14"/>
      <c r="K839" s="15"/>
      <c r="L839" s="14"/>
      <c r="M839" s="14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3.2">
      <c r="A840" s="14"/>
      <c r="B840" s="14"/>
      <c r="C840" s="14"/>
      <c r="D840" s="14"/>
      <c r="E840" s="12"/>
      <c r="F840" s="12"/>
      <c r="G840" s="14"/>
      <c r="H840" s="14"/>
      <c r="I840" s="13"/>
      <c r="J840" s="14"/>
      <c r="K840" s="15"/>
      <c r="L840" s="14"/>
      <c r="M840" s="14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3.2">
      <c r="A841" s="14"/>
      <c r="B841" s="14"/>
      <c r="C841" s="14"/>
      <c r="D841" s="14"/>
      <c r="E841" s="12"/>
      <c r="F841" s="12"/>
      <c r="G841" s="14"/>
      <c r="H841" s="14"/>
      <c r="I841" s="13"/>
      <c r="J841" s="14"/>
      <c r="K841" s="15"/>
      <c r="L841" s="14"/>
      <c r="M841" s="14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3.2">
      <c r="A842" s="14"/>
      <c r="B842" s="14"/>
      <c r="C842" s="14"/>
      <c r="D842" s="14"/>
      <c r="E842" s="12"/>
      <c r="F842" s="12"/>
      <c r="G842" s="14"/>
      <c r="H842" s="14"/>
      <c r="I842" s="13">
        <v>79.8</v>
      </c>
      <c r="J842" s="14"/>
      <c r="K842" s="15"/>
      <c r="L842" s="14"/>
      <c r="M842" s="14"/>
      <c r="N842" s="7"/>
      <c r="O842" s="7"/>
      <c r="P842" s="7">
        <f>SUM(O842:O854)-104.4</f>
        <v>243.70000000000013</v>
      </c>
      <c r="Q842" s="7"/>
      <c r="R842" s="7"/>
      <c r="S842" s="73">
        <f>I842-I847</f>
        <v>24.9</v>
      </c>
      <c r="T842" s="7"/>
      <c r="U842" s="7">
        <f>SUM(T842:T843)</f>
        <v>1205.2</v>
      </c>
      <c r="V842" s="7"/>
      <c r="W842" s="7"/>
      <c r="X842" s="7"/>
      <c r="Y842" s="7"/>
      <c r="Z842" s="7"/>
      <c r="AA842" s="7"/>
      <c r="AB842" s="7"/>
    </row>
    <row r="843" spans="1:28" ht="13.2">
      <c r="A843" s="72" t="s">
        <v>99</v>
      </c>
      <c r="B843" s="5">
        <v>0</v>
      </c>
      <c r="C843" s="5">
        <v>0</v>
      </c>
      <c r="D843" s="9">
        <v>42992</v>
      </c>
      <c r="E843" s="10">
        <v>383.5</v>
      </c>
      <c r="F843" s="11" t="s">
        <v>21</v>
      </c>
      <c r="G843" s="12">
        <f>AVERAGE(F844,F845,F846,F851)</f>
        <v>4.5583333333333398</v>
      </c>
      <c r="H843" s="14"/>
      <c r="I843" s="13">
        <v>79.099999999999994</v>
      </c>
      <c r="J843" s="14"/>
      <c r="K843" s="13">
        <v>18.100000000000001</v>
      </c>
      <c r="L843" s="14"/>
      <c r="M843" s="14"/>
      <c r="N843" s="7"/>
      <c r="O843" s="75">
        <f>E848-E851</f>
        <v>18.900000000000034</v>
      </c>
      <c r="P843" s="7"/>
      <c r="Q843" s="7"/>
      <c r="R843" s="7"/>
      <c r="S843" s="73">
        <f>I848-I859</f>
        <v>52.600000000000009</v>
      </c>
      <c r="T843" s="7">
        <f>SUM(S843:S847)*5.24</f>
        <v>1205.2</v>
      </c>
      <c r="U843" s="7"/>
      <c r="V843" s="7"/>
      <c r="W843" s="7"/>
      <c r="X843" s="7"/>
      <c r="Y843" s="7"/>
      <c r="Z843" s="7"/>
      <c r="AA843" s="7"/>
      <c r="AB843" s="7"/>
    </row>
    <row r="844" spans="1:28" ht="13.2">
      <c r="A844" s="5" t="s">
        <v>30</v>
      </c>
      <c r="B844" s="5">
        <v>0</v>
      </c>
      <c r="C844" s="5">
        <v>0</v>
      </c>
      <c r="D844" s="9">
        <v>42993</v>
      </c>
      <c r="E844" s="10">
        <v>377.4</v>
      </c>
      <c r="F844" s="12">
        <f>E843-E844</f>
        <v>6.1000000000000227</v>
      </c>
      <c r="G844" s="14"/>
      <c r="H844" s="14"/>
      <c r="I844" s="13">
        <v>74.8</v>
      </c>
      <c r="J844" s="16">
        <f t="shared" ref="J844:J847" si="181">(I843-I844)/(D844-D843)</f>
        <v>4.2999999999999972</v>
      </c>
      <c r="K844" s="13">
        <v>17.8</v>
      </c>
      <c r="L844" s="14"/>
      <c r="M844" s="14"/>
      <c r="N844" s="7"/>
      <c r="O844" s="75">
        <f>E852-E855</f>
        <v>32.900000000000034</v>
      </c>
      <c r="P844" s="7"/>
      <c r="Q844" s="7"/>
      <c r="R844" s="7"/>
      <c r="S844" s="73">
        <f>90.5-I861</f>
        <v>5.5</v>
      </c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3.2">
      <c r="A845" s="5" t="s">
        <v>100</v>
      </c>
      <c r="B845" s="5">
        <v>0</v>
      </c>
      <c r="C845" s="5">
        <v>0</v>
      </c>
      <c r="D845" s="9">
        <v>42996</v>
      </c>
      <c r="E845" s="10">
        <v>361.7</v>
      </c>
      <c r="F845" s="12">
        <f t="shared" ref="F845:F847" si="182">(E844-E845)/(D845-D844)</f>
        <v>5.2333333333333298</v>
      </c>
      <c r="G845" s="14"/>
      <c r="H845" s="14"/>
      <c r="I845" s="13">
        <v>64.7</v>
      </c>
      <c r="J845" s="16">
        <f t="shared" si="181"/>
        <v>3.3666666666666649</v>
      </c>
      <c r="K845" s="13">
        <v>18.2</v>
      </c>
      <c r="L845" s="14"/>
      <c r="M845" s="14"/>
      <c r="N845" s="7"/>
      <c r="O845" s="75">
        <f>E856-E859</f>
        <v>26.800000000000011</v>
      </c>
      <c r="P845" s="7"/>
      <c r="Q845" s="7"/>
      <c r="R845" s="7"/>
      <c r="S845" s="73">
        <f>I861-I870</f>
        <v>45.8</v>
      </c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3.2">
      <c r="A846" s="14"/>
      <c r="B846" s="5">
        <v>0</v>
      </c>
      <c r="C846" s="5">
        <v>0</v>
      </c>
      <c r="D846" s="9">
        <v>42998</v>
      </c>
      <c r="E846" s="10">
        <v>352.7</v>
      </c>
      <c r="F846" s="12">
        <f t="shared" si="182"/>
        <v>4.5</v>
      </c>
      <c r="G846" s="14"/>
      <c r="H846" s="14"/>
      <c r="I846" s="13">
        <v>57.5</v>
      </c>
      <c r="J846" s="16">
        <f t="shared" si="181"/>
        <v>3.6000000000000014</v>
      </c>
      <c r="K846" s="13">
        <v>18.5</v>
      </c>
      <c r="L846" s="14"/>
      <c r="M846" s="14"/>
      <c r="N846" s="7"/>
      <c r="O846" s="75">
        <f>E860-E863</f>
        <v>30.699999999999989</v>
      </c>
      <c r="P846" s="7"/>
      <c r="Q846" s="7"/>
      <c r="R846" s="7"/>
      <c r="S846" s="73">
        <f>90.8-I882</f>
        <v>60.9</v>
      </c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3.2">
      <c r="A847" s="14"/>
      <c r="B847" s="5">
        <v>0</v>
      </c>
      <c r="C847" s="5">
        <v>0</v>
      </c>
      <c r="D847" s="17">
        <v>42999</v>
      </c>
      <c r="E847" s="10">
        <v>346.5</v>
      </c>
      <c r="F847" s="12">
        <f t="shared" si="182"/>
        <v>6.1999999999999886</v>
      </c>
      <c r="G847" s="14"/>
      <c r="H847" s="14"/>
      <c r="I847" s="13">
        <v>54.9</v>
      </c>
      <c r="J847" s="16">
        <f t="shared" si="181"/>
        <v>2.6000000000000014</v>
      </c>
      <c r="K847" s="13">
        <v>18.2</v>
      </c>
      <c r="L847" s="14"/>
      <c r="M847" s="14"/>
      <c r="N847" s="7"/>
      <c r="O847" s="75">
        <f>E864-E867</f>
        <v>31.900000000000034</v>
      </c>
      <c r="P847" s="7"/>
      <c r="Q847" s="7"/>
      <c r="R847" s="7"/>
      <c r="S847" s="73">
        <f>93.5-I896</f>
        <v>65.2</v>
      </c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3.2">
      <c r="A848" s="14"/>
      <c r="B848" s="5">
        <v>0.5</v>
      </c>
      <c r="C848" s="5">
        <v>0</v>
      </c>
      <c r="D848" s="17">
        <v>42999</v>
      </c>
      <c r="E848" s="10">
        <v>358.1</v>
      </c>
      <c r="F848" s="12"/>
      <c r="G848" s="14"/>
      <c r="H848" s="14"/>
      <c r="I848" s="13">
        <v>86.9</v>
      </c>
      <c r="J848" s="14"/>
      <c r="K848" s="13"/>
      <c r="L848" s="14"/>
      <c r="M848" s="14"/>
      <c r="N848" s="7"/>
      <c r="O848" s="75">
        <f>E868-E871</f>
        <v>33.800000000000011</v>
      </c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3.2">
      <c r="A849" s="14"/>
      <c r="B849" s="5">
        <v>0.5</v>
      </c>
      <c r="C849" s="5">
        <f t="shared" ref="C849:C914" si="183">D849-$D$7</f>
        <v>1</v>
      </c>
      <c r="D849" s="17">
        <v>43000</v>
      </c>
      <c r="E849" s="10">
        <v>356.3</v>
      </c>
      <c r="F849" s="12">
        <f t="shared" ref="F849:F851" si="184">(E848-E849)/(D849-D848)</f>
        <v>1.8000000000000114</v>
      </c>
      <c r="G849" s="14"/>
      <c r="H849" s="14"/>
      <c r="I849" s="13">
        <v>82.8</v>
      </c>
      <c r="J849" s="16">
        <f t="shared" ref="J849:J851" si="185">(I848-I849)/(D849-D848)</f>
        <v>4.1000000000000085</v>
      </c>
      <c r="K849" s="13">
        <v>18.8</v>
      </c>
      <c r="L849" s="14"/>
      <c r="M849" s="14"/>
      <c r="N849" s="7"/>
      <c r="O849" s="75">
        <f>E872-E875</f>
        <v>29.699999999999989</v>
      </c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3.2">
      <c r="A850" s="14"/>
      <c r="B850" s="5">
        <v>0.5</v>
      </c>
      <c r="C850" s="5">
        <f t="shared" si="183"/>
        <v>4</v>
      </c>
      <c r="D850" s="9">
        <v>43003</v>
      </c>
      <c r="E850" s="10">
        <v>344</v>
      </c>
      <c r="F850" s="12">
        <f t="shared" si="184"/>
        <v>4.1000000000000041</v>
      </c>
      <c r="G850" s="14"/>
      <c r="H850" s="14"/>
      <c r="I850" s="13">
        <v>75.099999999999994</v>
      </c>
      <c r="J850" s="16">
        <f t="shared" si="185"/>
        <v>2.5666666666666678</v>
      </c>
      <c r="K850" s="13">
        <v>20.3</v>
      </c>
      <c r="L850" s="14"/>
      <c r="M850" s="14"/>
      <c r="N850" s="7"/>
      <c r="O850" s="75">
        <f>E876-E879</f>
        <v>34.400000000000034</v>
      </c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3.2">
      <c r="A851" s="14"/>
      <c r="B851" s="5">
        <v>0.5</v>
      </c>
      <c r="C851" s="5">
        <f t="shared" si="183"/>
        <v>6</v>
      </c>
      <c r="D851" s="9">
        <v>43005</v>
      </c>
      <c r="E851" s="10">
        <v>339.2</v>
      </c>
      <c r="F851" s="12">
        <f t="shared" si="184"/>
        <v>2.4000000000000057</v>
      </c>
      <c r="G851" s="14"/>
      <c r="H851" s="14"/>
      <c r="I851" s="13">
        <v>71.2</v>
      </c>
      <c r="J851" s="16">
        <f t="shared" si="185"/>
        <v>1.9499999999999957</v>
      </c>
      <c r="K851" s="18">
        <v>19.8</v>
      </c>
      <c r="L851" s="14"/>
      <c r="M851" s="14"/>
      <c r="N851" s="7"/>
      <c r="O851" s="75">
        <f>E880-E882</f>
        <v>19.800000000000011</v>
      </c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3.2">
      <c r="A852" s="14"/>
      <c r="B852" s="76">
        <v>1</v>
      </c>
      <c r="C852" s="5">
        <f t="shared" si="183"/>
        <v>6</v>
      </c>
      <c r="D852" s="9">
        <v>43005</v>
      </c>
      <c r="E852" s="10">
        <v>335.6</v>
      </c>
      <c r="F852" s="11"/>
      <c r="H852" s="14"/>
      <c r="I852" s="13" t="s">
        <v>57</v>
      </c>
      <c r="J852" s="14"/>
      <c r="K852" s="13"/>
      <c r="L852" s="14"/>
      <c r="M852" s="14"/>
      <c r="N852" s="7"/>
      <c r="O852" s="75">
        <f>E883-E888</f>
        <v>35.699999999999989</v>
      </c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3.2">
      <c r="A853" s="14"/>
      <c r="B853" s="5">
        <v>1</v>
      </c>
      <c r="C853" s="5">
        <f t="shared" si="183"/>
        <v>8</v>
      </c>
      <c r="D853" s="9">
        <v>43007</v>
      </c>
      <c r="E853" s="10">
        <v>327.39999999999998</v>
      </c>
      <c r="F853" s="12">
        <f t="shared" ref="F853:F855" si="186">(E852-E853)/(D853-D852)</f>
        <v>4.1000000000000227</v>
      </c>
      <c r="G853" s="14"/>
      <c r="H853" s="14"/>
      <c r="I853" s="13">
        <v>66.3</v>
      </c>
      <c r="J853" s="14">
        <f>(I851-I853)/(D853-D851)</f>
        <v>2.4500000000000028</v>
      </c>
      <c r="K853" s="13">
        <v>20.8</v>
      </c>
      <c r="L853" s="14"/>
      <c r="M853" s="14"/>
      <c r="N853" s="7"/>
      <c r="O853" s="75">
        <f>E889-E892</f>
        <v>27.300000000000011</v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3.2">
      <c r="A854" s="14"/>
      <c r="B854" s="5">
        <v>1</v>
      </c>
      <c r="C854" s="5">
        <f t="shared" si="183"/>
        <v>11</v>
      </c>
      <c r="D854" s="19">
        <v>43010</v>
      </c>
      <c r="E854" s="11">
        <v>315.5</v>
      </c>
      <c r="F854" s="12">
        <f t="shared" si="186"/>
        <v>3.9666666666666592</v>
      </c>
      <c r="G854" s="14"/>
      <c r="H854" s="14"/>
      <c r="I854" s="13">
        <v>59.1</v>
      </c>
      <c r="J854" s="16">
        <f t="shared" ref="J854:J855" si="187">(I853-I854)/(D854-D853)</f>
        <v>2.3999999999999986</v>
      </c>
      <c r="K854" s="13">
        <v>21.4</v>
      </c>
      <c r="L854" s="14"/>
      <c r="M854" s="14"/>
      <c r="N854" s="7"/>
      <c r="O854" s="75">
        <f>E893-E896</f>
        <v>26.199999999999989</v>
      </c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3.2">
      <c r="A855" s="14"/>
      <c r="B855" s="5">
        <v>1</v>
      </c>
      <c r="C855" s="5">
        <f t="shared" si="183"/>
        <v>13</v>
      </c>
      <c r="D855" s="19">
        <v>43012</v>
      </c>
      <c r="E855" s="11">
        <v>302.7</v>
      </c>
      <c r="F855" s="12">
        <f t="shared" si="186"/>
        <v>6.4000000000000057</v>
      </c>
      <c r="G855" s="14"/>
      <c r="H855" s="14"/>
      <c r="I855" s="13">
        <v>54.5</v>
      </c>
      <c r="J855" s="16">
        <f t="shared" si="187"/>
        <v>2.3000000000000007</v>
      </c>
      <c r="K855" s="13">
        <v>21.8</v>
      </c>
      <c r="L855" s="14"/>
      <c r="M855" s="14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3.2">
      <c r="A856" s="14"/>
      <c r="B856" s="5">
        <v>2</v>
      </c>
      <c r="C856" s="5">
        <f t="shared" si="183"/>
        <v>14</v>
      </c>
      <c r="D856" s="20">
        <v>43013</v>
      </c>
      <c r="E856" s="11">
        <v>358.1</v>
      </c>
      <c r="F856" s="11"/>
      <c r="G856" s="14"/>
      <c r="H856" s="14"/>
      <c r="I856" s="13" t="s">
        <v>24</v>
      </c>
      <c r="J856" s="14"/>
      <c r="K856" s="13"/>
      <c r="L856" s="14"/>
      <c r="M856" s="14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3.2">
      <c r="A857" s="14"/>
      <c r="B857" s="5">
        <v>2</v>
      </c>
      <c r="C857" s="5">
        <f t="shared" si="183"/>
        <v>15</v>
      </c>
      <c r="D857" s="20">
        <v>43014</v>
      </c>
      <c r="E857" s="11">
        <v>352.3</v>
      </c>
      <c r="F857" s="12">
        <f t="shared" ref="F857:F859" si="188">(E856-E857)/(D857-D856)</f>
        <v>5.8000000000000114</v>
      </c>
      <c r="G857" s="14"/>
      <c r="H857" s="14"/>
      <c r="I857" s="13">
        <v>47.1</v>
      </c>
      <c r="J857" s="14">
        <f>(93.5-I857)/(D858-D855)</f>
        <v>9.2799999999999994</v>
      </c>
      <c r="K857" s="13">
        <v>22.2</v>
      </c>
      <c r="L857" s="14"/>
      <c r="M857" s="14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3.2">
      <c r="A858" s="14"/>
      <c r="B858" s="5">
        <v>2</v>
      </c>
      <c r="C858" s="5">
        <f t="shared" si="183"/>
        <v>18</v>
      </c>
      <c r="D858" s="20">
        <v>43017</v>
      </c>
      <c r="E858" s="11">
        <v>341.4</v>
      </c>
      <c r="F858" s="12">
        <f t="shared" si="188"/>
        <v>3.6333333333333449</v>
      </c>
      <c r="G858" s="14"/>
      <c r="H858" s="14"/>
      <c r="I858" s="13">
        <v>39.5</v>
      </c>
      <c r="J858" s="16">
        <f t="shared" ref="J858:J859" si="189">(I857-I858)/(D858-D857)</f>
        <v>2.5333333333333337</v>
      </c>
      <c r="K858" s="13">
        <v>22.6</v>
      </c>
      <c r="L858" s="14"/>
      <c r="M858" s="14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3.2">
      <c r="A859" s="14"/>
      <c r="B859" s="5">
        <v>2</v>
      </c>
      <c r="C859" s="5">
        <f t="shared" si="183"/>
        <v>20</v>
      </c>
      <c r="D859" s="20">
        <v>43019</v>
      </c>
      <c r="E859" s="11">
        <v>331.3</v>
      </c>
      <c r="F859" s="12">
        <f t="shared" si="188"/>
        <v>5.0499999999999829</v>
      </c>
      <c r="G859" s="14"/>
      <c r="H859" s="14"/>
      <c r="I859" s="13">
        <v>34.299999999999997</v>
      </c>
      <c r="J859" s="14">
        <f t="shared" si="189"/>
        <v>2.6000000000000014</v>
      </c>
      <c r="K859" s="13">
        <v>23.5</v>
      </c>
      <c r="L859" s="14"/>
      <c r="M859" s="14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3.2">
      <c r="A860" s="14"/>
      <c r="B860" s="5">
        <v>3</v>
      </c>
      <c r="C860" s="5">
        <f t="shared" si="183"/>
        <v>21</v>
      </c>
      <c r="D860" s="20">
        <v>43020</v>
      </c>
      <c r="E860" s="11">
        <v>364.2</v>
      </c>
      <c r="F860" s="12"/>
      <c r="G860" s="14"/>
      <c r="H860" s="14"/>
      <c r="I860" s="13"/>
      <c r="J860" s="14"/>
      <c r="K860" s="47"/>
      <c r="L860" s="14"/>
      <c r="M860" s="14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3.2">
      <c r="A861" s="14"/>
      <c r="B861" s="5">
        <v>3</v>
      </c>
      <c r="C861" s="5">
        <f t="shared" si="183"/>
        <v>22</v>
      </c>
      <c r="D861" s="20">
        <f>D859+2</f>
        <v>43021</v>
      </c>
      <c r="E861" s="11">
        <v>358.1</v>
      </c>
      <c r="F861" s="12">
        <f t="shared" ref="F861:F863" si="190">(E860-E861)/(D861-D860)</f>
        <v>6.0999999999999659</v>
      </c>
      <c r="G861" s="12">
        <f>AVERAGE(F849:F892)</f>
        <v>4.9434343434343466</v>
      </c>
      <c r="H861" s="14"/>
      <c r="I861" s="13">
        <v>85</v>
      </c>
      <c r="J861" s="14"/>
      <c r="K861" s="13">
        <v>22.8</v>
      </c>
      <c r="L861" s="14"/>
      <c r="M861" s="14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3.2">
      <c r="A862" s="14"/>
      <c r="B862" s="5">
        <v>3</v>
      </c>
      <c r="C862" s="5">
        <f t="shared" si="183"/>
        <v>25</v>
      </c>
      <c r="D862" s="20">
        <f>D861+3</f>
        <v>43024</v>
      </c>
      <c r="E862" s="11">
        <v>344</v>
      </c>
      <c r="F862" s="12">
        <f t="shared" si="190"/>
        <v>4.7000000000000073</v>
      </c>
      <c r="G862" s="14"/>
      <c r="H862" s="14"/>
      <c r="I862" s="50">
        <v>77</v>
      </c>
      <c r="J862" s="16">
        <f t="shared" ref="J862:J863" si="191">(I861-I862)/(D862-D861)</f>
        <v>2.6666666666666665</v>
      </c>
      <c r="K862" s="13">
        <v>23.3</v>
      </c>
      <c r="L862" s="14"/>
      <c r="M862" s="14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3.2">
      <c r="A863" s="14"/>
      <c r="B863" s="5">
        <v>3</v>
      </c>
      <c r="C863" s="5">
        <f t="shared" si="183"/>
        <v>27</v>
      </c>
      <c r="D863" s="20">
        <f>D862+2</f>
        <v>43026</v>
      </c>
      <c r="E863" s="11">
        <v>333.5</v>
      </c>
      <c r="F863" s="12">
        <f t="shared" si="190"/>
        <v>5.25</v>
      </c>
      <c r="G863" s="14"/>
      <c r="H863" s="14"/>
      <c r="I863" s="13">
        <v>71.5</v>
      </c>
      <c r="J863" s="14">
        <f t="shared" si="191"/>
        <v>2.75</v>
      </c>
      <c r="K863" s="13">
        <v>23.8</v>
      </c>
      <c r="L863" s="14"/>
      <c r="M863" s="14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3.2">
      <c r="A864" s="14"/>
      <c r="B864" s="5">
        <v>4</v>
      </c>
      <c r="C864" s="5">
        <f t="shared" si="183"/>
        <v>28</v>
      </c>
      <c r="D864" s="20">
        <v>43027</v>
      </c>
      <c r="E864" s="11">
        <v>400.6</v>
      </c>
      <c r="F864" s="12"/>
      <c r="G864" s="14"/>
      <c r="H864" s="14"/>
      <c r="I864" s="15"/>
      <c r="J864" s="14"/>
      <c r="K864" s="15"/>
      <c r="L864" s="14"/>
      <c r="M864" s="14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3.2">
      <c r="A865" s="14"/>
      <c r="B865" s="5">
        <v>4</v>
      </c>
      <c r="C865" s="5">
        <f t="shared" si="183"/>
        <v>29</v>
      </c>
      <c r="D865" s="20">
        <f>D863+2</f>
        <v>43028</v>
      </c>
      <c r="E865" s="11">
        <v>394.7</v>
      </c>
      <c r="F865" s="12">
        <f t="shared" ref="F865:F867" si="192">(E864-E865)/(D865-D864)</f>
        <v>5.9000000000000341</v>
      </c>
      <c r="G865" s="14"/>
      <c r="H865" s="14"/>
      <c r="I865" s="13">
        <v>66.8</v>
      </c>
      <c r="J865" s="15">
        <f>(I863-I865)/(D865-D863)</f>
        <v>2.3500000000000014</v>
      </c>
      <c r="K865" s="13">
        <v>23.4</v>
      </c>
      <c r="L865" s="14"/>
      <c r="M865" s="14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3.2">
      <c r="A866" s="14"/>
      <c r="B866" s="5">
        <v>4</v>
      </c>
      <c r="C866" s="5">
        <f t="shared" si="183"/>
        <v>32</v>
      </c>
      <c r="D866" s="20">
        <v>43031</v>
      </c>
      <c r="E866" s="11">
        <v>378.9</v>
      </c>
      <c r="F866" s="12">
        <f t="shared" si="192"/>
        <v>5.2666666666666702</v>
      </c>
      <c r="G866" s="14"/>
      <c r="H866" s="14"/>
      <c r="I866" s="13">
        <v>57.6</v>
      </c>
      <c r="J866" s="15">
        <f t="shared" ref="J866:J867" si="193">(I865-I866)/(D866-D865)</f>
        <v>3.0666666666666651</v>
      </c>
      <c r="K866" s="13">
        <v>25.4</v>
      </c>
      <c r="L866" s="14"/>
      <c r="M866" s="14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3.2">
      <c r="A867" s="14"/>
      <c r="B867" s="5">
        <v>4</v>
      </c>
      <c r="C867" s="5">
        <f t="shared" si="183"/>
        <v>34</v>
      </c>
      <c r="D867" s="20">
        <v>43033</v>
      </c>
      <c r="E867" s="11">
        <v>368.7</v>
      </c>
      <c r="F867" s="12">
        <f t="shared" si="192"/>
        <v>5.0999999999999943</v>
      </c>
      <c r="G867" s="14"/>
      <c r="H867" s="14"/>
      <c r="I867" s="13">
        <v>53.3</v>
      </c>
      <c r="J867" s="15">
        <f t="shared" si="193"/>
        <v>2.1500000000000021</v>
      </c>
      <c r="K867" s="13">
        <v>25</v>
      </c>
      <c r="L867" s="14"/>
      <c r="M867" s="14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3.2">
      <c r="A868" s="14"/>
      <c r="B868" s="5">
        <v>5</v>
      </c>
      <c r="C868" s="5">
        <f t="shared" si="183"/>
        <v>35</v>
      </c>
      <c r="D868" s="20">
        <v>43034</v>
      </c>
      <c r="E868" s="11">
        <v>312.3</v>
      </c>
      <c r="F868" s="12"/>
      <c r="G868" s="14"/>
      <c r="H868" s="14"/>
      <c r="I868" s="15"/>
      <c r="J868" s="15"/>
      <c r="K868" s="15"/>
      <c r="L868" s="14"/>
      <c r="M868" s="14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3.2">
      <c r="A869" s="14"/>
      <c r="B869" s="5">
        <v>5</v>
      </c>
      <c r="C869" s="5">
        <f t="shared" si="183"/>
        <v>36</v>
      </c>
      <c r="D869" s="20">
        <v>43035</v>
      </c>
      <c r="E869" s="11">
        <v>307.8</v>
      </c>
      <c r="F869" s="12">
        <f t="shared" ref="F869:F871" si="194">(E868-E869)/(D869-D868)</f>
        <v>4.5</v>
      </c>
      <c r="G869" s="14"/>
      <c r="H869" s="14"/>
      <c r="I869" s="13">
        <v>46.9</v>
      </c>
      <c r="J869" s="15">
        <f>(I867-I869)/(D869-D867)</f>
        <v>3.1999999999999993</v>
      </c>
      <c r="K869" s="13">
        <v>26.4</v>
      </c>
      <c r="L869" s="14"/>
      <c r="M869" s="14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3.2">
      <c r="A870" s="14"/>
      <c r="B870" s="5">
        <v>5</v>
      </c>
      <c r="C870" s="5">
        <f t="shared" si="183"/>
        <v>39</v>
      </c>
      <c r="D870" s="20">
        <v>43038</v>
      </c>
      <c r="E870" s="11">
        <v>287.8</v>
      </c>
      <c r="F870" s="12">
        <f t="shared" si="194"/>
        <v>6.666666666666667</v>
      </c>
      <c r="G870" s="14"/>
      <c r="H870" s="14"/>
      <c r="I870" s="13">
        <v>39.200000000000003</v>
      </c>
      <c r="J870" s="15">
        <f>(I869-I870)/(D870-D869)</f>
        <v>2.5666666666666651</v>
      </c>
      <c r="K870" s="13">
        <v>26.8</v>
      </c>
      <c r="L870" s="14"/>
      <c r="M870" s="14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3.2">
      <c r="A871" s="14"/>
      <c r="B871" s="5">
        <v>5</v>
      </c>
      <c r="C871" s="5">
        <f t="shared" si="183"/>
        <v>41</v>
      </c>
      <c r="D871" s="20">
        <v>43040</v>
      </c>
      <c r="E871" s="11">
        <v>278.5</v>
      </c>
      <c r="F871" s="12">
        <f t="shared" si="194"/>
        <v>4.6500000000000057</v>
      </c>
      <c r="G871" s="14"/>
      <c r="H871" s="14"/>
      <c r="I871" s="13">
        <v>84.7</v>
      </c>
      <c r="J871" s="15">
        <f>(90.8-I871)/(D871-D870)</f>
        <v>3.0499999999999972</v>
      </c>
      <c r="K871" s="13">
        <v>27.4</v>
      </c>
      <c r="L871" s="14"/>
      <c r="M871" s="14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3.2">
      <c r="A872" s="14"/>
      <c r="B872" s="5">
        <v>6</v>
      </c>
      <c r="C872" s="5">
        <f t="shared" si="183"/>
        <v>42</v>
      </c>
      <c r="D872" s="20">
        <v>43041</v>
      </c>
      <c r="E872" s="11">
        <v>335.3</v>
      </c>
      <c r="F872" s="12"/>
      <c r="G872" s="14"/>
      <c r="H872" s="14"/>
      <c r="I872" s="15"/>
      <c r="J872" s="14"/>
      <c r="K872" s="15"/>
      <c r="L872" s="14"/>
      <c r="M872" s="14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3.2">
      <c r="A873" s="14"/>
      <c r="B873" s="5">
        <v>6</v>
      </c>
      <c r="C873" s="5">
        <f t="shared" si="183"/>
        <v>43</v>
      </c>
      <c r="D873" s="20">
        <v>43042</v>
      </c>
      <c r="E873" s="11">
        <v>331</v>
      </c>
      <c r="F873" s="12">
        <f t="shared" ref="F873:F875" si="195">(E872-E873)/(D873-D872)</f>
        <v>4.3000000000000114</v>
      </c>
      <c r="G873" s="14"/>
      <c r="H873" s="14"/>
      <c r="I873" s="13">
        <v>78.7</v>
      </c>
      <c r="J873" s="15">
        <f>(I871-I873)/(D873-D871)</f>
        <v>3</v>
      </c>
      <c r="K873" s="13">
        <v>28.5</v>
      </c>
      <c r="L873" s="14"/>
      <c r="M873" s="14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3.2">
      <c r="A874" s="14"/>
      <c r="B874" s="5">
        <v>6</v>
      </c>
      <c r="C874" s="5">
        <f t="shared" si="183"/>
        <v>46</v>
      </c>
      <c r="D874" s="20">
        <v>43045</v>
      </c>
      <c r="E874" s="11">
        <v>315.3</v>
      </c>
      <c r="F874" s="12">
        <f t="shared" si="195"/>
        <v>5.2333333333333298</v>
      </c>
      <c r="G874" s="14"/>
      <c r="H874" s="14"/>
      <c r="I874" s="13">
        <v>70.900000000000006</v>
      </c>
      <c r="J874" s="15">
        <f t="shared" ref="J874:J875" si="196">(I873-I874)/(D874-D873)</f>
        <v>2.5999999999999992</v>
      </c>
      <c r="K874" s="13">
        <v>29</v>
      </c>
      <c r="L874" s="14"/>
      <c r="M874" s="14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3.2">
      <c r="A875" s="14"/>
      <c r="B875" s="5">
        <v>6</v>
      </c>
      <c r="C875" s="5">
        <f t="shared" si="183"/>
        <v>48</v>
      </c>
      <c r="D875" s="20">
        <v>43047</v>
      </c>
      <c r="E875" s="11">
        <v>305.60000000000002</v>
      </c>
      <c r="F875" s="12">
        <f t="shared" si="195"/>
        <v>4.8499999999999943</v>
      </c>
      <c r="G875" s="14"/>
      <c r="H875" s="14"/>
      <c r="I875" s="13">
        <v>62.1</v>
      </c>
      <c r="J875" s="15">
        <f t="shared" si="196"/>
        <v>4.4000000000000021</v>
      </c>
      <c r="K875" s="13">
        <v>29.7</v>
      </c>
      <c r="L875" s="14"/>
      <c r="M875" s="14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3.2">
      <c r="A876" s="14"/>
      <c r="B876" s="5">
        <v>7</v>
      </c>
      <c r="C876" s="5">
        <f t="shared" si="183"/>
        <v>49</v>
      </c>
      <c r="D876" s="20">
        <v>43048</v>
      </c>
      <c r="E876" s="11">
        <v>330.8</v>
      </c>
      <c r="F876" s="12"/>
      <c r="G876" s="14"/>
      <c r="H876" s="14"/>
      <c r="I876" s="15"/>
      <c r="J876" s="14"/>
      <c r="K876" s="126"/>
      <c r="L876" s="14"/>
      <c r="M876" s="14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3.2">
      <c r="A877" s="14"/>
      <c r="B877" s="5">
        <v>7</v>
      </c>
      <c r="C877" s="5">
        <f t="shared" si="183"/>
        <v>50</v>
      </c>
      <c r="D877" s="20">
        <v>43049</v>
      </c>
      <c r="E877" s="11">
        <v>324.60000000000002</v>
      </c>
      <c r="F877" s="12">
        <f t="shared" ref="F877:F879" si="197">(E876-E877)/(D877-D876)</f>
        <v>6.1999999999999886</v>
      </c>
      <c r="G877" s="14"/>
      <c r="H877" s="14"/>
      <c r="I877" s="13">
        <v>56.9</v>
      </c>
      <c r="J877" s="15">
        <f>(I875-I877)/(D877-D875)</f>
        <v>2.6000000000000014</v>
      </c>
      <c r="K877" s="13">
        <v>29.9</v>
      </c>
      <c r="L877" s="14"/>
      <c r="M877" s="14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3.2">
      <c r="A878" s="14"/>
      <c r="B878" s="5">
        <v>7</v>
      </c>
      <c r="C878" s="5">
        <f t="shared" si="183"/>
        <v>53</v>
      </c>
      <c r="D878" s="20">
        <v>43052</v>
      </c>
      <c r="E878" s="11">
        <v>311.5</v>
      </c>
      <c r="F878" s="12">
        <f t="shared" si="197"/>
        <v>4.3666666666666742</v>
      </c>
      <c r="G878" s="14"/>
      <c r="H878" s="14"/>
      <c r="I878" s="13">
        <v>47.3</v>
      </c>
      <c r="J878" s="15">
        <f t="shared" ref="J878:J879" si="198">(I877-I878)/(D878-D877)</f>
        <v>3.2000000000000006</v>
      </c>
      <c r="K878" s="13">
        <v>31.6</v>
      </c>
      <c r="L878" s="14"/>
      <c r="M878" s="14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3.2">
      <c r="A879" s="14"/>
      <c r="B879" s="5">
        <v>7</v>
      </c>
      <c r="C879" s="5">
        <f t="shared" si="183"/>
        <v>55</v>
      </c>
      <c r="D879" s="20">
        <v>43054</v>
      </c>
      <c r="E879" s="11">
        <v>296.39999999999998</v>
      </c>
      <c r="F879" s="12">
        <f t="shared" si="197"/>
        <v>7.5500000000000114</v>
      </c>
      <c r="G879" s="14"/>
      <c r="H879" s="14"/>
      <c r="I879" s="13">
        <v>43.2</v>
      </c>
      <c r="J879" s="15">
        <f t="shared" si="198"/>
        <v>2.0499999999999972</v>
      </c>
      <c r="K879" s="13">
        <v>30.9</v>
      </c>
      <c r="L879" s="14"/>
      <c r="M879" s="14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3.2">
      <c r="A880" s="14"/>
      <c r="B880" s="5">
        <v>8</v>
      </c>
      <c r="C880" s="5">
        <f t="shared" si="183"/>
        <v>56</v>
      </c>
      <c r="D880" s="20">
        <v>43055</v>
      </c>
      <c r="E880" s="11">
        <v>332.5</v>
      </c>
      <c r="F880" s="12"/>
      <c r="G880" s="14"/>
      <c r="H880" s="14"/>
      <c r="I880" s="15"/>
      <c r="J880" s="14"/>
      <c r="K880" s="15"/>
      <c r="L880" s="14"/>
      <c r="M880" s="14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3.2">
      <c r="A881" s="14"/>
      <c r="B881" s="5">
        <v>8</v>
      </c>
      <c r="C881" s="5">
        <f t="shared" si="183"/>
        <v>57</v>
      </c>
      <c r="D881" s="20">
        <v>43056</v>
      </c>
      <c r="E881" s="11">
        <v>326.8</v>
      </c>
      <c r="F881" s="12">
        <f t="shared" ref="F881:F882" si="199">(E880-E881)/(D881-D880)</f>
        <v>5.6999999999999886</v>
      </c>
      <c r="G881" s="14"/>
      <c r="H881" s="14"/>
      <c r="I881" s="13">
        <v>37.700000000000003</v>
      </c>
      <c r="J881" s="15">
        <f>(I879-I881)/(D881-D879)</f>
        <v>2.75</v>
      </c>
      <c r="K881" s="13">
        <v>31.1</v>
      </c>
      <c r="L881" s="14"/>
      <c r="M881" s="14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3.2">
      <c r="A882" s="14"/>
      <c r="B882" s="5">
        <v>8</v>
      </c>
      <c r="C882" s="5">
        <f t="shared" si="183"/>
        <v>60</v>
      </c>
      <c r="D882" s="20">
        <v>43059</v>
      </c>
      <c r="E882" s="11">
        <v>312.7</v>
      </c>
      <c r="F882" s="12">
        <f t="shared" si="199"/>
        <v>4.7000000000000073</v>
      </c>
      <c r="G882" s="14"/>
      <c r="H882" s="14"/>
      <c r="I882" s="13">
        <v>29.9</v>
      </c>
      <c r="J882" s="15">
        <f>(I881-I882)/(D882-D881)</f>
        <v>2.6000000000000014</v>
      </c>
      <c r="K882" s="13">
        <v>32.1</v>
      </c>
      <c r="L882" s="14"/>
      <c r="M882" s="14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3.2">
      <c r="A883" s="14"/>
      <c r="B883" s="5">
        <v>8</v>
      </c>
      <c r="C883" s="5">
        <f t="shared" si="183"/>
        <v>61</v>
      </c>
      <c r="D883" s="20">
        <v>43060</v>
      </c>
      <c r="E883" s="11">
        <v>351.9</v>
      </c>
      <c r="F883" s="12"/>
      <c r="G883" s="14"/>
      <c r="H883" s="14"/>
      <c r="I883" s="15"/>
      <c r="J883" s="14"/>
      <c r="K883" s="15"/>
      <c r="L883" s="14"/>
      <c r="M883" s="14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3.2">
      <c r="A884" s="14"/>
      <c r="B884" s="5">
        <v>9</v>
      </c>
      <c r="C884" s="5">
        <f t="shared" si="183"/>
        <v>62</v>
      </c>
      <c r="D884" s="20">
        <v>43061</v>
      </c>
      <c r="E884" s="11">
        <v>344.9</v>
      </c>
      <c r="F884" s="12">
        <f>(E883-E884)/(D884-D883)</f>
        <v>7</v>
      </c>
      <c r="G884" s="14"/>
      <c r="H884" s="14"/>
      <c r="I884" s="13">
        <v>86.4</v>
      </c>
      <c r="J884" s="14">
        <f>(93.5-I884)/(D883-D882)</f>
        <v>7.0999999999999943</v>
      </c>
      <c r="K884" s="13">
        <v>33.4</v>
      </c>
      <c r="L884" s="14"/>
      <c r="M884" s="14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3.2">
      <c r="A885" s="14"/>
      <c r="B885" s="5">
        <v>9</v>
      </c>
      <c r="C885" s="5">
        <f t="shared" si="183"/>
        <v>63</v>
      </c>
      <c r="D885" s="20">
        <v>43062</v>
      </c>
      <c r="E885" s="11"/>
      <c r="F885" s="12"/>
      <c r="G885" s="14"/>
      <c r="H885" s="14"/>
      <c r="I885" s="13"/>
      <c r="J885" s="15"/>
      <c r="K885" s="13"/>
      <c r="L885" s="14"/>
      <c r="M885" s="14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3.2">
      <c r="A886" s="14"/>
      <c r="B886" s="5">
        <v>9</v>
      </c>
      <c r="C886" s="5">
        <f t="shared" si="183"/>
        <v>64</v>
      </c>
      <c r="D886" s="20">
        <v>43063</v>
      </c>
      <c r="E886" s="11">
        <v>336.8</v>
      </c>
      <c r="F886" s="12">
        <f>(E884-E886)/(D886-D884)</f>
        <v>4.0499999999999829</v>
      </c>
      <c r="G886" s="14"/>
      <c r="H886" s="14"/>
      <c r="I886" s="13">
        <v>81</v>
      </c>
      <c r="J886" s="15">
        <f>(I884-I886)/(D886-D884)</f>
        <v>2.7000000000000028</v>
      </c>
      <c r="K886" s="13">
        <v>33.700000000000003</v>
      </c>
      <c r="L886" s="14"/>
      <c r="M886" s="14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3.2">
      <c r="A887" s="14"/>
      <c r="B887" s="5">
        <v>9</v>
      </c>
      <c r="C887" s="5">
        <f t="shared" si="183"/>
        <v>67</v>
      </c>
      <c r="D887" s="23">
        <v>43066</v>
      </c>
      <c r="E887" s="11">
        <v>325.3</v>
      </c>
      <c r="F887" s="12">
        <f t="shared" ref="F887:F888" si="200">(E886-E887)/(D887-D886)</f>
        <v>3.8333333333333335</v>
      </c>
      <c r="G887" s="14"/>
      <c r="H887" s="14"/>
      <c r="I887" s="13">
        <v>72.599999999999994</v>
      </c>
      <c r="J887" s="15">
        <f t="shared" ref="J887:J888" si="201">(I886-I887)/(D887-D886)</f>
        <v>2.800000000000002</v>
      </c>
      <c r="K887" s="13">
        <v>34.5</v>
      </c>
      <c r="L887" s="14"/>
      <c r="M887" s="14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3.2">
      <c r="A888" s="14"/>
      <c r="B888" s="5">
        <v>9</v>
      </c>
      <c r="C888" s="5">
        <f t="shared" si="183"/>
        <v>69</v>
      </c>
      <c r="D888" s="23">
        <v>43068</v>
      </c>
      <c r="E888" s="11">
        <v>316.2</v>
      </c>
      <c r="F888" s="12">
        <f t="shared" si="200"/>
        <v>4.5500000000000114</v>
      </c>
      <c r="G888" s="14"/>
      <c r="H888" s="14"/>
      <c r="I888" s="13">
        <v>66.8</v>
      </c>
      <c r="J888" s="15">
        <f t="shared" si="201"/>
        <v>2.8999999999999986</v>
      </c>
      <c r="K888" s="13">
        <v>35.4</v>
      </c>
      <c r="L888" s="14"/>
      <c r="M888" s="14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3.2">
      <c r="A889" s="14"/>
      <c r="B889" s="5">
        <v>10</v>
      </c>
      <c r="C889" s="5">
        <f t="shared" si="183"/>
        <v>70</v>
      </c>
      <c r="D889" s="23">
        <v>43069</v>
      </c>
      <c r="E889" s="11">
        <v>318.5</v>
      </c>
      <c r="F889" s="12"/>
      <c r="G889" s="14"/>
      <c r="H889" s="14"/>
      <c r="I889" s="15"/>
      <c r="J889" s="14"/>
      <c r="K889" s="15"/>
      <c r="L889" s="14"/>
      <c r="M889" s="14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3.2">
      <c r="A890" s="14"/>
      <c r="B890" s="5">
        <v>10</v>
      </c>
      <c r="C890" s="5">
        <f t="shared" si="183"/>
        <v>71</v>
      </c>
      <c r="D890" s="23">
        <v>43070</v>
      </c>
      <c r="E890" s="11">
        <v>311.89999999999998</v>
      </c>
      <c r="F890" s="12">
        <f t="shared" ref="F890:F892" si="202">(E889-E890)/(D890-D889)</f>
        <v>6.6000000000000227</v>
      </c>
      <c r="G890" s="14"/>
      <c r="H890" s="14"/>
      <c r="I890" s="13">
        <v>61.4</v>
      </c>
      <c r="J890" s="15">
        <f>(I888-I890)/(D890-D888)</f>
        <v>2.6999999999999993</v>
      </c>
      <c r="K890" s="13">
        <v>35.200000000000003</v>
      </c>
      <c r="L890" s="14"/>
      <c r="M890" s="14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3.2">
      <c r="A891" s="14"/>
      <c r="B891" s="5">
        <v>10</v>
      </c>
      <c r="C891" s="5">
        <f t="shared" si="183"/>
        <v>74</v>
      </c>
      <c r="D891" s="23">
        <v>43073</v>
      </c>
      <c r="E891" s="11">
        <v>302.7</v>
      </c>
      <c r="F891" s="12">
        <f t="shared" si="202"/>
        <v>3.0666666666666629</v>
      </c>
      <c r="G891" s="14"/>
      <c r="H891" s="14"/>
      <c r="I891" s="13">
        <v>53.2</v>
      </c>
      <c r="J891" s="15">
        <f t="shared" ref="J891:J892" si="203">(I890-I891)/(D891-D890)</f>
        <v>2.7333333333333321</v>
      </c>
      <c r="K891" s="13">
        <v>36.4</v>
      </c>
      <c r="L891" s="14"/>
      <c r="M891" s="14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3.2">
      <c r="A892" s="14"/>
      <c r="B892" s="5">
        <v>10</v>
      </c>
      <c r="C892" s="5">
        <f t="shared" si="183"/>
        <v>76</v>
      </c>
      <c r="D892" s="23">
        <v>43075</v>
      </c>
      <c r="E892" s="11">
        <v>291.2</v>
      </c>
      <c r="F892" s="12">
        <f t="shared" si="202"/>
        <v>5.75</v>
      </c>
      <c r="G892" s="14"/>
      <c r="H892" s="14"/>
      <c r="I892" s="13">
        <v>48.1</v>
      </c>
      <c r="J892" s="15">
        <f t="shared" si="203"/>
        <v>2.5500000000000007</v>
      </c>
      <c r="K892" s="13">
        <v>36.5</v>
      </c>
      <c r="L892" s="14"/>
      <c r="M892" s="14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3.2">
      <c r="A893" s="14"/>
      <c r="B893" s="5">
        <v>11</v>
      </c>
      <c r="C893" s="5">
        <f t="shared" si="183"/>
        <v>77</v>
      </c>
      <c r="D893" s="24">
        <v>43076</v>
      </c>
      <c r="E893" s="11">
        <v>338.4</v>
      </c>
      <c r="F893" s="12"/>
      <c r="G893" s="14"/>
      <c r="H893" s="14"/>
      <c r="I893" s="13"/>
      <c r="J893" s="14"/>
      <c r="K893" s="15"/>
      <c r="L893" s="14"/>
      <c r="M893" s="14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3.2">
      <c r="A894" s="14"/>
      <c r="B894" s="5">
        <v>11</v>
      </c>
      <c r="C894" s="5">
        <f t="shared" si="183"/>
        <v>78</v>
      </c>
      <c r="D894" s="24">
        <v>43077</v>
      </c>
      <c r="E894" s="11">
        <v>332.9</v>
      </c>
      <c r="F894" s="12">
        <f t="shared" ref="F894:F896" si="204">(E893-E894)/(D894-D893)</f>
        <v>5.5</v>
      </c>
      <c r="G894" s="14"/>
      <c r="H894" s="14"/>
      <c r="I894" s="13">
        <v>42.1</v>
      </c>
      <c r="J894" s="14">
        <f>(I892-I894)/(D894-D892)</f>
        <v>3</v>
      </c>
      <c r="K894" s="13">
        <v>37.5</v>
      </c>
      <c r="L894" s="14"/>
      <c r="M894" s="14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3.2">
      <c r="A895" s="14"/>
      <c r="B895" s="5">
        <v>11</v>
      </c>
      <c r="C895" s="5">
        <f t="shared" si="183"/>
        <v>81</v>
      </c>
      <c r="D895" s="24">
        <v>43080</v>
      </c>
      <c r="E895" s="11">
        <v>323.8</v>
      </c>
      <c r="F895" s="12">
        <f t="shared" si="204"/>
        <v>3.0333333333333221</v>
      </c>
      <c r="G895" s="14"/>
      <c r="H895" s="14"/>
      <c r="I895" s="13">
        <v>33.9</v>
      </c>
      <c r="J895" s="15">
        <f t="shared" ref="J895:J896" si="205">(I894-I895)/(D895-D894)</f>
        <v>2.7333333333333343</v>
      </c>
      <c r="K895" s="13">
        <v>37.9</v>
      </c>
      <c r="L895" s="14"/>
      <c r="M895" s="14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3.2">
      <c r="A896" s="14"/>
      <c r="B896" s="5">
        <v>11</v>
      </c>
      <c r="C896" s="5">
        <f t="shared" si="183"/>
        <v>83</v>
      </c>
      <c r="D896" s="25">
        <v>43082</v>
      </c>
      <c r="E896" s="11">
        <v>312.2</v>
      </c>
      <c r="F896" s="12">
        <f t="shared" si="204"/>
        <v>5.8000000000000114</v>
      </c>
      <c r="G896" s="14"/>
      <c r="H896" s="14"/>
      <c r="I896" s="13">
        <v>28.3</v>
      </c>
      <c r="J896" s="15">
        <f t="shared" si="205"/>
        <v>2.7999999999999989</v>
      </c>
      <c r="K896" s="13">
        <v>38.4</v>
      </c>
      <c r="L896" s="14"/>
      <c r="M896" s="14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3.2">
      <c r="A897" s="14"/>
      <c r="B897" s="5">
        <v>12</v>
      </c>
      <c r="C897" s="5">
        <f t="shared" si="183"/>
        <v>84</v>
      </c>
      <c r="D897" s="24">
        <v>43083</v>
      </c>
      <c r="E897" s="11"/>
      <c r="F897" s="12"/>
      <c r="G897" s="14"/>
      <c r="H897" s="14"/>
      <c r="I897" s="15"/>
      <c r="J897" s="14"/>
      <c r="K897" s="15"/>
      <c r="L897" s="14"/>
      <c r="M897" s="14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3.2">
      <c r="A898" s="80"/>
      <c r="B898" s="76">
        <v>12</v>
      </c>
      <c r="C898" s="76">
        <f t="shared" si="183"/>
        <v>85</v>
      </c>
      <c r="D898" s="90">
        <v>43084</v>
      </c>
      <c r="E898" s="79"/>
      <c r="F898" s="91"/>
      <c r="G898" s="80"/>
      <c r="H898" s="80"/>
      <c r="I898" s="92"/>
      <c r="J898" s="80"/>
      <c r="K898" s="128">
        <v>38.1</v>
      </c>
      <c r="L898" s="80"/>
      <c r="M898" s="80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3.2">
      <c r="A899" s="14"/>
      <c r="B899" s="5">
        <v>12</v>
      </c>
      <c r="C899" s="5">
        <f t="shared" si="183"/>
        <v>98</v>
      </c>
      <c r="D899" s="32">
        <v>43097</v>
      </c>
      <c r="E899" s="12"/>
      <c r="F899" s="12"/>
      <c r="G899" s="14"/>
      <c r="H899" s="14"/>
      <c r="I899" s="33">
        <v>74</v>
      </c>
      <c r="J899" s="14"/>
      <c r="K899" s="33">
        <v>41.9</v>
      </c>
      <c r="L899" s="14"/>
      <c r="M899" s="14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3.2">
      <c r="A900" s="14"/>
      <c r="B900" s="5">
        <v>12</v>
      </c>
      <c r="C900" s="5">
        <f t="shared" si="183"/>
        <v>105</v>
      </c>
      <c r="D900" s="32">
        <v>43104</v>
      </c>
      <c r="E900" s="12"/>
      <c r="F900" s="12"/>
      <c r="G900" s="14"/>
      <c r="H900" s="14"/>
      <c r="I900" s="33">
        <v>51.8</v>
      </c>
      <c r="J900" s="14"/>
      <c r="K900" s="33">
        <v>43.5</v>
      </c>
      <c r="L900" s="14"/>
      <c r="M900" s="14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3.2">
      <c r="A901" s="14"/>
      <c r="B901" s="14"/>
      <c r="C901" s="5">
        <f t="shared" si="183"/>
        <v>112</v>
      </c>
      <c r="D901" s="32">
        <v>43111</v>
      </c>
      <c r="E901" s="12"/>
      <c r="F901" s="12"/>
      <c r="G901" s="14"/>
      <c r="H901" s="14"/>
      <c r="I901" s="33">
        <v>44.7</v>
      </c>
      <c r="J901" s="14"/>
      <c r="K901" s="33">
        <v>37.700000000000003</v>
      </c>
      <c r="L901" s="14"/>
      <c r="M901" s="14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3.2">
      <c r="A902" s="14"/>
      <c r="B902" s="14"/>
      <c r="C902" s="5">
        <f t="shared" si="183"/>
        <v>116</v>
      </c>
      <c r="D902" s="94">
        <v>43115</v>
      </c>
      <c r="E902" s="12"/>
      <c r="F902" s="12"/>
      <c r="G902" s="14"/>
      <c r="H902" s="14"/>
      <c r="I902" s="33">
        <v>36</v>
      </c>
      <c r="J902" s="14"/>
      <c r="K902" s="33">
        <v>38</v>
      </c>
      <c r="L902" s="14"/>
      <c r="M902" s="14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3.2">
      <c r="A903" s="14"/>
      <c r="B903" s="14"/>
      <c r="C903" s="5">
        <f t="shared" si="183"/>
        <v>117</v>
      </c>
      <c r="D903" s="32">
        <v>43116</v>
      </c>
      <c r="E903" s="12"/>
      <c r="F903" s="12"/>
      <c r="G903" s="14"/>
      <c r="H903" s="14"/>
      <c r="I903" s="33">
        <v>33.9</v>
      </c>
      <c r="J903" s="14"/>
      <c r="K903" s="33">
        <v>37.700000000000003</v>
      </c>
      <c r="L903" s="14"/>
      <c r="M903" s="14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3.2">
      <c r="A904" s="14"/>
      <c r="B904" s="14"/>
      <c r="C904" s="5">
        <f t="shared" si="183"/>
        <v>118</v>
      </c>
      <c r="D904" s="32">
        <v>43117</v>
      </c>
      <c r="E904" s="12"/>
      <c r="F904" s="12"/>
      <c r="G904" s="14"/>
      <c r="H904" s="14"/>
      <c r="I904" s="33">
        <v>75.2</v>
      </c>
      <c r="J904" s="14"/>
      <c r="K904" s="33">
        <v>38</v>
      </c>
      <c r="L904" s="14"/>
      <c r="M904" s="14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3.2">
      <c r="A905" s="14"/>
      <c r="B905" s="14"/>
      <c r="C905" s="5">
        <f t="shared" si="183"/>
        <v>119</v>
      </c>
      <c r="D905" s="32">
        <v>43118</v>
      </c>
      <c r="E905" s="12"/>
      <c r="F905" s="12"/>
      <c r="G905" s="14"/>
      <c r="H905" s="14"/>
      <c r="I905" s="127">
        <v>72.400000000000006</v>
      </c>
      <c r="J905" s="14"/>
      <c r="K905" s="127">
        <v>38.200000000000003</v>
      </c>
      <c r="L905" s="14"/>
      <c r="M905" s="14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3.2">
      <c r="A906" s="14"/>
      <c r="B906" s="14"/>
      <c r="C906" s="5">
        <f t="shared" si="183"/>
        <v>120</v>
      </c>
      <c r="D906" s="32">
        <v>43119</v>
      </c>
      <c r="E906" s="12"/>
      <c r="F906" s="12"/>
      <c r="G906" s="14"/>
      <c r="H906" s="14"/>
      <c r="I906" s="127" t="s">
        <v>71</v>
      </c>
      <c r="J906" s="14"/>
      <c r="K906" s="127">
        <v>38.1</v>
      </c>
      <c r="L906" s="14"/>
      <c r="M906" s="14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3.2">
      <c r="A907" s="14"/>
      <c r="B907" s="14"/>
      <c r="C907" s="5">
        <f t="shared" si="183"/>
        <v>121</v>
      </c>
      <c r="D907" s="32">
        <v>43120</v>
      </c>
      <c r="E907" s="12"/>
      <c r="F907" s="12"/>
      <c r="G907" s="14"/>
      <c r="H907" s="14"/>
      <c r="I907" s="127" t="s">
        <v>71</v>
      </c>
      <c r="J907" s="14"/>
      <c r="K907" s="127">
        <v>37.6</v>
      </c>
      <c r="L907" s="14"/>
      <c r="M907" s="14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3.2">
      <c r="A908" s="14"/>
      <c r="B908" s="14"/>
      <c r="C908" s="5">
        <f t="shared" si="183"/>
        <v>122</v>
      </c>
      <c r="D908" s="32">
        <v>43121</v>
      </c>
      <c r="E908" s="12"/>
      <c r="F908" s="12"/>
      <c r="G908" s="14"/>
      <c r="H908" s="14"/>
      <c r="I908" s="127" t="s">
        <v>71</v>
      </c>
      <c r="J908" s="14"/>
      <c r="K908" s="127">
        <v>37.700000000000003</v>
      </c>
      <c r="L908" s="14"/>
      <c r="M908" s="14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3.2">
      <c r="A909" s="14"/>
      <c r="B909" s="14"/>
      <c r="C909" s="5">
        <f t="shared" si="183"/>
        <v>123</v>
      </c>
      <c r="D909" s="32">
        <v>43122</v>
      </c>
      <c r="E909" s="12"/>
      <c r="F909" s="12"/>
      <c r="G909" s="14"/>
      <c r="H909" s="14"/>
      <c r="I909" s="127" t="s">
        <v>71</v>
      </c>
      <c r="J909" s="14"/>
      <c r="K909" s="127">
        <v>37.5</v>
      </c>
      <c r="L909" s="14"/>
      <c r="M909" s="14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3.2">
      <c r="A910" s="14"/>
      <c r="B910" s="14"/>
      <c r="C910" s="5">
        <f t="shared" si="183"/>
        <v>124</v>
      </c>
      <c r="D910" s="32">
        <v>43123</v>
      </c>
      <c r="E910" s="12"/>
      <c r="F910" s="12"/>
      <c r="G910" s="14"/>
      <c r="H910" s="14"/>
      <c r="I910" s="127" t="s">
        <v>71</v>
      </c>
      <c r="J910" s="14"/>
      <c r="K910" s="127">
        <v>37.5</v>
      </c>
      <c r="L910" s="14"/>
      <c r="M910" s="14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3.2">
      <c r="A911" s="14"/>
      <c r="B911" s="14"/>
      <c r="C911" s="5">
        <f t="shared" si="183"/>
        <v>125</v>
      </c>
      <c r="D911" s="52">
        <v>43124</v>
      </c>
      <c r="E911" s="12"/>
      <c r="F911" s="12"/>
      <c r="G911" s="14"/>
      <c r="H911" s="14"/>
      <c r="I911" s="127" t="s">
        <v>71</v>
      </c>
      <c r="J911" s="14"/>
      <c r="K911" s="127">
        <v>37.299999999999997</v>
      </c>
      <c r="L911" s="14"/>
      <c r="M911" s="14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3.2">
      <c r="A912" s="14"/>
      <c r="B912" s="14"/>
      <c r="C912" s="5">
        <f t="shared" si="183"/>
        <v>126</v>
      </c>
      <c r="D912" s="52">
        <v>43125</v>
      </c>
      <c r="E912" s="12"/>
      <c r="F912" s="12"/>
      <c r="G912" s="14"/>
      <c r="H912" s="14"/>
      <c r="I912" s="127" t="s">
        <v>71</v>
      </c>
      <c r="J912" s="14"/>
      <c r="K912" s="127">
        <v>37.1</v>
      </c>
      <c r="L912" s="14"/>
      <c r="M912" s="14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3.2">
      <c r="A913" s="14"/>
      <c r="B913" s="14"/>
      <c r="C913" s="5">
        <f t="shared" si="183"/>
        <v>127</v>
      </c>
      <c r="D913" s="52">
        <v>43126</v>
      </c>
      <c r="E913" s="12"/>
      <c r="F913" s="12"/>
      <c r="G913" s="14"/>
      <c r="H913" s="14"/>
      <c r="I913" s="127" t="s">
        <v>71</v>
      </c>
      <c r="J913" s="147"/>
      <c r="K913" s="127">
        <v>37.200000000000003</v>
      </c>
      <c r="L913" s="14"/>
      <c r="M913" s="14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3.2">
      <c r="A914" s="14"/>
      <c r="B914" s="14"/>
      <c r="C914" s="5">
        <f t="shared" si="183"/>
        <v>128</v>
      </c>
      <c r="D914" s="52">
        <v>43127</v>
      </c>
      <c r="E914" s="12"/>
      <c r="F914" s="12"/>
      <c r="G914" s="14"/>
      <c r="H914" s="14"/>
      <c r="I914" s="127" t="s">
        <v>71</v>
      </c>
      <c r="J914" s="147"/>
      <c r="K914" s="127">
        <v>37.299999999999997</v>
      </c>
      <c r="L914" s="14"/>
      <c r="M914" s="14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3.2">
      <c r="A915" s="14"/>
      <c r="B915" s="14"/>
      <c r="C915" s="5">
        <v>129</v>
      </c>
      <c r="D915" s="52">
        <v>43128</v>
      </c>
      <c r="E915" s="12"/>
      <c r="F915" s="12"/>
      <c r="G915" s="14"/>
      <c r="H915" s="14"/>
      <c r="I915" s="127" t="s">
        <v>71</v>
      </c>
      <c r="J915" s="14"/>
      <c r="K915" s="127">
        <v>37.200000000000003</v>
      </c>
      <c r="L915" s="14"/>
      <c r="M915" s="14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3.2">
      <c r="A916" s="14"/>
      <c r="B916" s="14"/>
      <c r="C916" s="5">
        <v>130</v>
      </c>
      <c r="D916" s="52">
        <v>43129</v>
      </c>
      <c r="E916" s="12"/>
      <c r="F916" s="12"/>
      <c r="G916" s="14"/>
      <c r="H916" s="14"/>
      <c r="I916" s="127" t="s">
        <v>71</v>
      </c>
      <c r="J916" s="14"/>
      <c r="K916" s="127">
        <v>36.4</v>
      </c>
      <c r="L916" s="14"/>
      <c r="M916" s="14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3.2">
      <c r="A917" s="14"/>
      <c r="B917" s="14"/>
      <c r="C917" s="5">
        <v>131</v>
      </c>
      <c r="D917" s="52">
        <v>43130</v>
      </c>
      <c r="E917" s="12"/>
      <c r="F917" s="12"/>
      <c r="G917" s="14"/>
      <c r="H917" s="14"/>
      <c r="I917" s="127" t="s">
        <v>71</v>
      </c>
      <c r="J917" s="14"/>
      <c r="K917" s="127">
        <v>35.799999999999997</v>
      </c>
      <c r="L917" s="14"/>
      <c r="M917" s="14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3.2">
      <c r="A918" s="14"/>
      <c r="B918" s="14"/>
      <c r="C918" s="5">
        <v>132</v>
      </c>
      <c r="D918" s="53">
        <v>43131</v>
      </c>
      <c r="E918" s="12"/>
      <c r="F918" s="12"/>
      <c r="G918" s="14"/>
      <c r="H918" s="14"/>
      <c r="I918" s="127" t="s">
        <v>71</v>
      </c>
      <c r="J918" s="14"/>
      <c r="K918" s="127">
        <v>35.700000000000003</v>
      </c>
      <c r="L918" s="14"/>
      <c r="M918" s="14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3.2">
      <c r="A919" s="14"/>
      <c r="B919" s="14"/>
      <c r="C919" s="5">
        <v>133</v>
      </c>
      <c r="D919" s="32">
        <v>43132</v>
      </c>
      <c r="E919" s="12"/>
      <c r="F919" s="12"/>
      <c r="G919" s="14"/>
      <c r="H919" s="14"/>
      <c r="I919" s="127" t="s">
        <v>71</v>
      </c>
      <c r="J919" s="14"/>
      <c r="K919" s="127">
        <v>35.4</v>
      </c>
      <c r="L919" s="14"/>
      <c r="M919" s="14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3.2">
      <c r="A920" s="14"/>
      <c r="B920" s="14"/>
      <c r="C920" s="5">
        <v>134</v>
      </c>
      <c r="D920" s="32">
        <v>43133</v>
      </c>
      <c r="E920" s="12"/>
      <c r="F920" s="12"/>
      <c r="G920" s="14"/>
      <c r="H920" s="14"/>
      <c r="I920" s="134" t="s">
        <v>71</v>
      </c>
      <c r="J920" s="14"/>
      <c r="K920" s="127">
        <v>35.200000000000003</v>
      </c>
      <c r="L920" s="14"/>
      <c r="M920" s="14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3.2">
      <c r="A921" s="14"/>
      <c r="B921" s="14"/>
      <c r="C921" s="5">
        <v>135</v>
      </c>
      <c r="D921" s="32">
        <v>43134</v>
      </c>
      <c r="E921" s="12"/>
      <c r="F921" s="12"/>
      <c r="G921" s="14"/>
      <c r="H921" s="14"/>
      <c r="I921" s="134" t="s">
        <v>71</v>
      </c>
      <c r="J921" s="14"/>
      <c r="K921" s="127">
        <v>34.5</v>
      </c>
      <c r="L921" s="14"/>
      <c r="M921" s="14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3.2">
      <c r="A922" s="14"/>
      <c r="B922" s="14"/>
      <c r="C922" s="5">
        <v>136</v>
      </c>
      <c r="D922" s="32">
        <v>43135</v>
      </c>
      <c r="E922" s="12"/>
      <c r="F922" s="12"/>
      <c r="G922" s="14"/>
      <c r="H922" s="14"/>
      <c r="I922" s="134" t="s">
        <v>71</v>
      </c>
      <c r="J922" s="14"/>
      <c r="K922" s="127">
        <v>34.1</v>
      </c>
      <c r="L922" s="14"/>
      <c r="M922" s="14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3.2">
      <c r="A923" s="14"/>
      <c r="B923" s="14"/>
      <c r="C923" s="5">
        <v>137</v>
      </c>
      <c r="D923" s="32">
        <v>43136</v>
      </c>
      <c r="E923" s="12"/>
      <c r="F923" s="12"/>
      <c r="G923" s="14"/>
      <c r="H923" s="14"/>
      <c r="I923" s="134" t="s">
        <v>71</v>
      </c>
      <c r="J923" s="14"/>
      <c r="K923" s="127">
        <v>33.799999999999997</v>
      </c>
      <c r="L923" s="14"/>
      <c r="M923" s="14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3.2">
      <c r="A924" s="14"/>
      <c r="B924" s="14"/>
      <c r="C924" s="5">
        <v>138</v>
      </c>
      <c r="D924" s="32">
        <v>43137</v>
      </c>
      <c r="E924" s="12"/>
      <c r="F924" s="12"/>
      <c r="G924" s="14"/>
      <c r="H924" s="14"/>
      <c r="I924" s="134" t="s">
        <v>71</v>
      </c>
      <c r="J924" s="14"/>
      <c r="K924" s="127">
        <v>33.6</v>
      </c>
      <c r="L924" s="14"/>
      <c r="M924" s="14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3.2">
      <c r="A925" s="14"/>
      <c r="B925" s="14"/>
      <c r="C925" s="5">
        <v>139</v>
      </c>
      <c r="D925" s="20">
        <v>43138</v>
      </c>
      <c r="E925" s="12"/>
      <c r="F925" s="12"/>
      <c r="G925" s="14"/>
      <c r="H925" s="14"/>
      <c r="I925" s="148" t="s">
        <v>71</v>
      </c>
      <c r="J925" s="14"/>
      <c r="K925" s="148">
        <v>33</v>
      </c>
      <c r="L925" s="14"/>
      <c r="M925" s="14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3.2">
      <c r="A926" s="14"/>
      <c r="B926" s="14"/>
      <c r="C926" s="5">
        <v>140</v>
      </c>
      <c r="D926" s="20">
        <v>43139</v>
      </c>
      <c r="E926" s="12"/>
      <c r="F926" s="12"/>
      <c r="G926" s="14"/>
      <c r="H926" s="14"/>
      <c r="I926" s="148" t="s">
        <v>71</v>
      </c>
      <c r="J926" s="14"/>
      <c r="K926" s="148">
        <v>32.4</v>
      </c>
      <c r="L926" s="14"/>
      <c r="M926" s="14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3.2">
      <c r="A927" s="14"/>
      <c r="B927" s="14"/>
      <c r="C927" s="5">
        <v>141</v>
      </c>
      <c r="D927" s="20">
        <v>43140</v>
      </c>
      <c r="E927" s="12"/>
      <c r="F927" s="12"/>
      <c r="G927" s="14"/>
      <c r="H927" s="14"/>
      <c r="I927" s="148" t="s">
        <v>71</v>
      </c>
      <c r="J927" s="14"/>
      <c r="K927" s="148">
        <v>31.8</v>
      </c>
      <c r="L927" s="14"/>
      <c r="M927" s="14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3.2">
      <c r="A928" s="14"/>
      <c r="B928" s="14"/>
      <c r="C928" s="5">
        <v>142</v>
      </c>
      <c r="D928" s="20">
        <v>43141</v>
      </c>
      <c r="E928" s="12"/>
      <c r="F928" s="12"/>
      <c r="G928" s="14"/>
      <c r="H928" s="14"/>
      <c r="I928" s="148" t="s">
        <v>71</v>
      </c>
      <c r="J928" s="14"/>
      <c r="K928" s="148">
        <v>31</v>
      </c>
      <c r="L928" s="14"/>
      <c r="M928" s="14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3.2">
      <c r="A929" s="14"/>
      <c r="B929" s="14"/>
      <c r="C929" s="5">
        <v>143</v>
      </c>
      <c r="D929" s="20">
        <v>43142</v>
      </c>
      <c r="E929" s="12"/>
      <c r="F929" s="12"/>
      <c r="G929" s="14"/>
      <c r="H929" s="14"/>
      <c r="I929" s="148" t="s">
        <v>71</v>
      </c>
      <c r="J929" s="14"/>
      <c r="K929" s="148">
        <v>30.4</v>
      </c>
      <c r="L929" s="14"/>
      <c r="M929" s="14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3.2">
      <c r="A930" s="14"/>
      <c r="B930" s="14"/>
      <c r="C930" s="5">
        <v>144</v>
      </c>
      <c r="D930" s="20">
        <v>43143</v>
      </c>
      <c r="E930" s="12"/>
      <c r="F930" s="12"/>
      <c r="G930" s="14"/>
      <c r="H930" s="14"/>
      <c r="I930" s="148" t="s">
        <v>71</v>
      </c>
      <c r="J930" s="14"/>
      <c r="K930" s="148">
        <v>30</v>
      </c>
      <c r="L930" s="14"/>
      <c r="M930" s="14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3.2">
      <c r="A931" s="14"/>
      <c r="B931" s="14"/>
      <c r="C931" s="5">
        <v>145</v>
      </c>
      <c r="D931" s="20">
        <v>43144</v>
      </c>
      <c r="E931" s="12"/>
      <c r="F931" s="12"/>
      <c r="G931" s="14"/>
      <c r="H931" s="14"/>
      <c r="I931" s="148" t="s">
        <v>71</v>
      </c>
      <c r="J931" s="14"/>
      <c r="K931" s="148">
        <v>29.6</v>
      </c>
      <c r="L931" s="14"/>
      <c r="M931" s="14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3.2">
      <c r="A932" s="14"/>
      <c r="B932" s="14"/>
      <c r="C932" s="5">
        <v>146</v>
      </c>
      <c r="D932" s="20">
        <v>43145</v>
      </c>
      <c r="E932" s="12"/>
      <c r="F932" s="12"/>
      <c r="G932" s="14"/>
      <c r="H932" s="14"/>
      <c r="I932" s="148" t="s">
        <v>71</v>
      </c>
      <c r="J932" s="14"/>
      <c r="K932" s="148">
        <v>29</v>
      </c>
      <c r="L932" s="14"/>
      <c r="M932" s="14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3.2">
      <c r="A933" s="14"/>
      <c r="B933" s="14"/>
      <c r="C933" s="5">
        <v>147</v>
      </c>
      <c r="D933" s="20">
        <v>43146</v>
      </c>
      <c r="E933" s="12"/>
      <c r="F933" s="12"/>
      <c r="G933" s="14"/>
      <c r="H933" s="14"/>
      <c r="I933" s="125" t="s">
        <v>71</v>
      </c>
      <c r="J933" s="14"/>
      <c r="K933" s="125">
        <v>28.4</v>
      </c>
      <c r="L933" s="14"/>
      <c r="M933" s="14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3.2">
      <c r="A934" s="14"/>
      <c r="B934" s="14"/>
      <c r="C934" s="5">
        <v>148</v>
      </c>
      <c r="D934" s="20">
        <v>43147</v>
      </c>
      <c r="E934" s="12"/>
      <c r="F934" s="12"/>
      <c r="G934" s="14"/>
      <c r="H934" s="14"/>
      <c r="I934" s="125" t="s">
        <v>71</v>
      </c>
      <c r="J934" s="14"/>
      <c r="K934" s="125">
        <v>27.7</v>
      </c>
      <c r="L934" s="14"/>
      <c r="M934" s="14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3.2">
      <c r="A935" s="14"/>
      <c r="B935" s="14"/>
      <c r="C935" s="5">
        <v>149</v>
      </c>
      <c r="D935" s="20">
        <v>43148</v>
      </c>
      <c r="E935" s="12"/>
      <c r="F935" s="12"/>
      <c r="G935" s="14"/>
      <c r="H935" s="14"/>
      <c r="I935" s="125" t="s">
        <v>71</v>
      </c>
      <c r="J935" s="14"/>
      <c r="K935" s="125">
        <v>27.3</v>
      </c>
      <c r="L935" s="14"/>
      <c r="M935" s="14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3.2">
      <c r="A936" s="14"/>
      <c r="B936" s="14"/>
      <c r="C936" s="14">
        <f t="shared" ref="C936:C945" si="206">C935+1</f>
        <v>150</v>
      </c>
      <c r="D936" s="20">
        <v>43149</v>
      </c>
      <c r="E936" s="12"/>
      <c r="F936" s="12"/>
      <c r="G936" s="14"/>
      <c r="H936" s="14"/>
      <c r="I936" s="13" t="s">
        <v>71</v>
      </c>
      <c r="J936" s="14"/>
      <c r="K936" s="13">
        <v>26.9</v>
      </c>
      <c r="L936" s="14"/>
      <c r="M936" s="14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3.2">
      <c r="A937" s="14"/>
      <c r="B937" s="14"/>
      <c r="C937" s="14">
        <f t="shared" si="206"/>
        <v>151</v>
      </c>
      <c r="D937" s="20">
        <v>43150</v>
      </c>
      <c r="E937" s="12"/>
      <c r="F937" s="12"/>
      <c r="G937" s="14"/>
      <c r="H937" s="14"/>
      <c r="I937" s="13" t="s">
        <v>71</v>
      </c>
      <c r="J937" s="14"/>
      <c r="K937" s="13">
        <v>26.2</v>
      </c>
      <c r="L937" s="14"/>
      <c r="M937" s="14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3.2">
      <c r="A938" s="14"/>
      <c r="B938" s="14"/>
      <c r="C938" s="14">
        <f t="shared" si="206"/>
        <v>152</v>
      </c>
      <c r="D938" s="20">
        <v>43151</v>
      </c>
      <c r="E938" s="12"/>
      <c r="F938" s="12"/>
      <c r="G938" s="14"/>
      <c r="H938" s="14"/>
      <c r="I938" s="13" t="s">
        <v>71</v>
      </c>
      <c r="J938" s="14"/>
      <c r="K938" s="13">
        <v>25.4</v>
      </c>
      <c r="L938" s="14"/>
      <c r="M938" s="14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3.2">
      <c r="A939" s="14"/>
      <c r="B939" s="14"/>
      <c r="C939" s="14">
        <f t="shared" si="206"/>
        <v>153</v>
      </c>
      <c r="D939" s="20">
        <v>43152</v>
      </c>
      <c r="E939" s="12"/>
      <c r="F939" s="12"/>
      <c r="G939" s="14"/>
      <c r="H939" s="14"/>
      <c r="I939" s="13" t="s">
        <v>71</v>
      </c>
      <c r="J939" s="14"/>
      <c r="K939" s="13">
        <v>24.9</v>
      </c>
      <c r="L939" s="14"/>
      <c r="M939" s="14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3.2">
      <c r="A940" s="14"/>
      <c r="B940" s="14"/>
      <c r="C940" s="14">
        <f t="shared" si="206"/>
        <v>154</v>
      </c>
      <c r="D940" s="20">
        <v>43153</v>
      </c>
      <c r="E940" s="12"/>
      <c r="F940" s="12"/>
      <c r="G940" s="14"/>
      <c r="H940" s="14"/>
      <c r="I940" s="13" t="s">
        <v>71</v>
      </c>
      <c r="J940" s="14"/>
      <c r="K940" s="13">
        <v>24.7</v>
      </c>
      <c r="L940" s="14"/>
      <c r="M940" s="14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3.2">
      <c r="A941" s="14"/>
      <c r="B941" s="14"/>
      <c r="C941" s="14">
        <f t="shared" si="206"/>
        <v>155</v>
      </c>
      <c r="D941" s="20">
        <v>43154</v>
      </c>
      <c r="E941" s="12"/>
      <c r="F941" s="12"/>
      <c r="G941" s="14"/>
      <c r="H941" s="14"/>
      <c r="I941" s="13" t="s">
        <v>71</v>
      </c>
      <c r="J941" s="14"/>
      <c r="K941" s="13">
        <v>24.4</v>
      </c>
      <c r="L941" s="14"/>
      <c r="M941" s="14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3.2">
      <c r="A942" s="14"/>
      <c r="B942" s="14"/>
      <c r="C942" s="14">
        <f t="shared" si="206"/>
        <v>156</v>
      </c>
      <c r="D942" s="20">
        <v>43155</v>
      </c>
      <c r="E942" s="12"/>
      <c r="F942" s="12"/>
      <c r="G942" s="14"/>
      <c r="H942" s="14"/>
      <c r="I942" s="13">
        <v>45.2</v>
      </c>
      <c r="J942" s="14"/>
      <c r="K942" s="13">
        <v>23.9</v>
      </c>
      <c r="L942" s="14"/>
      <c r="M942" s="14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3.2">
      <c r="A943" s="14"/>
      <c r="B943" s="14"/>
      <c r="C943" s="14">
        <f t="shared" si="206"/>
        <v>157</v>
      </c>
      <c r="D943" s="20">
        <v>43156</v>
      </c>
      <c r="E943" s="12"/>
      <c r="F943" s="12"/>
      <c r="G943" s="14"/>
      <c r="H943" s="14"/>
      <c r="I943" s="13">
        <v>41.3</v>
      </c>
      <c r="J943" s="14"/>
      <c r="K943" s="13">
        <v>25.6</v>
      </c>
      <c r="L943" s="14"/>
      <c r="M943" s="14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3.2">
      <c r="A944" s="14"/>
      <c r="B944" s="14"/>
      <c r="C944" s="14">
        <f t="shared" si="206"/>
        <v>158</v>
      </c>
      <c r="D944" s="20">
        <v>43157</v>
      </c>
      <c r="E944" s="12"/>
      <c r="F944" s="12"/>
      <c r="G944" s="14"/>
      <c r="H944" s="14"/>
      <c r="I944" s="13">
        <v>38.4</v>
      </c>
      <c r="J944" s="14"/>
      <c r="K944" s="13">
        <v>26</v>
      </c>
      <c r="L944" s="14"/>
      <c r="M944" s="14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3.2">
      <c r="A945" s="14"/>
      <c r="B945" s="14"/>
      <c r="C945" s="14">
        <f t="shared" si="206"/>
        <v>159</v>
      </c>
      <c r="D945" s="20">
        <v>43158</v>
      </c>
      <c r="E945" s="12"/>
      <c r="F945" s="12"/>
      <c r="G945" s="14"/>
      <c r="H945" s="14"/>
      <c r="I945" s="13">
        <v>34.200000000000003</v>
      </c>
      <c r="J945" s="14"/>
      <c r="K945" s="13">
        <v>26.8</v>
      </c>
      <c r="L945" s="14"/>
      <c r="M945" s="14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3.2">
      <c r="A946" s="14"/>
      <c r="B946" s="14"/>
      <c r="C946" s="5">
        <v>166</v>
      </c>
      <c r="D946" s="20">
        <v>43165</v>
      </c>
      <c r="E946" s="12"/>
      <c r="F946" s="12"/>
      <c r="G946" s="14"/>
      <c r="H946" s="14"/>
      <c r="I946" s="13">
        <v>72</v>
      </c>
      <c r="J946" s="14"/>
      <c r="K946" s="13">
        <v>27.1</v>
      </c>
      <c r="L946" s="14"/>
      <c r="M946" s="14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3.2">
      <c r="A947" s="14"/>
      <c r="B947" s="14"/>
      <c r="C947" s="5">
        <v>173</v>
      </c>
      <c r="D947" s="20">
        <v>43172</v>
      </c>
      <c r="E947" s="12"/>
      <c r="F947" s="12"/>
      <c r="G947" s="14"/>
      <c r="H947" s="14"/>
      <c r="I947" s="13">
        <v>27.4</v>
      </c>
      <c r="J947" s="14"/>
      <c r="K947" s="13">
        <v>27.1</v>
      </c>
      <c r="L947" s="14"/>
      <c r="M947" s="14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3.2">
      <c r="A948" s="14"/>
      <c r="B948" s="14"/>
      <c r="C948" s="14"/>
      <c r="D948" s="14"/>
      <c r="E948" s="12"/>
      <c r="F948" s="12"/>
      <c r="G948" s="14"/>
      <c r="H948" s="14"/>
      <c r="I948" s="15"/>
      <c r="J948" s="14"/>
      <c r="K948" s="15"/>
      <c r="L948" s="14"/>
      <c r="M948" s="14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3.2">
      <c r="A949" s="14"/>
      <c r="B949" s="14"/>
      <c r="C949" s="14"/>
      <c r="D949" s="14"/>
      <c r="E949" s="12"/>
      <c r="F949" s="12"/>
      <c r="G949" s="14"/>
      <c r="H949" s="14"/>
      <c r="I949" s="15"/>
      <c r="J949" s="14"/>
      <c r="K949" s="15"/>
      <c r="L949" s="14"/>
      <c r="M949" s="14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3.2">
      <c r="A950" s="14"/>
      <c r="B950" s="14"/>
      <c r="C950" s="14"/>
      <c r="D950" s="14"/>
      <c r="E950" s="12"/>
      <c r="F950" s="12"/>
      <c r="G950" s="14"/>
      <c r="H950" s="14"/>
      <c r="I950" s="15"/>
      <c r="J950" s="14"/>
      <c r="K950" s="15"/>
      <c r="L950" s="14"/>
      <c r="M950" s="14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3.2">
      <c r="A951" s="14"/>
      <c r="B951" s="14"/>
      <c r="C951" s="14"/>
      <c r="D951" s="14"/>
      <c r="E951" s="12"/>
      <c r="F951" s="12"/>
      <c r="G951" s="14"/>
      <c r="H951" s="14"/>
      <c r="I951" s="15"/>
      <c r="J951" s="14"/>
      <c r="K951" s="15"/>
      <c r="L951" s="14"/>
      <c r="M951" s="14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3.2">
      <c r="A952" s="14"/>
      <c r="B952" s="14"/>
      <c r="C952" s="14"/>
      <c r="D952" s="14"/>
      <c r="E952" s="12"/>
      <c r="F952" s="12"/>
      <c r="G952" s="14"/>
      <c r="H952" s="14"/>
      <c r="I952" s="15"/>
      <c r="J952" s="14"/>
      <c r="K952" s="15"/>
      <c r="L952" s="14"/>
      <c r="M952" s="14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3.2">
      <c r="A953" s="14"/>
      <c r="B953" s="14"/>
      <c r="C953" s="14"/>
      <c r="D953" s="14"/>
      <c r="E953" s="12"/>
      <c r="F953" s="12"/>
      <c r="G953" s="14"/>
      <c r="H953" s="14"/>
      <c r="I953" s="15"/>
      <c r="J953" s="14"/>
      <c r="K953" s="15"/>
      <c r="L953" s="14"/>
      <c r="M953" s="14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3.2">
      <c r="A954" s="14"/>
      <c r="B954" s="14"/>
      <c r="C954" s="14"/>
      <c r="D954" s="14"/>
      <c r="E954" s="12"/>
      <c r="F954" s="12"/>
      <c r="G954" s="14"/>
      <c r="H954" s="14"/>
      <c r="I954" s="15"/>
      <c r="J954" s="14"/>
      <c r="K954" s="15"/>
      <c r="L954" s="14"/>
      <c r="M954" s="14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3.2">
      <c r="A955" s="14"/>
      <c r="B955" s="14"/>
      <c r="C955" s="14"/>
      <c r="D955" s="14"/>
      <c r="E955" s="12"/>
      <c r="F955" s="12"/>
      <c r="G955" s="14"/>
      <c r="H955" s="14"/>
      <c r="I955" s="15"/>
      <c r="J955" s="14"/>
      <c r="K955" s="15"/>
      <c r="L955" s="14"/>
      <c r="M955" s="14"/>
      <c r="N955" s="7"/>
      <c r="O955" s="7"/>
      <c r="P955" s="7"/>
      <c r="Q955" s="7"/>
      <c r="R955" s="7"/>
      <c r="S955" s="73">
        <f>I956-I960</f>
        <v>24.099999999999994</v>
      </c>
      <c r="T955" s="7"/>
      <c r="U955" s="7">
        <f>SUM(T955:T956)</f>
        <v>1175.8560000000002</v>
      </c>
      <c r="V955" s="7"/>
      <c r="W955" s="7"/>
      <c r="X955" s="7"/>
      <c r="Y955" s="7"/>
      <c r="Z955" s="7"/>
      <c r="AA955" s="7"/>
      <c r="AB955" s="7"/>
    </row>
    <row r="956" spans="1:28" ht="13.2">
      <c r="A956" s="72" t="s">
        <v>101</v>
      </c>
      <c r="B956" s="5">
        <v>0</v>
      </c>
      <c r="C956" s="5">
        <v>0</v>
      </c>
      <c r="D956" s="9">
        <v>42992</v>
      </c>
      <c r="E956" s="10">
        <v>364.4</v>
      </c>
      <c r="F956" s="11" t="s">
        <v>21</v>
      </c>
      <c r="G956" s="12">
        <f>AVERAGE(F957,F958,F959,F964)</f>
        <v>5.2374999999999972</v>
      </c>
      <c r="H956" s="14"/>
      <c r="I956" s="13">
        <v>133.1</v>
      </c>
      <c r="J956" s="14"/>
      <c r="K956" s="13">
        <v>20</v>
      </c>
      <c r="L956" s="14"/>
      <c r="M956" s="14"/>
      <c r="N956" s="7"/>
      <c r="O956" s="7"/>
      <c r="P956" s="7">
        <f>SUM(O956:O968)-104.4</f>
        <v>333.90000000000009</v>
      </c>
      <c r="Q956" s="7"/>
      <c r="R956" s="7"/>
      <c r="S956" s="73">
        <f>I961-I972</f>
        <v>55.4</v>
      </c>
      <c r="T956" s="7">
        <f>SUM(S956:S959)*5.24</f>
        <v>1175.8560000000002</v>
      </c>
      <c r="U956" s="7"/>
      <c r="V956" s="7"/>
      <c r="W956" s="7"/>
      <c r="X956" s="7"/>
      <c r="Y956" s="7"/>
      <c r="Z956" s="7"/>
      <c r="AA956" s="7"/>
      <c r="AB956" s="7"/>
    </row>
    <row r="957" spans="1:28" ht="13.2">
      <c r="A957" s="5" t="s">
        <v>30</v>
      </c>
      <c r="B957" s="5">
        <v>0</v>
      </c>
      <c r="C957" s="5">
        <v>0</v>
      </c>
      <c r="D957" s="9">
        <v>42993</v>
      </c>
      <c r="E957" s="10">
        <v>358.7</v>
      </c>
      <c r="F957" s="12">
        <f>E956-E957</f>
        <v>5.6999999999999886</v>
      </c>
      <c r="G957" s="14"/>
      <c r="H957" s="14"/>
      <c r="I957" s="13">
        <v>129</v>
      </c>
      <c r="J957" s="16">
        <f t="shared" ref="J957:J960" si="207">(I956-I957)/(D957-D956)</f>
        <v>4.0999999999999943</v>
      </c>
      <c r="K957" s="13">
        <v>20.6</v>
      </c>
      <c r="L957" s="14"/>
      <c r="M957" s="14"/>
      <c r="N957" s="7"/>
      <c r="O957" s="75">
        <f>E961-E964</f>
        <v>31</v>
      </c>
      <c r="P957" s="7"/>
      <c r="Q957" s="7"/>
      <c r="R957" s="7"/>
      <c r="S957" s="73">
        <f>I974-I983</f>
        <v>49.400000000000006</v>
      </c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3.2">
      <c r="A958" s="14"/>
      <c r="B958" s="5">
        <v>0</v>
      </c>
      <c r="C958" s="5">
        <v>0</v>
      </c>
      <c r="D958" s="9">
        <v>42996</v>
      </c>
      <c r="E958" s="10">
        <v>342.2</v>
      </c>
      <c r="F958" s="12">
        <f t="shared" ref="F958:F960" si="208">(E957-E958)/(D958-D957)</f>
        <v>5.5</v>
      </c>
      <c r="G958" s="14"/>
      <c r="H958" s="14"/>
      <c r="I958" s="13">
        <v>118.6</v>
      </c>
      <c r="J958" s="16">
        <f t="shared" si="207"/>
        <v>3.4666666666666686</v>
      </c>
      <c r="K958" s="13">
        <v>20.7</v>
      </c>
      <c r="L958" s="14"/>
      <c r="M958" s="14"/>
      <c r="N958" s="7"/>
      <c r="O958" s="75">
        <f>E965-E968</f>
        <v>40.099999999999966</v>
      </c>
      <c r="P958" s="7"/>
      <c r="Q958" s="7"/>
      <c r="R958" s="7"/>
      <c r="S958" s="73">
        <f>85.4-I995</f>
        <v>58.100000000000009</v>
      </c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3.2">
      <c r="A959" s="14"/>
      <c r="B959" s="5">
        <v>0</v>
      </c>
      <c r="C959" s="5">
        <v>0</v>
      </c>
      <c r="D959" s="9">
        <v>42998</v>
      </c>
      <c r="E959" s="10">
        <v>331.7</v>
      </c>
      <c r="F959" s="12">
        <f t="shared" si="208"/>
        <v>5.25</v>
      </c>
      <c r="G959" s="14"/>
      <c r="H959" s="14"/>
      <c r="I959" s="13">
        <v>112.6</v>
      </c>
      <c r="J959" s="16">
        <f t="shared" si="207"/>
        <v>3</v>
      </c>
      <c r="K959" s="13">
        <v>19.8</v>
      </c>
      <c r="L959" s="14"/>
      <c r="M959" s="14"/>
      <c r="N959" s="7"/>
      <c r="O959" s="75">
        <f>E969-E972</f>
        <v>37.399999999999977</v>
      </c>
      <c r="P959" s="7"/>
      <c r="Q959" s="7"/>
      <c r="R959" s="7"/>
      <c r="S959" s="73">
        <f>89.7-I1009</f>
        <v>61.5</v>
      </c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3.2">
      <c r="A960" s="14"/>
      <c r="B960" s="5">
        <v>0</v>
      </c>
      <c r="C960" s="5">
        <v>0</v>
      </c>
      <c r="D960" s="17">
        <v>42999</v>
      </c>
      <c r="E960" s="10">
        <v>324.2</v>
      </c>
      <c r="F960" s="12">
        <f t="shared" si="208"/>
        <v>7.5</v>
      </c>
      <c r="G960" s="14"/>
      <c r="H960" s="14"/>
      <c r="I960" s="13">
        <v>109</v>
      </c>
      <c r="J960" s="16">
        <f t="shared" si="207"/>
        <v>3.5999999999999943</v>
      </c>
      <c r="K960" s="13">
        <v>20.3</v>
      </c>
      <c r="L960" s="14"/>
      <c r="M960" s="14"/>
      <c r="N960" s="7"/>
      <c r="O960" s="75">
        <f>E973-E976</f>
        <v>43.900000000000034</v>
      </c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3.2">
      <c r="A961" s="14"/>
      <c r="B961" s="5">
        <v>0.5</v>
      </c>
      <c r="C961" s="5">
        <v>0</v>
      </c>
      <c r="D961" s="17">
        <v>42999</v>
      </c>
      <c r="E961" s="10">
        <v>366.6</v>
      </c>
      <c r="F961" s="12"/>
      <c r="G961" s="14"/>
      <c r="H961" s="14"/>
      <c r="I961" s="13">
        <v>90.3</v>
      </c>
      <c r="J961" s="14"/>
      <c r="K961" s="13"/>
      <c r="L961" s="14"/>
      <c r="M961" s="14"/>
      <c r="N961" s="7"/>
      <c r="O961" s="75">
        <f>E977-E980</f>
        <v>43.100000000000023</v>
      </c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3.2">
      <c r="A962" s="14"/>
      <c r="B962" s="5">
        <v>0.5</v>
      </c>
      <c r="C962" s="5">
        <f t="shared" ref="C962:C1027" si="209">D962-$D$7</f>
        <v>1</v>
      </c>
      <c r="D962" s="17">
        <v>43000</v>
      </c>
      <c r="E962" s="10">
        <v>361</v>
      </c>
      <c r="F962" s="12">
        <f>(E961-E962)/(D962-D961)</f>
        <v>5.6000000000000227</v>
      </c>
      <c r="G962" s="14"/>
      <c r="H962" s="14"/>
      <c r="I962" s="13">
        <v>85.8</v>
      </c>
      <c r="J962" s="16">
        <f t="shared" ref="J962:J964" si="210">(I961-I962)/(D962-D961)</f>
        <v>4.5</v>
      </c>
      <c r="K962" s="13">
        <v>21.5</v>
      </c>
      <c r="L962" s="14"/>
      <c r="M962" s="14"/>
      <c r="N962" s="7"/>
      <c r="O962" s="75">
        <f>E981-E984</f>
        <v>41.200000000000045</v>
      </c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3.2">
      <c r="A963" s="14"/>
      <c r="B963" s="5">
        <v>0.5</v>
      </c>
      <c r="C963" s="5">
        <f t="shared" si="209"/>
        <v>4</v>
      </c>
      <c r="D963" s="9">
        <v>43003</v>
      </c>
      <c r="E963" s="10">
        <v>344.6</v>
      </c>
      <c r="F963" s="12"/>
      <c r="G963" s="14"/>
      <c r="H963" s="14"/>
      <c r="I963" s="13">
        <v>77.7</v>
      </c>
      <c r="J963" s="16">
        <f t="shared" si="210"/>
        <v>2.699999999999998</v>
      </c>
      <c r="K963" s="13">
        <v>21.6</v>
      </c>
      <c r="L963" s="14"/>
      <c r="M963" s="14"/>
      <c r="N963" s="7"/>
      <c r="O963" s="75">
        <f>E985-E988</f>
        <v>26.199999999999989</v>
      </c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3.2">
      <c r="A964" s="14"/>
      <c r="B964" s="5">
        <v>0.5</v>
      </c>
      <c r="C964" s="5">
        <f t="shared" si="209"/>
        <v>6</v>
      </c>
      <c r="D964" s="9">
        <v>43005</v>
      </c>
      <c r="E964" s="10">
        <v>335.6</v>
      </c>
      <c r="F964" s="12">
        <f>(E963-E964)/(D964-D963)</f>
        <v>4.5</v>
      </c>
      <c r="G964" s="14"/>
      <c r="H964" s="14"/>
      <c r="I964" s="13">
        <v>72.099999999999994</v>
      </c>
      <c r="J964" s="16">
        <f t="shared" si="210"/>
        <v>2.8000000000000043</v>
      </c>
      <c r="K964" s="18">
        <v>22.6</v>
      </c>
      <c r="L964" s="14"/>
      <c r="M964" s="14"/>
      <c r="N964" s="7"/>
      <c r="O964" s="75">
        <f>E989-E992</f>
        <v>44</v>
      </c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3.2">
      <c r="A965" s="14"/>
      <c r="B965" s="76">
        <v>1</v>
      </c>
      <c r="C965" s="5">
        <f t="shared" si="209"/>
        <v>6</v>
      </c>
      <c r="D965" s="9">
        <v>43005</v>
      </c>
      <c r="E965" s="10">
        <v>338.9</v>
      </c>
      <c r="F965" s="11"/>
      <c r="H965" s="14"/>
      <c r="I965" s="13" t="s">
        <v>57</v>
      </c>
      <c r="J965" s="14"/>
      <c r="K965" s="13"/>
      <c r="L965" s="14"/>
      <c r="M965" s="14"/>
      <c r="N965" s="7"/>
      <c r="O965" s="75">
        <f>E993-E995</f>
        <v>22.199999999999989</v>
      </c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3.2">
      <c r="A966" s="14"/>
      <c r="B966" s="5">
        <v>1</v>
      </c>
      <c r="C966" s="5">
        <f t="shared" si="209"/>
        <v>8</v>
      </c>
      <c r="D966" s="9">
        <v>43007</v>
      </c>
      <c r="E966" s="10">
        <v>328.4</v>
      </c>
      <c r="F966" s="12">
        <f t="shared" ref="F966:F968" si="211">(E965-E966)/(D966-D965)</f>
        <v>5.25</v>
      </c>
      <c r="G966" s="14"/>
      <c r="H966" s="14"/>
      <c r="I966" s="13">
        <v>67.7</v>
      </c>
      <c r="J966" s="14">
        <f>(I964-I966)/(D966-D964)</f>
        <v>2.1999999999999957</v>
      </c>
      <c r="K966" s="13">
        <v>22.3</v>
      </c>
      <c r="L966" s="14"/>
      <c r="M966" s="14"/>
      <c r="N966" s="7"/>
      <c r="O966" s="75">
        <f>E996-E1001</f>
        <v>43.700000000000045</v>
      </c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3.2">
      <c r="A967" s="14"/>
      <c r="B967" s="5">
        <v>1</v>
      </c>
      <c r="C967" s="5">
        <f t="shared" si="209"/>
        <v>11</v>
      </c>
      <c r="D967" s="19">
        <v>43010</v>
      </c>
      <c r="E967" s="11">
        <v>313.7</v>
      </c>
      <c r="F967" s="12">
        <f t="shared" si="211"/>
        <v>4.8999999999999959</v>
      </c>
      <c r="G967" s="14"/>
      <c r="H967" s="14"/>
      <c r="I967" s="13">
        <v>59.4</v>
      </c>
      <c r="J967" s="16">
        <f t="shared" ref="J967:J968" si="212">(I966-I967)/(D967-D966)</f>
        <v>2.7666666666666679</v>
      </c>
      <c r="K967" s="13">
        <v>23.6</v>
      </c>
      <c r="L967" s="14"/>
      <c r="M967" s="14"/>
      <c r="N967" s="7"/>
      <c r="O967" s="75">
        <f>E1002-E1005</f>
        <v>31.699999999999989</v>
      </c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3.2">
      <c r="A968" s="14"/>
      <c r="B968" s="5">
        <v>1</v>
      </c>
      <c r="C968" s="5">
        <f t="shared" si="209"/>
        <v>13</v>
      </c>
      <c r="D968" s="19">
        <v>43012</v>
      </c>
      <c r="E968" s="11">
        <v>298.8</v>
      </c>
      <c r="F968" s="12">
        <f t="shared" si="211"/>
        <v>7.4499999999999886</v>
      </c>
      <c r="G968" s="14"/>
      <c r="H968" s="14"/>
      <c r="I968" s="13">
        <v>54.8</v>
      </c>
      <c r="J968" s="16">
        <f t="shared" si="212"/>
        <v>2.3000000000000007</v>
      </c>
      <c r="K968" s="13">
        <v>23.5</v>
      </c>
      <c r="L968" s="14"/>
      <c r="M968" s="14"/>
      <c r="N968" s="7"/>
      <c r="O968" s="75">
        <f>E1006-E1009</f>
        <v>33.800000000000011</v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3.2">
      <c r="A969" s="14"/>
      <c r="B969" s="5">
        <v>2</v>
      </c>
      <c r="C969" s="5">
        <f t="shared" si="209"/>
        <v>14</v>
      </c>
      <c r="D969" s="20">
        <v>43013</v>
      </c>
      <c r="E969" s="11">
        <v>334</v>
      </c>
      <c r="F969" s="11"/>
      <c r="G969" s="14"/>
      <c r="H969" s="14"/>
      <c r="I969" s="13" t="s">
        <v>24</v>
      </c>
      <c r="J969" s="14"/>
      <c r="K969" s="47"/>
      <c r="L969" s="14"/>
      <c r="M969" s="14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3.2">
      <c r="A970" s="14"/>
      <c r="B970" s="5">
        <v>2</v>
      </c>
      <c r="C970" s="5">
        <f t="shared" si="209"/>
        <v>15</v>
      </c>
      <c r="D970" s="20">
        <v>43014</v>
      </c>
      <c r="E970" s="11">
        <v>326</v>
      </c>
      <c r="F970" s="12">
        <f t="shared" ref="F970:F972" si="213">(E969-E970)/(D970-D969)</f>
        <v>8</v>
      </c>
      <c r="G970" s="14"/>
      <c r="H970" s="14"/>
      <c r="I970" s="13">
        <v>48.6</v>
      </c>
      <c r="J970" s="14">
        <f>(93.5-I970)/(D971-D968)</f>
        <v>8.98</v>
      </c>
      <c r="K970" s="13">
        <v>24.4</v>
      </c>
      <c r="L970" s="14"/>
      <c r="M970" s="14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3.2">
      <c r="A971" s="14"/>
      <c r="B971" s="5">
        <v>2</v>
      </c>
      <c r="C971" s="5">
        <f t="shared" si="209"/>
        <v>18</v>
      </c>
      <c r="D971" s="20">
        <v>43017</v>
      </c>
      <c r="E971" s="11">
        <v>310.89999999999998</v>
      </c>
      <c r="F971" s="12">
        <f t="shared" si="213"/>
        <v>5.0333333333333412</v>
      </c>
      <c r="G971" s="14"/>
      <c r="H971" s="14"/>
      <c r="I971" s="13">
        <v>40.299999999999997</v>
      </c>
      <c r="J971" s="16">
        <f t="shared" ref="J971:J972" si="214">(I970-I971)/(D971-D970)</f>
        <v>2.7666666666666679</v>
      </c>
      <c r="K971" s="13">
        <v>25.1</v>
      </c>
      <c r="L971" s="14"/>
      <c r="M971" s="14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3.2">
      <c r="A972" s="14"/>
      <c r="B972" s="5">
        <v>2</v>
      </c>
      <c r="C972" s="5">
        <f t="shared" si="209"/>
        <v>20</v>
      </c>
      <c r="D972" s="20">
        <v>43019</v>
      </c>
      <c r="E972" s="11">
        <v>296.60000000000002</v>
      </c>
      <c r="F972" s="12">
        <f t="shared" si="213"/>
        <v>7.1499999999999773</v>
      </c>
      <c r="G972" s="14"/>
      <c r="H972" s="14"/>
      <c r="I972" s="13">
        <v>34.9</v>
      </c>
      <c r="J972" s="14">
        <f t="shared" si="214"/>
        <v>2.6999999999999993</v>
      </c>
      <c r="K972" s="13">
        <v>25.4</v>
      </c>
      <c r="L972" s="14"/>
      <c r="M972" s="14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3.2">
      <c r="A973" s="14"/>
      <c r="B973" s="5">
        <v>3</v>
      </c>
      <c r="C973" s="5">
        <f t="shared" si="209"/>
        <v>21</v>
      </c>
      <c r="D973" s="20">
        <v>43020</v>
      </c>
      <c r="E973" s="11">
        <v>337.8</v>
      </c>
      <c r="F973" s="12"/>
      <c r="G973" s="14"/>
      <c r="H973" s="14"/>
      <c r="I973" s="15"/>
      <c r="J973" s="14"/>
      <c r="K973" s="47"/>
      <c r="L973" s="14"/>
      <c r="M973" s="14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3.2">
      <c r="A974" s="14"/>
      <c r="B974" s="5">
        <v>3</v>
      </c>
      <c r="C974" s="5">
        <f t="shared" si="209"/>
        <v>22</v>
      </c>
      <c r="D974" s="20">
        <f>D972+2</f>
        <v>43021</v>
      </c>
      <c r="E974" s="11">
        <v>328.5</v>
      </c>
      <c r="F974" s="12">
        <f t="shared" ref="F974:F976" si="215">(E973-E974)/(D974-D973)</f>
        <v>9.3000000000000114</v>
      </c>
      <c r="G974" s="12">
        <f>AVERAGE(F962:F1005)</f>
        <v>6.4223958333333355</v>
      </c>
      <c r="H974" s="14"/>
      <c r="I974" s="13">
        <v>89.7</v>
      </c>
      <c r="J974" s="14"/>
      <c r="K974" s="13">
        <v>26.1</v>
      </c>
      <c r="L974" s="14"/>
      <c r="M974" s="14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3.2">
      <c r="A975" s="14"/>
      <c r="B975" s="5">
        <v>3</v>
      </c>
      <c r="C975" s="5">
        <f t="shared" si="209"/>
        <v>25</v>
      </c>
      <c r="D975" s="20">
        <f>D974+3</f>
        <v>43024</v>
      </c>
      <c r="E975" s="11">
        <v>308.89999999999998</v>
      </c>
      <c r="F975" s="12">
        <f t="shared" si="215"/>
        <v>6.5333333333333412</v>
      </c>
      <c r="G975" s="14"/>
      <c r="H975" s="14"/>
      <c r="I975" s="13">
        <v>80.900000000000006</v>
      </c>
      <c r="J975" s="16">
        <f t="shared" ref="J975:J976" si="216">(I974-I975)/(D975-D974)</f>
        <v>2.9333333333333322</v>
      </c>
      <c r="K975" s="13">
        <v>26.4</v>
      </c>
      <c r="L975" s="14"/>
      <c r="M975" s="14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3.2">
      <c r="A976" s="14"/>
      <c r="B976" s="5">
        <v>3</v>
      </c>
      <c r="C976" s="5">
        <f t="shared" si="209"/>
        <v>27</v>
      </c>
      <c r="D976" s="20">
        <f>D975+2</f>
        <v>43026</v>
      </c>
      <c r="E976" s="11">
        <v>293.89999999999998</v>
      </c>
      <c r="F976" s="12">
        <f t="shared" si="215"/>
        <v>7.5</v>
      </c>
      <c r="G976" s="14"/>
      <c r="H976" s="14"/>
      <c r="I976" s="13">
        <v>74.5</v>
      </c>
      <c r="J976" s="14">
        <f t="shared" si="216"/>
        <v>3.2000000000000028</v>
      </c>
      <c r="K976" s="13">
        <v>27.6</v>
      </c>
      <c r="L976" s="14"/>
      <c r="M976" s="14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3.2">
      <c r="A977" s="14"/>
      <c r="B977" s="5">
        <v>4</v>
      </c>
      <c r="C977" s="5">
        <f t="shared" si="209"/>
        <v>28</v>
      </c>
      <c r="D977" s="20">
        <v>43027</v>
      </c>
      <c r="E977" s="11">
        <v>385.5</v>
      </c>
      <c r="F977" s="12"/>
      <c r="G977" s="14"/>
      <c r="H977" s="14"/>
      <c r="I977" s="15"/>
      <c r="J977" s="14"/>
      <c r="K977" s="15"/>
      <c r="L977" s="14"/>
      <c r="M977" s="14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3.2">
      <c r="A978" s="14"/>
      <c r="B978" s="5">
        <v>4</v>
      </c>
      <c r="C978" s="5">
        <f t="shared" si="209"/>
        <v>29</v>
      </c>
      <c r="D978" s="20">
        <f>D976+2</f>
        <v>43028</v>
      </c>
      <c r="E978" s="11">
        <v>377.7</v>
      </c>
      <c r="F978" s="12">
        <f t="shared" ref="F978:F980" si="217">(E977-E978)/(D978-D977)</f>
        <v>7.8000000000000114</v>
      </c>
      <c r="G978" s="14"/>
      <c r="H978" s="14"/>
      <c r="I978" s="13">
        <v>68.5</v>
      </c>
      <c r="J978" s="15">
        <f>(I976-I978)/(D978-D976)</f>
        <v>3</v>
      </c>
      <c r="K978" s="13">
        <v>27.4</v>
      </c>
      <c r="L978" s="14"/>
      <c r="M978" s="14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3.2">
      <c r="A979" s="14"/>
      <c r="B979" s="5">
        <v>4</v>
      </c>
      <c r="C979" s="5">
        <f t="shared" si="209"/>
        <v>32</v>
      </c>
      <c r="D979" s="20">
        <v>43031</v>
      </c>
      <c r="E979" s="11">
        <v>358.1</v>
      </c>
      <c r="F979" s="12">
        <f t="shared" si="217"/>
        <v>6.5333333333333217</v>
      </c>
      <c r="G979" s="14"/>
      <c r="H979" s="14"/>
      <c r="I979" s="13">
        <v>59.7</v>
      </c>
      <c r="J979" s="15">
        <f t="shared" ref="J979:J980" si="218">(I978-I979)/(D979-D978)</f>
        <v>2.9333333333333322</v>
      </c>
      <c r="K979" s="13">
        <v>28.4</v>
      </c>
      <c r="L979" s="14"/>
      <c r="M979" s="14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3.2">
      <c r="A980" s="14"/>
      <c r="B980" s="5">
        <v>4</v>
      </c>
      <c r="C980" s="5">
        <f t="shared" si="209"/>
        <v>34</v>
      </c>
      <c r="D980" s="20">
        <v>43033</v>
      </c>
      <c r="E980" s="11">
        <v>342.4</v>
      </c>
      <c r="F980" s="12">
        <f t="shared" si="217"/>
        <v>7.8500000000000227</v>
      </c>
      <c r="G980" s="14"/>
      <c r="H980" s="14"/>
      <c r="I980" s="13">
        <v>54.8</v>
      </c>
      <c r="J980" s="15">
        <f t="shared" si="218"/>
        <v>2.4500000000000028</v>
      </c>
      <c r="K980" s="13">
        <v>28</v>
      </c>
      <c r="L980" s="14"/>
      <c r="M980" s="14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3.2">
      <c r="A981" s="14"/>
      <c r="B981" s="5">
        <v>5</v>
      </c>
      <c r="C981" s="5">
        <f t="shared" si="209"/>
        <v>35</v>
      </c>
      <c r="D981" s="20">
        <v>43034</v>
      </c>
      <c r="E981" s="11">
        <v>313.10000000000002</v>
      </c>
      <c r="F981" s="12"/>
      <c r="G981" s="14"/>
      <c r="H981" s="14"/>
      <c r="I981" s="15"/>
      <c r="J981" s="15"/>
      <c r="K981" s="15"/>
      <c r="L981" s="14"/>
      <c r="M981" s="14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3.2">
      <c r="A982" s="14"/>
      <c r="B982" s="5">
        <v>5</v>
      </c>
      <c r="C982" s="5">
        <f t="shared" si="209"/>
        <v>36</v>
      </c>
      <c r="D982" s="20">
        <v>43035</v>
      </c>
      <c r="E982" s="11">
        <v>306.39999999999998</v>
      </c>
      <c r="F982" s="12">
        <f t="shared" ref="F982:F984" si="219">(E981-E982)/(D982-D981)</f>
        <v>6.7000000000000455</v>
      </c>
      <c r="G982" s="14"/>
      <c r="H982" s="14"/>
      <c r="I982" s="13">
        <v>47.9</v>
      </c>
      <c r="J982" s="15">
        <f>(I980-I982)/(D982-D980)</f>
        <v>3.4499999999999993</v>
      </c>
      <c r="K982" s="13">
        <v>29.5</v>
      </c>
      <c r="L982" s="14"/>
      <c r="M982" s="14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3.2">
      <c r="A983" s="14"/>
      <c r="B983" s="5">
        <v>5</v>
      </c>
      <c r="C983" s="5">
        <f t="shared" si="209"/>
        <v>39</v>
      </c>
      <c r="D983" s="20">
        <v>43038</v>
      </c>
      <c r="E983" s="11">
        <v>283.10000000000002</v>
      </c>
      <c r="F983" s="12">
        <f t="shared" si="219"/>
        <v>7.7666666666666515</v>
      </c>
      <c r="G983" s="14"/>
      <c r="H983" s="14"/>
      <c r="I983" s="13">
        <v>40.299999999999997</v>
      </c>
      <c r="J983" s="15">
        <f>(I982-I983)/(D983-D982)</f>
        <v>2.5333333333333337</v>
      </c>
      <c r="K983" s="13">
        <v>29.4</v>
      </c>
      <c r="L983" s="14"/>
      <c r="M983" s="14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3.2">
      <c r="A984" s="14"/>
      <c r="B984" s="5">
        <v>5</v>
      </c>
      <c r="C984" s="5">
        <f t="shared" si="209"/>
        <v>41</v>
      </c>
      <c r="D984" s="20">
        <v>43040</v>
      </c>
      <c r="E984" s="11">
        <v>271.89999999999998</v>
      </c>
      <c r="F984" s="12">
        <f t="shared" si="219"/>
        <v>5.6000000000000227</v>
      </c>
      <c r="G984" s="14"/>
      <c r="H984" s="14"/>
      <c r="I984" s="13">
        <v>78</v>
      </c>
      <c r="J984" s="15">
        <f>(85.4-I984)/(D984-D983)</f>
        <v>3.7000000000000028</v>
      </c>
      <c r="K984" s="13">
        <v>30.8</v>
      </c>
      <c r="L984" s="14"/>
      <c r="M984" s="14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3.2">
      <c r="A985" s="14"/>
      <c r="B985" s="5">
        <v>6</v>
      </c>
      <c r="C985" s="5">
        <f t="shared" si="209"/>
        <v>42</v>
      </c>
      <c r="D985" s="20">
        <v>43041</v>
      </c>
      <c r="E985" s="11">
        <v>335.2</v>
      </c>
      <c r="F985" s="12"/>
      <c r="G985" s="14"/>
      <c r="H985" s="14"/>
      <c r="I985" s="15"/>
      <c r="J985" s="14"/>
      <c r="K985" s="15"/>
      <c r="L985" s="14"/>
      <c r="M985" s="14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3.2">
      <c r="A986" s="14"/>
      <c r="B986" s="5">
        <v>6</v>
      </c>
      <c r="C986" s="5">
        <f t="shared" si="209"/>
        <v>43</v>
      </c>
      <c r="D986" s="20">
        <v>43042</v>
      </c>
      <c r="E986" s="11">
        <v>328.6</v>
      </c>
      <c r="F986" s="12">
        <f t="shared" ref="F986:F988" si="220">(E985-E986)/(D986-D985)</f>
        <v>6.5999999999999659</v>
      </c>
      <c r="G986" s="14"/>
      <c r="H986" s="14"/>
      <c r="I986" s="13">
        <v>73.5</v>
      </c>
      <c r="J986" s="15">
        <f>(I984-I986)/(D986-D984)</f>
        <v>2.25</v>
      </c>
      <c r="K986" s="13">
        <v>30.5</v>
      </c>
      <c r="L986" s="14"/>
      <c r="M986" s="14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3.2">
      <c r="A987" s="14"/>
      <c r="B987" s="5">
        <v>6</v>
      </c>
      <c r="C987" s="5">
        <f t="shared" si="209"/>
        <v>46</v>
      </c>
      <c r="D987" s="20">
        <v>43045</v>
      </c>
      <c r="E987" s="11">
        <v>327.39999999999998</v>
      </c>
      <c r="F987" s="12">
        <f t="shared" si="220"/>
        <v>0.40000000000001518</v>
      </c>
      <c r="G987" s="14"/>
      <c r="H987" s="14"/>
      <c r="I987" s="13">
        <v>64.7</v>
      </c>
      <c r="J987" s="15">
        <f t="shared" ref="J987:J988" si="221">(I986-I987)/(D987-D986)</f>
        <v>2.9333333333333322</v>
      </c>
      <c r="K987" s="13">
        <v>31.3</v>
      </c>
      <c r="L987" s="14"/>
      <c r="M987" s="14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3.2">
      <c r="A988" s="14"/>
      <c r="B988" s="5">
        <v>6</v>
      </c>
      <c r="C988" s="5">
        <f t="shared" si="209"/>
        <v>48</v>
      </c>
      <c r="D988" s="20">
        <v>43047</v>
      </c>
      <c r="E988" s="11">
        <v>309</v>
      </c>
      <c r="F988" s="12">
        <f t="shared" si="220"/>
        <v>9.1999999999999886</v>
      </c>
      <c r="G988" s="14"/>
      <c r="H988" s="14"/>
      <c r="I988" s="13">
        <v>62.4</v>
      </c>
      <c r="J988" s="15">
        <f t="shared" si="221"/>
        <v>1.1500000000000021</v>
      </c>
      <c r="K988" s="13">
        <v>31</v>
      </c>
      <c r="L988" s="14"/>
      <c r="M988" s="14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3.2">
      <c r="A989" s="14"/>
      <c r="B989" s="5">
        <v>7</v>
      </c>
      <c r="C989" s="5">
        <f t="shared" si="209"/>
        <v>49</v>
      </c>
      <c r="D989" s="20">
        <v>43048</v>
      </c>
      <c r="E989" s="11">
        <v>342.8</v>
      </c>
      <c r="F989" s="12"/>
      <c r="G989" s="14"/>
      <c r="H989" s="14"/>
      <c r="I989" s="15"/>
      <c r="J989" s="14"/>
      <c r="K989" s="15"/>
      <c r="L989" s="14"/>
      <c r="M989" s="14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3.2">
      <c r="A990" s="14"/>
      <c r="B990" s="5">
        <v>7</v>
      </c>
      <c r="C990" s="5">
        <f t="shared" si="209"/>
        <v>50</v>
      </c>
      <c r="D990" s="20">
        <v>43049</v>
      </c>
      <c r="E990" s="11">
        <v>335.2</v>
      </c>
      <c r="F990" s="12">
        <f t="shared" ref="F990:F992" si="222">(E989-E990)/(D990-D989)</f>
        <v>7.6000000000000227</v>
      </c>
      <c r="G990" s="14"/>
      <c r="H990" s="14"/>
      <c r="I990" s="13">
        <v>56.2</v>
      </c>
      <c r="J990" s="15">
        <f>(I988-I990)/(D990-D988)</f>
        <v>3.0999999999999979</v>
      </c>
      <c r="K990" s="13">
        <v>31.5</v>
      </c>
      <c r="L990" s="14"/>
      <c r="M990" s="14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3.2">
      <c r="A991" s="14"/>
      <c r="B991" s="5">
        <v>7</v>
      </c>
      <c r="C991" s="5">
        <f t="shared" si="209"/>
        <v>53</v>
      </c>
      <c r="D991" s="20">
        <v>43052</v>
      </c>
      <c r="E991" s="11">
        <v>317</v>
      </c>
      <c r="F991" s="12">
        <f t="shared" si="222"/>
        <v>6.0666666666666629</v>
      </c>
      <c r="G991" s="14"/>
      <c r="H991" s="14"/>
      <c r="I991" s="13">
        <v>48.2</v>
      </c>
      <c r="J991" s="15">
        <f t="shared" ref="J991:J992" si="223">(I990-I991)/(D991-D990)</f>
        <v>2.6666666666666665</v>
      </c>
      <c r="K991" s="13">
        <v>32.1</v>
      </c>
      <c r="L991" s="14"/>
      <c r="M991" s="14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3.2">
      <c r="A992" s="14"/>
      <c r="B992" s="5">
        <v>7</v>
      </c>
      <c r="C992" s="5">
        <f t="shared" si="209"/>
        <v>55</v>
      </c>
      <c r="D992" s="20">
        <v>43054</v>
      </c>
      <c r="E992" s="11">
        <v>298.8</v>
      </c>
      <c r="F992" s="12">
        <f t="shared" si="222"/>
        <v>9.0999999999999943</v>
      </c>
      <c r="G992" s="14"/>
      <c r="H992" s="14"/>
      <c r="I992" s="13">
        <v>42.3</v>
      </c>
      <c r="J992" s="15">
        <f t="shared" si="223"/>
        <v>2.9500000000000028</v>
      </c>
      <c r="K992" s="13">
        <v>32.6</v>
      </c>
      <c r="L992" s="14"/>
      <c r="M992" s="14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3.2">
      <c r="A993" s="14"/>
      <c r="B993" s="5">
        <v>8</v>
      </c>
      <c r="C993" s="5">
        <f t="shared" si="209"/>
        <v>56</v>
      </c>
      <c r="D993" s="20">
        <v>43055</v>
      </c>
      <c r="E993" s="11">
        <v>328.8</v>
      </c>
      <c r="F993" s="12"/>
      <c r="G993" s="14"/>
      <c r="H993" s="14"/>
      <c r="I993" s="15"/>
      <c r="J993" s="14"/>
      <c r="K993" s="15"/>
      <c r="L993" s="14"/>
      <c r="M993" s="14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3.2">
      <c r="A994" s="14"/>
      <c r="B994" s="5">
        <v>8</v>
      </c>
      <c r="C994" s="5">
        <f t="shared" si="209"/>
        <v>57</v>
      </c>
      <c r="D994" s="20">
        <v>43056</v>
      </c>
      <c r="E994" s="11">
        <v>321.5</v>
      </c>
      <c r="F994" s="12">
        <f t="shared" ref="F994:F995" si="224">(E993-E994)/(D994-D993)</f>
        <v>7.3000000000000114</v>
      </c>
      <c r="G994" s="14"/>
      <c r="H994" s="14"/>
      <c r="I994" s="13">
        <v>34.799999999999997</v>
      </c>
      <c r="J994" s="15">
        <f>(I992-I994)/(D994-D992)</f>
        <v>3.75</v>
      </c>
      <c r="K994" s="13">
        <v>33.4</v>
      </c>
      <c r="L994" s="14"/>
      <c r="M994" s="14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3.2">
      <c r="A995" s="14"/>
      <c r="B995" s="5">
        <v>8</v>
      </c>
      <c r="C995" s="5">
        <f t="shared" si="209"/>
        <v>60</v>
      </c>
      <c r="D995" s="20">
        <v>43059</v>
      </c>
      <c r="E995" s="11">
        <v>306.60000000000002</v>
      </c>
      <c r="F995" s="12">
        <f t="shared" si="224"/>
        <v>4.9666666666666588</v>
      </c>
      <c r="G995" s="14"/>
      <c r="H995" s="14"/>
      <c r="I995" s="13">
        <v>27.3</v>
      </c>
      <c r="J995" s="15">
        <f>(I994-I995)/(D995-D994)</f>
        <v>2.4999999999999987</v>
      </c>
      <c r="K995" s="13">
        <v>33.299999999999997</v>
      </c>
      <c r="L995" s="14"/>
      <c r="M995" s="14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3.2">
      <c r="A996" s="14"/>
      <c r="B996" s="5">
        <v>8</v>
      </c>
      <c r="C996" s="5">
        <f t="shared" si="209"/>
        <v>61</v>
      </c>
      <c r="D996" s="20">
        <v>43060</v>
      </c>
      <c r="E996" s="11">
        <v>353.6</v>
      </c>
      <c r="F996" s="12"/>
      <c r="G996" s="14"/>
      <c r="H996" s="14"/>
      <c r="I996" s="15"/>
      <c r="J996" s="14"/>
      <c r="K996" s="15"/>
      <c r="L996" s="14"/>
      <c r="M996" s="14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3.2">
      <c r="A997" s="14"/>
      <c r="B997" s="5">
        <v>9</v>
      </c>
      <c r="C997" s="5">
        <f t="shared" si="209"/>
        <v>62</v>
      </c>
      <c r="D997" s="20">
        <v>43061</v>
      </c>
      <c r="E997" s="11">
        <v>346.2</v>
      </c>
      <c r="F997" s="12">
        <f>(E996-E997)/(D997-D996)</f>
        <v>7.4000000000000341</v>
      </c>
      <c r="G997" s="14"/>
      <c r="H997" s="14"/>
      <c r="I997" s="13">
        <v>82.9</v>
      </c>
      <c r="J997" s="14">
        <f>(89.7-I997)/(D997-D996)</f>
        <v>6.7999999999999972</v>
      </c>
      <c r="K997" s="13">
        <v>34.299999999999997</v>
      </c>
      <c r="L997" s="14"/>
      <c r="M997" s="14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3.2">
      <c r="A998" s="14"/>
      <c r="B998" s="5">
        <v>9</v>
      </c>
      <c r="C998" s="5">
        <f t="shared" si="209"/>
        <v>63</v>
      </c>
      <c r="D998" s="20">
        <v>43062</v>
      </c>
      <c r="E998" s="11"/>
      <c r="F998" s="12"/>
      <c r="G998" s="14"/>
      <c r="H998" s="14"/>
      <c r="I998" s="13"/>
      <c r="J998" s="15"/>
      <c r="K998" s="13"/>
      <c r="L998" s="14"/>
      <c r="M998" s="14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3.2">
      <c r="A999" s="14"/>
      <c r="B999" s="5">
        <v>9</v>
      </c>
      <c r="C999" s="5">
        <f t="shared" si="209"/>
        <v>64</v>
      </c>
      <c r="D999" s="20">
        <v>43063</v>
      </c>
      <c r="E999" s="11">
        <v>335.8</v>
      </c>
      <c r="F999" s="12">
        <f>(E997-E999)/(D999-D997)</f>
        <v>5.1999999999999886</v>
      </c>
      <c r="G999" s="14"/>
      <c r="H999" s="14"/>
      <c r="I999" s="13">
        <v>77.8</v>
      </c>
      <c r="J999" s="15">
        <f>(I997-I999)/(D999-D997)</f>
        <v>2.5500000000000043</v>
      </c>
      <c r="K999" s="13">
        <v>34.4</v>
      </c>
      <c r="L999" s="14"/>
      <c r="M999" s="14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3.2">
      <c r="A1000" s="14"/>
      <c r="B1000" s="5">
        <v>9</v>
      </c>
      <c r="C1000" s="5">
        <f t="shared" si="209"/>
        <v>67</v>
      </c>
      <c r="D1000" s="23">
        <v>43066</v>
      </c>
      <c r="E1000" s="11">
        <v>321.2</v>
      </c>
      <c r="F1000" s="12">
        <f t="shared" ref="F1000:F1001" si="225">(E999-E1000)/(D1000-D999)</f>
        <v>4.8666666666666742</v>
      </c>
      <c r="G1000" s="14"/>
      <c r="H1000" s="14"/>
      <c r="I1000" s="13">
        <v>69.400000000000006</v>
      </c>
      <c r="J1000" s="15">
        <f t="shared" ref="J1000:J1001" si="226">(I999-I1000)/(D1000-D999)</f>
        <v>2.7999999999999972</v>
      </c>
      <c r="K1000" s="13">
        <v>35</v>
      </c>
      <c r="L1000" s="14"/>
      <c r="M1000" s="14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3.2">
      <c r="A1001" s="14"/>
      <c r="B1001" s="5">
        <v>9</v>
      </c>
      <c r="C1001" s="5">
        <f t="shared" si="209"/>
        <v>69</v>
      </c>
      <c r="D1001" s="23">
        <v>43068</v>
      </c>
      <c r="E1001" s="11">
        <v>309.89999999999998</v>
      </c>
      <c r="F1001" s="12">
        <f t="shared" si="225"/>
        <v>5.6500000000000057</v>
      </c>
      <c r="G1001" s="14"/>
      <c r="H1001" s="14"/>
      <c r="I1001" s="13">
        <v>64.400000000000006</v>
      </c>
      <c r="J1001" s="15">
        <f t="shared" si="226"/>
        <v>2.5</v>
      </c>
      <c r="K1001" s="13">
        <v>35</v>
      </c>
      <c r="L1001" s="14"/>
      <c r="M1001" s="14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3.2">
      <c r="A1002" s="14"/>
      <c r="B1002" s="5">
        <v>10</v>
      </c>
      <c r="C1002" s="5">
        <f t="shared" si="209"/>
        <v>70</v>
      </c>
      <c r="D1002" s="23">
        <v>43069</v>
      </c>
      <c r="E1002" s="11">
        <v>312.7</v>
      </c>
      <c r="F1002" s="12"/>
      <c r="G1002" s="14"/>
      <c r="H1002" s="14"/>
      <c r="I1002" s="15"/>
      <c r="J1002" s="14"/>
      <c r="K1002" s="15"/>
      <c r="L1002" s="14"/>
      <c r="M1002" s="14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 ht="13.2">
      <c r="A1003" s="14"/>
      <c r="B1003" s="5">
        <v>10</v>
      </c>
      <c r="C1003" s="5">
        <f t="shared" si="209"/>
        <v>71</v>
      </c>
      <c r="D1003" s="23">
        <v>43070</v>
      </c>
      <c r="E1003" s="11">
        <v>305.10000000000002</v>
      </c>
      <c r="F1003" s="12">
        <f t="shared" ref="F1003:F1005" si="227">(E1002-E1003)/(D1003-D1002)</f>
        <v>7.5999999999999659</v>
      </c>
      <c r="G1003" s="14"/>
      <c r="H1003" s="14"/>
      <c r="I1003" s="13">
        <v>58.5</v>
      </c>
      <c r="J1003" s="15">
        <f>(I1001-I1003)/(D1003-D1001)</f>
        <v>2.9500000000000028</v>
      </c>
      <c r="K1003" s="13">
        <v>35.6</v>
      </c>
      <c r="L1003" s="14"/>
      <c r="M1003" s="14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 ht="13.2">
      <c r="A1004" s="14"/>
      <c r="B1004" s="5">
        <v>10</v>
      </c>
      <c r="C1004" s="5">
        <f t="shared" si="209"/>
        <v>74</v>
      </c>
      <c r="D1004" s="23">
        <v>43073</v>
      </c>
      <c r="E1004" s="11">
        <v>293.39999999999998</v>
      </c>
      <c r="F1004" s="12">
        <f t="shared" si="227"/>
        <v>3.900000000000015</v>
      </c>
      <c r="G1004" s="14"/>
      <c r="H1004" s="14"/>
      <c r="I1004" s="13">
        <v>51.8</v>
      </c>
      <c r="J1004" s="15">
        <f t="shared" ref="J1004:J1005" si="228">(I1003-I1004)/(D1004-D1003)</f>
        <v>2.2333333333333343</v>
      </c>
      <c r="K1004" s="13">
        <v>35.299999999999997</v>
      </c>
      <c r="L1004" s="14"/>
      <c r="M1004" s="14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 ht="13.2">
      <c r="A1005" s="14"/>
      <c r="B1005" s="5">
        <v>10</v>
      </c>
      <c r="C1005" s="5">
        <f t="shared" si="209"/>
        <v>76</v>
      </c>
      <c r="D1005" s="23">
        <v>43075</v>
      </c>
      <c r="E1005" s="11">
        <v>281</v>
      </c>
      <c r="F1005" s="12">
        <f t="shared" si="227"/>
        <v>6.1999999999999886</v>
      </c>
      <c r="G1005" s="14"/>
      <c r="H1005" s="14"/>
      <c r="I1005" s="13">
        <v>46.8</v>
      </c>
      <c r="J1005" s="15">
        <f t="shared" si="228"/>
        <v>2.5</v>
      </c>
      <c r="K1005" s="13">
        <v>35.4</v>
      </c>
      <c r="L1005" s="14"/>
      <c r="M1005" s="14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 ht="13.2">
      <c r="A1006" s="14"/>
      <c r="B1006" s="5">
        <v>11</v>
      </c>
      <c r="C1006" s="5">
        <f t="shared" si="209"/>
        <v>77</v>
      </c>
      <c r="D1006" s="24">
        <v>43076</v>
      </c>
      <c r="E1006" s="11">
        <v>318.7</v>
      </c>
      <c r="F1006" s="12"/>
      <c r="G1006" s="14"/>
      <c r="H1006" s="14"/>
      <c r="K1006" s="126"/>
      <c r="L1006" s="14"/>
      <c r="M1006" s="14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 ht="13.2">
      <c r="A1007" s="14"/>
      <c r="B1007" s="5">
        <v>11</v>
      </c>
      <c r="C1007" s="5">
        <f t="shared" si="209"/>
        <v>78</v>
      </c>
      <c r="D1007" s="24">
        <v>43077</v>
      </c>
      <c r="E1007" s="10">
        <v>311</v>
      </c>
      <c r="F1007" s="12">
        <f t="shared" ref="F1007:F1009" si="229">(E1006-E1007)/(D1007-D1006)</f>
        <v>7.6999999999999886</v>
      </c>
      <c r="G1007" s="14"/>
      <c r="H1007" s="14"/>
      <c r="I1007" s="13">
        <v>41.7</v>
      </c>
      <c r="J1007" s="14">
        <f>(I1005-I1007)/(D1007-D1005)</f>
        <v>2.5499999999999972</v>
      </c>
      <c r="K1007" s="13">
        <v>35.6</v>
      </c>
      <c r="L1007" s="14"/>
      <c r="M1007" s="14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 ht="13.2">
      <c r="A1008" s="5"/>
      <c r="B1008" s="5">
        <v>11</v>
      </c>
      <c r="C1008" s="5">
        <f t="shared" si="209"/>
        <v>81</v>
      </c>
      <c r="D1008" s="24">
        <v>43080</v>
      </c>
      <c r="E1008" s="10">
        <v>298.89999999999998</v>
      </c>
      <c r="F1008" s="12">
        <f t="shared" si="229"/>
        <v>4.0333333333333412</v>
      </c>
      <c r="G1008" s="14"/>
      <c r="H1008" s="14"/>
      <c r="I1008" s="13">
        <v>33.4</v>
      </c>
      <c r="J1008" s="15">
        <f t="shared" ref="J1008:J1009" si="230">(I1007-I1008)/(D1008-D1007)</f>
        <v>2.7666666666666679</v>
      </c>
      <c r="K1008" s="13">
        <v>36.5</v>
      </c>
      <c r="L1008" s="14"/>
      <c r="M1008" s="14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1:28" ht="13.2">
      <c r="A1009" s="14"/>
      <c r="B1009" s="5">
        <v>11</v>
      </c>
      <c r="C1009" s="5">
        <f t="shared" si="209"/>
        <v>83</v>
      </c>
      <c r="D1009" s="25">
        <v>43082</v>
      </c>
      <c r="E1009" s="10">
        <v>284.89999999999998</v>
      </c>
      <c r="F1009" s="12">
        <f t="shared" si="229"/>
        <v>7</v>
      </c>
      <c r="G1009" s="14"/>
      <c r="H1009" s="14"/>
      <c r="I1009" s="13">
        <v>28.2</v>
      </c>
      <c r="J1009" s="15">
        <f t="shared" si="230"/>
        <v>2.5999999999999996</v>
      </c>
      <c r="K1009" s="13">
        <v>36.700000000000003</v>
      </c>
      <c r="L1009" s="14"/>
      <c r="M1009" s="14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1:28" ht="13.2">
      <c r="A1010" s="14"/>
      <c r="B1010" s="5">
        <v>12</v>
      </c>
      <c r="C1010" s="5">
        <f t="shared" si="209"/>
        <v>84</v>
      </c>
      <c r="D1010" s="24">
        <v>43083</v>
      </c>
      <c r="E1010" s="10"/>
      <c r="F1010" s="12"/>
      <c r="G1010" s="14"/>
      <c r="H1010" s="14"/>
      <c r="I1010" s="15"/>
      <c r="J1010" s="14"/>
      <c r="K1010" s="13"/>
      <c r="L1010" s="14"/>
      <c r="M1010" s="14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1:28" ht="13.2">
      <c r="A1011" s="80"/>
      <c r="B1011" s="76">
        <v>12</v>
      </c>
      <c r="C1011" s="76">
        <f t="shared" si="209"/>
        <v>85</v>
      </c>
      <c r="D1011" s="90">
        <v>43084</v>
      </c>
      <c r="E1011" s="78">
        <v>323.3</v>
      </c>
      <c r="F1011" s="91"/>
      <c r="G1011" s="80"/>
      <c r="H1011" s="80"/>
      <c r="I1011" s="92"/>
      <c r="J1011" s="80"/>
      <c r="K1011" s="81">
        <v>37</v>
      </c>
      <c r="L1011" s="80"/>
      <c r="M1011" s="80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1:28" ht="13.2">
      <c r="A1012" s="14"/>
      <c r="B1012" s="5">
        <v>12</v>
      </c>
      <c r="C1012" s="5">
        <f t="shared" si="209"/>
        <v>98</v>
      </c>
      <c r="D1012" s="32">
        <v>43097</v>
      </c>
      <c r="F1012" s="12"/>
      <c r="G1012" s="14"/>
      <c r="H1012" s="14"/>
      <c r="I1012" s="37">
        <v>67.8</v>
      </c>
      <c r="K1012" s="37">
        <v>42</v>
      </c>
      <c r="L1012" s="14"/>
      <c r="M1012" s="14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1:28" ht="13.2">
      <c r="A1013" s="14"/>
      <c r="B1013" s="5">
        <v>12</v>
      </c>
      <c r="C1013" s="5">
        <f t="shared" si="209"/>
        <v>105</v>
      </c>
      <c r="D1013" s="32">
        <v>43104</v>
      </c>
      <c r="E1013" s="137"/>
      <c r="F1013" s="11"/>
      <c r="G1013" s="14"/>
      <c r="H1013" s="14"/>
      <c r="I1013" s="33">
        <v>47.1</v>
      </c>
      <c r="J1013" s="14"/>
      <c r="K1013" s="33">
        <v>42.8</v>
      </c>
      <c r="L1013" s="14"/>
      <c r="M1013" s="14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1:28" ht="13.2">
      <c r="A1014" s="14"/>
      <c r="B1014" s="14"/>
      <c r="C1014" s="5">
        <f t="shared" si="209"/>
        <v>112</v>
      </c>
      <c r="D1014" s="32">
        <v>43111</v>
      </c>
      <c r="E1014" s="137"/>
      <c r="F1014" s="12"/>
      <c r="G1014" s="14"/>
      <c r="H1014" s="14"/>
      <c r="I1014" s="33">
        <v>27.2</v>
      </c>
      <c r="J1014" s="14"/>
      <c r="K1014" s="33">
        <v>44.1</v>
      </c>
      <c r="L1014" s="14"/>
      <c r="M1014" s="14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1:28" ht="13.2">
      <c r="A1015" s="14"/>
      <c r="B1015" s="14"/>
      <c r="C1015" s="5">
        <f t="shared" si="209"/>
        <v>116</v>
      </c>
      <c r="D1015" s="34">
        <v>43115</v>
      </c>
      <c r="E1015" s="137"/>
      <c r="F1015" s="11"/>
      <c r="G1015" s="14"/>
      <c r="H1015" s="14"/>
      <c r="I1015" s="33"/>
      <c r="J1015" s="14"/>
      <c r="K1015" s="33"/>
      <c r="L1015" s="14"/>
      <c r="M1015" s="14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1:28" ht="13.2">
      <c r="A1016" s="14"/>
      <c r="B1016" s="14"/>
      <c r="C1016" s="5">
        <f t="shared" si="209"/>
        <v>117</v>
      </c>
      <c r="D1016" s="32">
        <v>43116</v>
      </c>
      <c r="E1016" s="137"/>
      <c r="F1016" s="12"/>
      <c r="G1016" s="14"/>
      <c r="H1016" s="14"/>
      <c r="I1016" s="33">
        <v>27</v>
      </c>
      <c r="J1016" s="14"/>
      <c r="K1016" s="33">
        <v>45.5</v>
      </c>
      <c r="L1016" s="14"/>
      <c r="M1016" s="14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1:28" ht="13.2">
      <c r="A1017" s="14"/>
      <c r="B1017" s="14"/>
      <c r="C1017" s="5">
        <f t="shared" si="209"/>
        <v>118</v>
      </c>
      <c r="D1017" s="32">
        <v>43117</v>
      </c>
      <c r="E1017" s="12"/>
      <c r="F1017" s="12"/>
      <c r="G1017" s="14"/>
      <c r="H1017" s="14"/>
      <c r="I1017" s="33">
        <v>68.3</v>
      </c>
      <c r="J1017" s="14"/>
      <c r="K1017" s="33">
        <v>46</v>
      </c>
      <c r="L1017" s="14"/>
      <c r="M1017" s="14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1:28" ht="13.2">
      <c r="A1018" s="14"/>
      <c r="B1018" s="5"/>
      <c r="C1018" s="5">
        <f t="shared" si="209"/>
        <v>119</v>
      </c>
      <c r="D1018" s="32">
        <v>43118</v>
      </c>
      <c r="E1018" s="12"/>
      <c r="F1018" s="12"/>
      <c r="G1018" s="14"/>
      <c r="H1018" s="14"/>
      <c r="I1018" s="33">
        <v>65.7</v>
      </c>
      <c r="J1018" s="14"/>
      <c r="K1018" s="33">
        <v>45.9</v>
      </c>
      <c r="L1018" s="14"/>
      <c r="M1018" s="14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1:28" ht="13.2">
      <c r="A1019" s="14"/>
      <c r="B1019" s="5"/>
      <c r="C1019" s="5">
        <f t="shared" si="209"/>
        <v>120</v>
      </c>
      <c r="D1019" s="32">
        <v>43119</v>
      </c>
      <c r="E1019" s="12"/>
      <c r="F1019" s="12"/>
      <c r="G1019" s="14"/>
      <c r="H1019" s="14"/>
      <c r="I1019" s="33">
        <v>63.1</v>
      </c>
      <c r="J1019" s="14"/>
      <c r="K1019" s="33">
        <v>46.1</v>
      </c>
      <c r="L1019" s="14"/>
      <c r="M1019" s="14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1:28" ht="13.2">
      <c r="A1020" s="14"/>
      <c r="B1020" s="5"/>
      <c r="C1020" s="5">
        <f t="shared" si="209"/>
        <v>121</v>
      </c>
      <c r="D1020" s="32">
        <v>43120</v>
      </c>
      <c r="E1020" s="12"/>
      <c r="F1020" s="12"/>
      <c r="G1020" s="14"/>
      <c r="H1020" s="14"/>
      <c r="I1020" s="33">
        <v>59.8</v>
      </c>
      <c r="J1020" s="14"/>
      <c r="K1020" s="33">
        <v>46.9</v>
      </c>
      <c r="L1020" s="14"/>
      <c r="M1020" s="14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1:28" ht="13.2">
      <c r="A1021" s="14"/>
      <c r="B1021" s="5"/>
      <c r="C1021" s="5">
        <f t="shared" si="209"/>
        <v>122</v>
      </c>
      <c r="D1021" s="32">
        <v>43121</v>
      </c>
      <c r="E1021" s="12"/>
      <c r="F1021" s="12"/>
      <c r="G1021" s="14"/>
      <c r="H1021" s="14"/>
      <c r="I1021" s="33">
        <v>57</v>
      </c>
      <c r="J1021" s="14"/>
      <c r="K1021" s="33">
        <v>46.8</v>
      </c>
      <c r="L1021" s="14"/>
      <c r="M1021" s="14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1:28" ht="13.2">
      <c r="A1022" s="14"/>
      <c r="B1022" s="5"/>
      <c r="C1022" s="5">
        <f t="shared" si="209"/>
        <v>123</v>
      </c>
      <c r="D1022" s="32">
        <v>43122</v>
      </c>
      <c r="E1022" s="12"/>
      <c r="F1022" s="12"/>
      <c r="G1022" s="14"/>
      <c r="H1022" s="14"/>
      <c r="I1022" s="33">
        <v>53.8</v>
      </c>
      <c r="J1022" s="14"/>
      <c r="K1022" s="33">
        <v>47.3</v>
      </c>
      <c r="L1022" s="14"/>
      <c r="M1022" s="14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1:28" ht="13.2">
      <c r="A1023" s="14"/>
      <c r="B1023" s="5"/>
      <c r="C1023" s="5">
        <f t="shared" si="209"/>
        <v>124</v>
      </c>
      <c r="D1023" s="32">
        <v>43123</v>
      </c>
      <c r="E1023" s="12"/>
      <c r="F1023" s="12"/>
      <c r="G1023" s="14"/>
      <c r="H1023" s="14"/>
      <c r="I1023" s="33">
        <v>51.1</v>
      </c>
      <c r="J1023" s="14"/>
      <c r="K1023" s="33">
        <v>47.4</v>
      </c>
      <c r="L1023" s="14"/>
      <c r="M1023" s="14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1:28" ht="13.2">
      <c r="A1024" s="14"/>
      <c r="B1024" s="5"/>
      <c r="C1024" s="5">
        <f t="shared" si="209"/>
        <v>125</v>
      </c>
      <c r="D1024" s="52">
        <v>43124</v>
      </c>
      <c r="E1024" s="12"/>
      <c r="F1024" s="12"/>
      <c r="G1024" s="14"/>
      <c r="H1024" s="14"/>
      <c r="I1024" s="33">
        <v>48.6</v>
      </c>
      <c r="J1024" s="14"/>
      <c r="K1024" s="33">
        <v>47.4</v>
      </c>
      <c r="L1024" s="14"/>
      <c r="M1024" s="14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1:28" ht="13.2">
      <c r="A1025" s="14"/>
      <c r="B1025" s="5"/>
      <c r="C1025" s="5">
        <f t="shared" si="209"/>
        <v>126</v>
      </c>
      <c r="D1025" s="52">
        <v>43125</v>
      </c>
      <c r="E1025" s="12"/>
      <c r="F1025" s="12"/>
      <c r="G1025" s="14"/>
      <c r="H1025" s="14"/>
      <c r="I1025" s="33">
        <v>45.8</v>
      </c>
      <c r="J1025" s="14"/>
      <c r="K1025" s="33">
        <v>47.3</v>
      </c>
      <c r="L1025" s="14"/>
      <c r="M1025" s="14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1:28" ht="13.2">
      <c r="A1026" s="14"/>
      <c r="B1026" s="5"/>
      <c r="C1026" s="5">
        <f t="shared" si="209"/>
        <v>127</v>
      </c>
      <c r="D1026" s="52">
        <v>43126</v>
      </c>
      <c r="E1026" s="12"/>
      <c r="F1026" s="12"/>
      <c r="G1026" s="14"/>
      <c r="H1026" s="14"/>
      <c r="I1026" s="33">
        <v>42.4</v>
      </c>
      <c r="J1026" s="14"/>
      <c r="K1026" s="33">
        <v>48.1</v>
      </c>
      <c r="L1026" s="14"/>
      <c r="M1026" s="14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1:28" ht="13.2">
      <c r="A1027" s="14"/>
      <c r="B1027" s="5"/>
      <c r="C1027" s="5">
        <f t="shared" si="209"/>
        <v>128</v>
      </c>
      <c r="D1027" s="52">
        <v>43127</v>
      </c>
      <c r="E1027" s="12"/>
      <c r="F1027" s="12"/>
      <c r="G1027" s="14"/>
      <c r="H1027" s="14"/>
      <c r="I1027" s="33">
        <v>39.799999999999997</v>
      </c>
      <c r="J1027" s="14"/>
      <c r="K1027" s="33">
        <v>48.2</v>
      </c>
      <c r="L1027" s="14"/>
      <c r="M1027" s="14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1:28" ht="13.2">
      <c r="A1028" s="14"/>
      <c r="B1028" s="5"/>
      <c r="C1028" s="5">
        <v>129</v>
      </c>
      <c r="D1028" s="52">
        <v>43128</v>
      </c>
      <c r="E1028" s="12"/>
      <c r="F1028" s="12"/>
      <c r="G1028" s="14"/>
      <c r="H1028" s="14"/>
      <c r="I1028" s="33">
        <v>91.9</v>
      </c>
      <c r="J1028" s="14"/>
      <c r="K1028" s="33">
        <v>48.2</v>
      </c>
      <c r="L1028" s="14"/>
      <c r="M1028" s="14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1:28" ht="13.2">
      <c r="A1029" s="14"/>
      <c r="B1029" s="5"/>
      <c r="C1029" s="5">
        <v>130</v>
      </c>
      <c r="D1029" s="52">
        <v>43129</v>
      </c>
      <c r="E1029" s="12"/>
      <c r="F1029" s="12"/>
      <c r="G1029" s="14"/>
      <c r="H1029" s="14"/>
      <c r="I1029" s="33">
        <v>88</v>
      </c>
      <c r="J1029" s="14"/>
      <c r="K1029" s="33">
        <v>48.7</v>
      </c>
      <c r="L1029" s="14"/>
      <c r="M1029" s="14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1:28" ht="13.2">
      <c r="A1030" s="14"/>
      <c r="B1030" s="5"/>
      <c r="C1030" s="5">
        <v>131</v>
      </c>
      <c r="D1030" s="52">
        <v>43130</v>
      </c>
      <c r="E1030" s="12"/>
      <c r="F1030" s="12"/>
      <c r="G1030" s="14"/>
      <c r="H1030" s="14"/>
      <c r="I1030" s="33">
        <v>84.9</v>
      </c>
      <c r="J1030" s="14"/>
      <c r="K1030" s="33">
        <v>48.8</v>
      </c>
      <c r="L1030" s="14"/>
      <c r="M1030" s="14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1:28" ht="13.2">
      <c r="A1031" s="14"/>
      <c r="B1031" s="5"/>
      <c r="C1031" s="5">
        <v>132</v>
      </c>
      <c r="D1031" s="53">
        <v>43131</v>
      </c>
      <c r="E1031" s="12"/>
      <c r="F1031" s="12"/>
      <c r="G1031" s="14"/>
      <c r="H1031" s="14"/>
      <c r="I1031" s="33">
        <v>81.7</v>
      </c>
      <c r="J1031" s="14"/>
      <c r="K1031" s="33">
        <v>49.4</v>
      </c>
      <c r="L1031" s="14"/>
      <c r="M1031" s="14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1:28" ht="13.2">
      <c r="A1032" s="14"/>
      <c r="B1032" s="5"/>
      <c r="C1032" s="5">
        <v>133</v>
      </c>
      <c r="D1032" s="32">
        <v>43132</v>
      </c>
      <c r="E1032" s="12"/>
      <c r="F1032" s="12"/>
      <c r="G1032" s="14"/>
      <c r="H1032" s="14"/>
      <c r="I1032" s="33">
        <v>78.3</v>
      </c>
      <c r="J1032" s="37"/>
      <c r="K1032" s="33">
        <v>49.9</v>
      </c>
      <c r="L1032" s="14"/>
      <c r="M1032" s="14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1:28" ht="13.2">
      <c r="A1033" s="14"/>
      <c r="B1033" s="5"/>
      <c r="C1033" s="5">
        <v>134</v>
      </c>
      <c r="D1033" s="32">
        <v>43133</v>
      </c>
      <c r="E1033" s="12"/>
      <c r="F1033" s="12"/>
      <c r="G1033" s="14"/>
      <c r="H1033" s="14"/>
      <c r="I1033" s="33">
        <v>75.2</v>
      </c>
      <c r="J1033" s="37"/>
      <c r="K1033" s="33">
        <v>49.8</v>
      </c>
      <c r="L1033" s="14"/>
      <c r="M1033" s="14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1:28" ht="13.2">
      <c r="A1034" s="14"/>
      <c r="B1034" s="5"/>
      <c r="C1034" s="5">
        <v>135</v>
      </c>
      <c r="D1034" s="32">
        <v>43134</v>
      </c>
      <c r="E1034" s="12"/>
      <c r="F1034" s="12"/>
      <c r="G1034" s="14"/>
      <c r="H1034" s="14"/>
      <c r="I1034" s="33">
        <v>71.900000000000006</v>
      </c>
      <c r="J1034" s="37"/>
      <c r="K1034" s="33">
        <v>50.2</v>
      </c>
      <c r="L1034" s="14"/>
      <c r="M1034" s="14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1:28" ht="13.2">
      <c r="A1035" s="14"/>
      <c r="B1035" s="5"/>
      <c r="C1035" s="5">
        <v>136</v>
      </c>
      <c r="D1035" s="32">
        <v>43135</v>
      </c>
      <c r="E1035" s="12"/>
      <c r="F1035" s="12"/>
      <c r="G1035" s="14"/>
      <c r="H1035" s="14"/>
      <c r="I1035" s="33">
        <v>68.900000000000006</v>
      </c>
      <c r="J1035" s="37"/>
      <c r="K1035" s="33">
        <v>50.2</v>
      </c>
      <c r="L1035" s="14"/>
      <c r="M1035" s="14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1:28" ht="13.2">
      <c r="A1036" s="7"/>
      <c r="B1036" s="36"/>
      <c r="C1036" s="5">
        <v>137</v>
      </c>
      <c r="D1036" s="32">
        <v>43136</v>
      </c>
      <c r="E1036" s="75"/>
      <c r="F1036" s="75"/>
      <c r="G1036" s="7"/>
      <c r="H1036" s="7"/>
      <c r="I1036" s="33">
        <v>65.7</v>
      </c>
      <c r="J1036" s="37"/>
      <c r="K1036" s="33">
        <v>50.6</v>
      </c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1:28" ht="13.2">
      <c r="A1037" s="7"/>
      <c r="B1037" s="36"/>
      <c r="C1037" s="5">
        <v>138</v>
      </c>
      <c r="D1037" s="32">
        <v>43137</v>
      </c>
      <c r="E1037" s="75"/>
      <c r="F1037" s="75"/>
      <c r="G1037" s="7"/>
      <c r="H1037" s="7"/>
      <c r="I1037" s="33">
        <v>62.8</v>
      </c>
      <c r="J1037" s="37"/>
      <c r="K1037" s="33">
        <v>50.8</v>
      </c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1:28" ht="13.2">
      <c r="A1038" s="7"/>
      <c r="B1038" s="36"/>
      <c r="C1038" s="5">
        <v>139</v>
      </c>
      <c r="D1038" s="20">
        <v>43138</v>
      </c>
      <c r="E1038" s="75"/>
      <c r="F1038" s="75"/>
      <c r="G1038" s="7"/>
      <c r="H1038" s="7"/>
      <c r="I1038" s="149">
        <v>59.4</v>
      </c>
      <c r="J1038" s="7"/>
      <c r="K1038" s="149">
        <v>51</v>
      </c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1:28" ht="13.2">
      <c r="A1039" s="7"/>
      <c r="B1039" s="36"/>
      <c r="C1039" s="5">
        <v>140</v>
      </c>
      <c r="D1039" s="20">
        <v>43139</v>
      </c>
      <c r="E1039" s="75"/>
      <c r="F1039" s="75"/>
      <c r="G1039" s="7"/>
      <c r="H1039" s="7"/>
      <c r="I1039" s="149">
        <v>56.5</v>
      </c>
      <c r="J1039" s="7"/>
      <c r="K1039" s="149">
        <v>51.2</v>
      </c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1:28" ht="13.2">
      <c r="A1040" s="7"/>
      <c r="B1040" s="36"/>
      <c r="C1040" s="5">
        <v>141</v>
      </c>
      <c r="D1040" s="20">
        <v>43140</v>
      </c>
      <c r="E1040" s="75"/>
      <c r="F1040" s="75"/>
      <c r="G1040" s="7"/>
      <c r="H1040" s="7"/>
      <c r="I1040" s="149">
        <v>53.7</v>
      </c>
      <c r="J1040" s="7"/>
      <c r="K1040" s="149">
        <v>51.1</v>
      </c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1:28" ht="13.2">
      <c r="A1041" s="7"/>
      <c r="B1041" s="36"/>
      <c r="C1041" s="5">
        <v>142</v>
      </c>
      <c r="D1041" s="20">
        <v>43141</v>
      </c>
      <c r="E1041" s="75"/>
      <c r="F1041" s="75"/>
      <c r="G1041" s="7"/>
      <c r="H1041" s="7"/>
      <c r="I1041" s="149">
        <v>50.8</v>
      </c>
      <c r="J1041" s="7"/>
      <c r="K1041" s="149">
        <v>51.1</v>
      </c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1:28" ht="13.2">
      <c r="A1042" s="7"/>
      <c r="B1042" s="36"/>
      <c r="C1042" s="5">
        <v>143</v>
      </c>
      <c r="D1042" s="20">
        <v>43142</v>
      </c>
      <c r="E1042" s="75"/>
      <c r="F1042" s="75"/>
      <c r="G1042" s="7"/>
      <c r="H1042" s="7"/>
      <c r="I1042" s="149">
        <v>48.3</v>
      </c>
      <c r="J1042" s="7"/>
      <c r="K1042" s="149">
        <v>51.5</v>
      </c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1:28" ht="13.2">
      <c r="A1043" s="7"/>
      <c r="B1043" s="36"/>
      <c r="C1043" s="5">
        <v>144</v>
      </c>
      <c r="D1043" s="20">
        <v>43143</v>
      </c>
      <c r="E1043" s="75"/>
      <c r="F1043" s="75"/>
      <c r="G1043" s="7"/>
      <c r="H1043" s="7"/>
      <c r="I1043" s="149">
        <v>45.3</v>
      </c>
      <c r="J1043" s="7"/>
      <c r="K1043" s="149">
        <v>51.6</v>
      </c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1:28" ht="13.2">
      <c r="A1044" s="7"/>
      <c r="B1044" s="36"/>
      <c r="C1044" s="5">
        <v>145</v>
      </c>
      <c r="D1044" s="20">
        <v>43144</v>
      </c>
      <c r="E1044" s="75"/>
      <c r="F1044" s="75"/>
      <c r="G1044" s="7"/>
      <c r="H1044" s="7"/>
      <c r="I1044" s="149">
        <v>42.2</v>
      </c>
      <c r="J1044" s="7"/>
      <c r="K1044" s="149">
        <v>52.2</v>
      </c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1:28" ht="13.2">
      <c r="A1045" s="7"/>
      <c r="B1045" s="36"/>
      <c r="C1045" s="5">
        <v>146</v>
      </c>
      <c r="D1045" s="20">
        <v>43145</v>
      </c>
      <c r="E1045" s="75"/>
      <c r="F1045" s="75"/>
      <c r="G1045" s="7"/>
      <c r="H1045" s="7"/>
      <c r="I1045" s="149">
        <v>39.4</v>
      </c>
      <c r="J1045" s="7"/>
      <c r="K1045" s="149">
        <v>52.1</v>
      </c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1:28" ht="13.2">
      <c r="A1046" s="7"/>
      <c r="B1046" s="36"/>
      <c r="C1046" s="5">
        <v>147</v>
      </c>
      <c r="D1046" s="20">
        <v>43146</v>
      </c>
      <c r="E1046" s="75"/>
      <c r="F1046" s="75"/>
      <c r="G1046" s="7"/>
      <c r="H1046" s="7"/>
      <c r="I1046" s="149">
        <v>36.4</v>
      </c>
      <c r="J1046" s="7"/>
      <c r="K1046" s="149">
        <v>52.4</v>
      </c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spans="1:28" ht="13.2">
      <c r="A1047" s="7"/>
      <c r="B1047" s="36"/>
      <c r="C1047" s="5">
        <v>148</v>
      </c>
      <c r="D1047" s="20">
        <v>43147</v>
      </c>
      <c r="E1047" s="75"/>
      <c r="F1047" s="75"/>
      <c r="G1047" s="7"/>
      <c r="H1047" s="7"/>
      <c r="I1047" s="149">
        <v>81.5</v>
      </c>
      <c r="J1047" s="7"/>
      <c r="K1047" s="149">
        <v>52.9</v>
      </c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spans="1:28" ht="13.2">
      <c r="A1048" s="7"/>
      <c r="B1048" s="36"/>
      <c r="C1048" s="5">
        <v>149</v>
      </c>
      <c r="D1048" s="20">
        <v>43148</v>
      </c>
      <c r="E1048" s="75"/>
      <c r="F1048" s="75"/>
      <c r="G1048" s="7"/>
      <c r="H1048" s="7"/>
      <c r="I1048" s="149">
        <v>78.2</v>
      </c>
      <c r="J1048" s="7"/>
      <c r="K1048" s="149">
        <v>53.6</v>
      </c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spans="1:28" ht="13.2">
      <c r="A1049" s="7"/>
      <c r="B1049" s="7"/>
      <c r="C1049" s="14">
        <f t="shared" ref="C1049:C1058" si="231">C1048+1</f>
        <v>150</v>
      </c>
      <c r="D1049" s="20">
        <v>43149</v>
      </c>
      <c r="E1049" s="75"/>
      <c r="F1049" s="75"/>
      <c r="G1049" s="7"/>
      <c r="H1049" s="7"/>
      <c r="I1049" s="149">
        <v>75</v>
      </c>
      <c r="J1049" s="7"/>
      <c r="K1049" s="149">
        <v>53.6</v>
      </c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spans="1:28" ht="13.2">
      <c r="A1050" s="7"/>
      <c r="B1050" s="7"/>
      <c r="C1050" s="14">
        <f t="shared" si="231"/>
        <v>151</v>
      </c>
      <c r="D1050" s="20">
        <v>43150</v>
      </c>
      <c r="E1050" s="75"/>
      <c r="F1050" s="75"/>
      <c r="G1050" s="7"/>
      <c r="H1050" s="7"/>
      <c r="I1050" s="149">
        <v>72.099999999999994</v>
      </c>
      <c r="J1050" s="7"/>
      <c r="K1050" s="149">
        <v>53.7</v>
      </c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 spans="1:28" ht="13.2">
      <c r="A1051" s="7"/>
      <c r="B1051" s="7"/>
      <c r="C1051" s="14">
        <f t="shared" si="231"/>
        <v>152</v>
      </c>
      <c r="D1051" s="20">
        <v>43151</v>
      </c>
      <c r="E1051" s="75"/>
      <c r="F1051" s="75"/>
      <c r="G1051" s="7"/>
      <c r="H1051" s="7"/>
      <c r="I1051" s="149">
        <v>68.900000000000006</v>
      </c>
      <c r="J1051" s="7"/>
      <c r="K1051" s="149">
        <v>54.3</v>
      </c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 spans="1:28" ht="13.2">
      <c r="A1052" s="7"/>
      <c r="B1052" s="7"/>
      <c r="C1052" s="14">
        <f t="shared" si="231"/>
        <v>153</v>
      </c>
      <c r="D1052" s="20">
        <v>43152</v>
      </c>
      <c r="E1052" s="75"/>
      <c r="F1052" s="75"/>
      <c r="G1052" s="7"/>
      <c r="H1052" s="7"/>
      <c r="I1052" s="149">
        <v>65.599999999999994</v>
      </c>
      <c r="J1052" s="7"/>
      <c r="K1052" s="149">
        <v>54.5</v>
      </c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 spans="1:28" ht="13.2">
      <c r="A1053" s="7"/>
      <c r="B1053" s="7"/>
      <c r="C1053" s="14">
        <f t="shared" si="231"/>
        <v>154</v>
      </c>
      <c r="D1053" s="20">
        <v>43153</v>
      </c>
      <c r="E1053" s="75"/>
      <c r="F1053" s="75"/>
      <c r="G1053" s="7"/>
      <c r="H1053" s="7"/>
      <c r="I1053" s="149">
        <v>62.4</v>
      </c>
      <c r="J1053" s="7"/>
      <c r="K1053" s="149">
        <v>54.5</v>
      </c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 spans="1:28" ht="13.2">
      <c r="A1054" s="7"/>
      <c r="B1054" s="7"/>
      <c r="C1054" s="14">
        <f t="shared" si="231"/>
        <v>155</v>
      </c>
      <c r="D1054" s="20">
        <v>43154</v>
      </c>
      <c r="E1054" s="75"/>
      <c r="F1054" s="75"/>
      <c r="G1054" s="7"/>
      <c r="H1054" s="7"/>
      <c r="I1054" s="149">
        <v>58.9</v>
      </c>
      <c r="J1054" s="7"/>
      <c r="K1054" s="149">
        <v>55.2</v>
      </c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 spans="1:28" ht="13.2">
      <c r="A1055" s="7"/>
      <c r="B1055" s="7"/>
      <c r="C1055" s="14">
        <f t="shared" si="231"/>
        <v>156</v>
      </c>
      <c r="D1055" s="20">
        <v>43155</v>
      </c>
      <c r="E1055" s="75"/>
      <c r="F1055" s="75"/>
      <c r="G1055" s="7"/>
      <c r="H1055" s="7"/>
      <c r="I1055" s="149">
        <v>55.5</v>
      </c>
      <c r="J1055" s="7"/>
      <c r="K1055" s="149">
        <v>55.4</v>
      </c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 spans="1:28" ht="13.2">
      <c r="A1056" s="7"/>
      <c r="B1056" s="7"/>
      <c r="C1056" s="14">
        <f t="shared" si="231"/>
        <v>157</v>
      </c>
      <c r="D1056" s="20">
        <v>43156</v>
      </c>
      <c r="E1056" s="75"/>
      <c r="F1056" s="75"/>
      <c r="G1056" s="7"/>
      <c r="H1056" s="7"/>
      <c r="I1056" s="149">
        <v>51.9</v>
      </c>
      <c r="J1056" s="7"/>
      <c r="K1056" s="149">
        <v>56.6</v>
      </c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 spans="1:28" ht="13.2">
      <c r="A1057" s="7"/>
      <c r="B1057" s="7"/>
      <c r="C1057" s="14">
        <f t="shared" si="231"/>
        <v>158</v>
      </c>
      <c r="D1057" s="20">
        <v>43157</v>
      </c>
      <c r="E1057" s="75"/>
      <c r="F1057" s="75"/>
      <c r="G1057" s="7"/>
      <c r="H1057" s="7"/>
      <c r="I1057" s="149">
        <v>48.9</v>
      </c>
      <c r="J1057" s="7"/>
      <c r="K1057" s="149">
        <v>56.1</v>
      </c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 spans="1:28" ht="13.2">
      <c r="A1058" s="7"/>
      <c r="B1058" s="7"/>
      <c r="C1058" s="14">
        <f t="shared" si="231"/>
        <v>159</v>
      </c>
      <c r="D1058" s="20">
        <v>43158</v>
      </c>
      <c r="E1058" s="75"/>
      <c r="F1058" s="75"/>
      <c r="G1058" s="7"/>
      <c r="H1058" s="7"/>
      <c r="I1058" s="149">
        <v>45.9</v>
      </c>
      <c r="J1058" s="7"/>
      <c r="K1058" s="149">
        <v>56.4</v>
      </c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 spans="1:28" ht="13.2">
      <c r="A1059" s="7"/>
      <c r="B1059" s="7"/>
      <c r="C1059" s="5">
        <v>166</v>
      </c>
      <c r="D1059" s="20">
        <v>43165</v>
      </c>
      <c r="E1059" s="75"/>
      <c r="F1059" s="75"/>
      <c r="G1059" s="7"/>
      <c r="H1059" s="7"/>
      <c r="I1059" s="149">
        <v>72.7</v>
      </c>
      <c r="J1059" s="7"/>
      <c r="K1059" s="149">
        <v>43</v>
      </c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 spans="1:28" ht="13.2">
      <c r="A1060" s="7"/>
      <c r="B1060" s="7"/>
      <c r="C1060" s="5">
        <v>173</v>
      </c>
      <c r="D1060" s="20">
        <v>43172</v>
      </c>
      <c r="E1060" s="75"/>
      <c r="F1060" s="75"/>
      <c r="G1060" s="7"/>
      <c r="H1060" s="7"/>
      <c r="I1060" s="149">
        <v>72.7</v>
      </c>
      <c r="J1060" s="7"/>
      <c r="K1060" s="149">
        <v>31.3</v>
      </c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 spans="1:28" ht="13.2">
      <c r="A1061" s="7"/>
      <c r="B1061" s="7"/>
      <c r="C1061" s="7"/>
      <c r="D1061" s="7"/>
      <c r="E1061" s="75"/>
      <c r="F1061" s="75"/>
      <c r="G1061" s="7"/>
      <c r="H1061" s="7"/>
      <c r="I1061" s="73"/>
      <c r="J1061" s="7"/>
      <c r="K1061" s="73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 spans="1:28" ht="13.2">
      <c r="A1062" s="7"/>
      <c r="B1062" s="7"/>
      <c r="C1062" s="7"/>
      <c r="D1062" s="7"/>
      <c r="E1062" s="75"/>
      <c r="F1062" s="75"/>
      <c r="G1062" s="7"/>
      <c r="H1062" s="7"/>
      <c r="I1062" s="73"/>
      <c r="J1062" s="7"/>
      <c r="K1062" s="73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 spans="1:28" ht="13.2">
      <c r="A1063" s="7"/>
      <c r="B1063" s="7"/>
      <c r="C1063" s="7"/>
      <c r="D1063" s="7"/>
      <c r="E1063" s="75"/>
      <c r="F1063" s="75"/>
      <c r="G1063" s="7"/>
      <c r="H1063" s="7"/>
      <c r="I1063" s="73"/>
      <c r="J1063" s="7"/>
      <c r="K1063" s="73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 spans="1:28" ht="13.2">
      <c r="A1064" s="7"/>
      <c r="B1064" s="7"/>
      <c r="C1064" s="7"/>
      <c r="D1064" s="7"/>
      <c r="E1064" s="75"/>
      <c r="F1064" s="75"/>
      <c r="G1064" s="7"/>
      <c r="H1064" s="7"/>
      <c r="I1064" s="73"/>
      <c r="J1064" s="7"/>
      <c r="K1064" s="73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 spans="1:28" ht="13.2">
      <c r="A1065" s="7"/>
      <c r="B1065" s="7"/>
      <c r="C1065" s="7"/>
      <c r="D1065" s="7"/>
      <c r="E1065" s="75"/>
      <c r="F1065" s="75"/>
      <c r="G1065" s="7"/>
      <c r="H1065" s="7"/>
      <c r="I1065" s="73"/>
      <c r="J1065" s="7"/>
      <c r="K1065" s="73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 spans="1:28" ht="13.2">
      <c r="A1066" s="7"/>
      <c r="B1066" s="7"/>
      <c r="C1066" s="7"/>
      <c r="D1066" s="7"/>
      <c r="E1066" s="75"/>
      <c r="F1066" s="75"/>
      <c r="G1066" s="7"/>
      <c r="H1066" s="7"/>
      <c r="I1066" s="73"/>
      <c r="J1066" s="7"/>
      <c r="K1066" s="73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 spans="1:28" ht="13.2">
      <c r="A1067" s="7"/>
      <c r="B1067" s="7"/>
      <c r="C1067" s="7"/>
      <c r="D1067" s="7"/>
      <c r="E1067" s="75"/>
      <c r="F1067" s="75"/>
      <c r="G1067" s="7"/>
      <c r="H1067" s="7"/>
      <c r="I1067" s="73"/>
      <c r="J1067" s="7"/>
      <c r="K1067" s="73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 spans="1:28" ht="13.2">
      <c r="A1068" s="7"/>
      <c r="B1068" s="7"/>
      <c r="C1068" s="7"/>
      <c r="D1068" s="7"/>
      <c r="E1068" s="75"/>
      <c r="F1068" s="75"/>
      <c r="G1068" s="7"/>
      <c r="H1068" s="7"/>
      <c r="I1068" s="73"/>
      <c r="J1068" s="7"/>
      <c r="K1068" s="73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 spans="1:28" ht="13.2">
      <c r="A1069" s="7"/>
      <c r="B1069" s="7"/>
      <c r="C1069" s="7"/>
      <c r="D1069" s="7"/>
      <c r="E1069" s="75"/>
      <c r="F1069" s="75"/>
      <c r="G1069" s="7"/>
      <c r="H1069" s="7"/>
      <c r="I1069" s="73"/>
      <c r="J1069" s="7"/>
      <c r="K1069" s="73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 spans="1:28" ht="13.2">
      <c r="A1070" s="7"/>
      <c r="B1070" s="7"/>
      <c r="C1070" s="7"/>
      <c r="D1070" s="7"/>
      <c r="E1070" s="75"/>
      <c r="F1070" s="75"/>
      <c r="G1070" s="7"/>
      <c r="H1070" s="7"/>
      <c r="I1070" s="73"/>
      <c r="J1070" s="7"/>
      <c r="K1070" s="73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 spans="1:28" ht="13.2">
      <c r="A1071" s="7"/>
      <c r="B1071" s="7"/>
      <c r="C1071" s="7"/>
      <c r="D1071" s="7"/>
      <c r="E1071" s="75"/>
      <c r="F1071" s="75"/>
      <c r="G1071" s="7"/>
      <c r="H1071" s="7"/>
      <c r="I1071" s="73"/>
      <c r="J1071" s="7"/>
      <c r="K1071" s="73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 spans="1:28" ht="13.2">
      <c r="A1072" s="7"/>
      <c r="B1072" s="7"/>
      <c r="C1072" s="7"/>
      <c r="D1072" s="7"/>
      <c r="E1072" s="75"/>
      <c r="F1072" s="75"/>
      <c r="G1072" s="7"/>
      <c r="H1072" s="7"/>
      <c r="I1072" s="73"/>
      <c r="J1072" s="7"/>
      <c r="K1072" s="73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 spans="1:28" ht="13.2">
      <c r="A1073" s="7"/>
      <c r="B1073" s="7"/>
      <c r="C1073" s="7"/>
      <c r="D1073" s="7"/>
      <c r="E1073" s="75"/>
      <c r="F1073" s="75"/>
      <c r="G1073" s="7"/>
      <c r="H1073" s="7"/>
      <c r="I1073" s="73"/>
      <c r="J1073" s="7"/>
      <c r="K1073" s="73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 spans="1:28" ht="13.2">
      <c r="A1074" s="7"/>
      <c r="B1074" s="7"/>
      <c r="C1074" s="7"/>
      <c r="D1074" s="7"/>
      <c r="E1074" s="75"/>
      <c r="F1074" s="75"/>
      <c r="G1074" s="7"/>
      <c r="H1074" s="7"/>
      <c r="I1074" s="73"/>
      <c r="J1074" s="7"/>
      <c r="K1074" s="73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 spans="1:28" ht="13.2">
      <c r="A1075" s="7"/>
      <c r="B1075" s="7"/>
      <c r="C1075" s="7"/>
      <c r="D1075" s="7"/>
      <c r="E1075" s="75"/>
      <c r="F1075" s="75"/>
      <c r="G1075" s="7"/>
      <c r="H1075" s="7"/>
      <c r="I1075" s="73"/>
      <c r="J1075" s="7"/>
      <c r="K1075" s="73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 spans="1:28" ht="13.2">
      <c r="A1076" s="7"/>
      <c r="B1076" s="7"/>
      <c r="C1076" s="7"/>
      <c r="D1076" s="7"/>
      <c r="E1076" s="75"/>
      <c r="F1076" s="75"/>
      <c r="G1076" s="7"/>
      <c r="H1076" s="7"/>
      <c r="I1076" s="73"/>
      <c r="J1076" s="7"/>
      <c r="K1076" s="73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 spans="1:28" ht="13.2">
      <c r="A1077" s="7"/>
      <c r="B1077" s="7"/>
      <c r="C1077" s="7"/>
      <c r="D1077" s="7"/>
      <c r="E1077" s="75"/>
      <c r="F1077" s="75"/>
      <c r="G1077" s="7"/>
      <c r="H1077" s="7"/>
      <c r="I1077" s="73"/>
      <c r="J1077" s="7"/>
      <c r="K1077" s="73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 spans="1:28" ht="13.2">
      <c r="A1078" s="7"/>
      <c r="B1078" s="7"/>
      <c r="C1078" s="7"/>
      <c r="D1078" s="7"/>
      <c r="E1078" s="75"/>
      <c r="F1078" s="75"/>
      <c r="G1078" s="7"/>
      <c r="H1078" s="7"/>
      <c r="I1078" s="73"/>
      <c r="J1078" s="7"/>
      <c r="K1078" s="73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 spans="1:28" ht="13.2">
      <c r="A1079" s="7"/>
      <c r="B1079" s="7"/>
      <c r="C1079" s="7"/>
      <c r="D1079" s="7"/>
      <c r="E1079" s="75"/>
      <c r="F1079" s="75"/>
      <c r="G1079" s="7"/>
      <c r="H1079" s="7"/>
      <c r="I1079" s="73"/>
      <c r="J1079" s="7"/>
      <c r="K1079" s="73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 spans="1:28" ht="13.2">
      <c r="A1080" s="7"/>
      <c r="B1080" s="7"/>
      <c r="C1080" s="7"/>
      <c r="D1080" s="7"/>
      <c r="E1080" s="75"/>
      <c r="F1080" s="75"/>
      <c r="G1080" s="7"/>
      <c r="H1080" s="7"/>
      <c r="I1080" s="73"/>
      <c r="J1080" s="7"/>
      <c r="K1080" s="73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 spans="1:28" ht="13.2">
      <c r="A1081" s="7"/>
      <c r="B1081" s="7"/>
      <c r="C1081" s="7"/>
      <c r="D1081" s="7"/>
      <c r="E1081" s="75"/>
      <c r="F1081" s="75"/>
      <c r="G1081" s="7"/>
      <c r="H1081" s="7"/>
      <c r="I1081" s="73"/>
      <c r="J1081" s="7"/>
      <c r="K1081" s="73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 spans="1:28" ht="13.2">
      <c r="A1082" s="7"/>
      <c r="B1082" s="7"/>
      <c r="C1082" s="7"/>
      <c r="D1082" s="7"/>
      <c r="E1082" s="75"/>
      <c r="F1082" s="75"/>
      <c r="G1082" s="7"/>
      <c r="H1082" s="7"/>
      <c r="I1082" s="73"/>
      <c r="J1082" s="7"/>
      <c r="K1082" s="73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 spans="1:28" ht="13.2">
      <c r="A1083" s="7"/>
      <c r="B1083" s="7"/>
      <c r="C1083" s="7"/>
      <c r="D1083" s="7"/>
      <c r="E1083" s="75"/>
      <c r="F1083" s="75"/>
      <c r="G1083" s="7"/>
      <c r="H1083" s="7"/>
      <c r="I1083" s="73"/>
      <c r="J1083" s="7"/>
      <c r="K1083" s="73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 spans="1:28" ht="13.2">
      <c r="A1084" s="7"/>
      <c r="B1084" s="7"/>
      <c r="C1084" s="7"/>
      <c r="D1084" s="7"/>
      <c r="E1084" s="75"/>
      <c r="F1084" s="75"/>
      <c r="G1084" s="7"/>
      <c r="H1084" s="7"/>
      <c r="I1084" s="73"/>
      <c r="J1084" s="7"/>
      <c r="K1084" s="73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</row>
    <row r="1085" spans="1:28" ht="13.2">
      <c r="A1085" s="7"/>
      <c r="B1085" s="7"/>
      <c r="C1085" s="7"/>
      <c r="D1085" s="7"/>
      <c r="E1085" s="75"/>
      <c r="F1085" s="75"/>
      <c r="G1085" s="7"/>
      <c r="H1085" s="7"/>
      <c r="I1085" s="73"/>
      <c r="J1085" s="7"/>
      <c r="K1085" s="73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 spans="1:28" ht="13.2">
      <c r="A1086" s="7"/>
      <c r="B1086" s="7"/>
      <c r="C1086" s="7"/>
      <c r="D1086" s="7"/>
      <c r="E1086" s="75"/>
      <c r="F1086" s="75"/>
      <c r="G1086" s="7"/>
      <c r="H1086" s="7"/>
      <c r="I1086" s="73"/>
      <c r="J1086" s="7"/>
      <c r="K1086" s="73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 spans="1:28" ht="13.2">
      <c r="A1087" s="7"/>
      <c r="B1087" s="7"/>
      <c r="C1087" s="7"/>
      <c r="D1087" s="7"/>
      <c r="E1087" s="75"/>
      <c r="F1087" s="75"/>
      <c r="G1087" s="7"/>
      <c r="H1087" s="7"/>
      <c r="I1087" s="73"/>
      <c r="J1087" s="7"/>
      <c r="K1087" s="73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 spans="1:28" ht="13.2">
      <c r="A1088" s="7"/>
      <c r="B1088" s="7"/>
      <c r="C1088" s="7"/>
      <c r="D1088" s="7"/>
      <c r="E1088" s="75"/>
      <c r="F1088" s="75"/>
      <c r="G1088" s="7"/>
      <c r="H1088" s="7"/>
      <c r="I1088" s="73"/>
      <c r="J1088" s="7"/>
      <c r="K1088" s="73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 spans="1:28" ht="13.2">
      <c r="A1089" s="7"/>
      <c r="B1089" s="7"/>
      <c r="C1089" s="7"/>
      <c r="D1089" s="7"/>
      <c r="E1089" s="75"/>
      <c r="F1089" s="75"/>
      <c r="G1089" s="7"/>
      <c r="H1089" s="7"/>
      <c r="I1089" s="73"/>
      <c r="J1089" s="7"/>
      <c r="K1089" s="73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 spans="1:28" ht="13.2">
      <c r="A1090" s="7"/>
      <c r="B1090" s="7"/>
      <c r="C1090" s="7"/>
      <c r="D1090" s="7"/>
      <c r="E1090" s="75"/>
      <c r="F1090" s="75"/>
      <c r="G1090" s="7"/>
      <c r="H1090" s="7"/>
      <c r="I1090" s="73"/>
      <c r="J1090" s="7"/>
      <c r="K1090" s="73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 spans="1:28" ht="13.2">
      <c r="A1091" s="7"/>
      <c r="B1091" s="7"/>
      <c r="C1091" s="7"/>
      <c r="D1091" s="7"/>
      <c r="E1091" s="75"/>
      <c r="F1091" s="75"/>
      <c r="G1091" s="7"/>
      <c r="H1091" s="7"/>
      <c r="I1091" s="73"/>
      <c r="J1091" s="7"/>
      <c r="K1091" s="73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 spans="1:28" ht="13.2">
      <c r="A1092" s="7"/>
      <c r="B1092" s="7"/>
      <c r="C1092" s="7"/>
      <c r="D1092" s="7"/>
      <c r="E1092" s="75"/>
      <c r="F1092" s="75"/>
      <c r="G1092" s="7"/>
      <c r="H1092" s="7"/>
      <c r="I1092" s="73"/>
      <c r="J1092" s="7"/>
      <c r="K1092" s="73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 spans="1:28" ht="13.2">
      <c r="A1093" s="7"/>
      <c r="B1093" s="7"/>
      <c r="C1093" s="7"/>
      <c r="D1093" s="7"/>
      <c r="E1093" s="75"/>
      <c r="F1093" s="75"/>
      <c r="G1093" s="7"/>
      <c r="H1093" s="7"/>
      <c r="I1093" s="73"/>
      <c r="J1093" s="7"/>
      <c r="K1093" s="73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 spans="1:28" ht="13.2">
      <c r="A1094" s="7"/>
      <c r="B1094" s="7"/>
      <c r="C1094" s="7"/>
      <c r="D1094" s="7"/>
      <c r="E1094" s="75"/>
      <c r="F1094" s="75"/>
      <c r="G1094" s="7"/>
      <c r="H1094" s="7"/>
      <c r="I1094" s="73"/>
      <c r="J1094" s="7"/>
      <c r="K1094" s="73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 spans="1:28" ht="13.2">
      <c r="A1095" s="7"/>
      <c r="B1095" s="7"/>
      <c r="C1095" s="7"/>
      <c r="D1095" s="7"/>
      <c r="E1095" s="75"/>
      <c r="F1095" s="75"/>
      <c r="G1095" s="7"/>
      <c r="H1095" s="7"/>
      <c r="I1095" s="73"/>
      <c r="J1095" s="7"/>
      <c r="K1095" s="73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 spans="1:28" ht="13.2">
      <c r="A1096" s="7"/>
      <c r="B1096" s="7"/>
      <c r="C1096" s="7"/>
      <c r="D1096" s="7"/>
      <c r="E1096" s="75"/>
      <c r="F1096" s="75"/>
      <c r="G1096" s="7"/>
      <c r="H1096" s="7"/>
      <c r="I1096" s="73"/>
      <c r="J1096" s="7"/>
      <c r="K1096" s="73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 spans="1:28" ht="13.2">
      <c r="A1097" s="7"/>
      <c r="B1097" s="7"/>
      <c r="C1097" s="7"/>
      <c r="D1097" s="7"/>
      <c r="E1097" s="75"/>
      <c r="F1097" s="75"/>
      <c r="G1097" s="7"/>
      <c r="H1097" s="7"/>
      <c r="I1097" s="73"/>
      <c r="J1097" s="7"/>
      <c r="K1097" s="73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  <row r="1098" spans="1:28" ht="13.2">
      <c r="A1098" s="7"/>
      <c r="B1098" s="7"/>
      <c r="C1098" s="7"/>
      <c r="D1098" s="7"/>
      <c r="E1098" s="75"/>
      <c r="F1098" s="75"/>
      <c r="G1098" s="7"/>
      <c r="H1098" s="7"/>
      <c r="I1098" s="73"/>
      <c r="J1098" s="7"/>
      <c r="K1098" s="73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 spans="1:28" ht="13.2">
      <c r="A1099" s="7"/>
      <c r="B1099" s="7"/>
      <c r="C1099" s="7"/>
      <c r="D1099" s="7"/>
      <c r="E1099" s="75"/>
      <c r="F1099" s="75"/>
      <c r="G1099" s="7"/>
      <c r="H1099" s="7"/>
      <c r="I1099" s="73"/>
      <c r="J1099" s="7"/>
      <c r="K1099" s="73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</row>
    <row r="1100" spans="1:28" ht="13.2">
      <c r="A1100" s="7"/>
      <c r="B1100" s="7"/>
      <c r="C1100" s="7"/>
      <c r="D1100" s="7"/>
      <c r="E1100" s="75"/>
      <c r="F1100" s="75"/>
      <c r="G1100" s="7"/>
      <c r="H1100" s="7"/>
      <c r="I1100" s="73"/>
      <c r="J1100" s="7"/>
      <c r="K1100" s="73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</row>
    <row r="1101" spans="1:28" ht="13.2">
      <c r="A1101" s="7"/>
      <c r="B1101" s="7"/>
      <c r="C1101" s="7"/>
      <c r="D1101" s="7"/>
      <c r="E1101" s="75"/>
      <c r="F1101" s="75"/>
      <c r="G1101" s="7"/>
      <c r="H1101" s="7"/>
      <c r="I1101" s="73"/>
      <c r="J1101" s="7"/>
      <c r="K1101" s="73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</row>
    <row r="1102" spans="1:28" ht="13.2">
      <c r="A1102" s="7"/>
      <c r="B1102" s="7"/>
      <c r="C1102" s="7"/>
      <c r="D1102" s="7"/>
      <c r="E1102" s="75"/>
      <c r="F1102" s="75"/>
      <c r="G1102" s="7"/>
      <c r="H1102" s="7"/>
      <c r="I1102" s="73"/>
      <c r="J1102" s="7"/>
      <c r="K1102" s="73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</row>
    <row r="1103" spans="1:28" ht="13.2">
      <c r="A1103" s="7"/>
      <c r="B1103" s="7"/>
      <c r="C1103" s="7"/>
      <c r="D1103" s="7"/>
      <c r="E1103" s="75"/>
      <c r="F1103" s="75"/>
      <c r="G1103" s="7"/>
      <c r="H1103" s="7"/>
      <c r="I1103" s="73"/>
      <c r="J1103" s="7"/>
      <c r="K1103" s="73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</row>
    <row r="1104" spans="1:28" ht="13.2">
      <c r="A1104" s="7"/>
      <c r="B1104" s="7"/>
      <c r="C1104" s="7"/>
      <c r="D1104" s="7"/>
      <c r="E1104" s="75"/>
      <c r="F1104" s="75"/>
      <c r="G1104" s="7"/>
      <c r="H1104" s="7"/>
      <c r="I1104" s="73"/>
      <c r="J1104" s="7"/>
      <c r="K1104" s="73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</row>
    <row r="1105" spans="1:28" ht="13.2">
      <c r="A1105" s="7"/>
      <c r="B1105" s="7"/>
      <c r="C1105" s="7"/>
      <c r="D1105" s="7"/>
      <c r="E1105" s="75"/>
      <c r="F1105" s="75"/>
      <c r="G1105" s="7"/>
      <c r="H1105" s="7"/>
      <c r="I1105" s="73"/>
      <c r="J1105" s="7"/>
      <c r="K1105" s="73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</row>
    <row r="1106" spans="1:28" ht="13.2">
      <c r="A1106" s="7"/>
      <c r="B1106" s="7"/>
      <c r="C1106" s="7"/>
      <c r="D1106" s="7"/>
      <c r="E1106" s="75"/>
      <c r="F1106" s="75"/>
      <c r="G1106" s="7"/>
      <c r="H1106" s="7"/>
      <c r="I1106" s="73"/>
      <c r="J1106" s="7"/>
      <c r="K1106" s="73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</row>
    <row r="1107" spans="1:28" ht="13.2">
      <c r="A1107" s="7"/>
      <c r="B1107" s="7"/>
      <c r="C1107" s="7"/>
      <c r="D1107" s="7"/>
      <c r="E1107" s="75"/>
      <c r="F1107" s="75"/>
      <c r="G1107" s="7"/>
      <c r="H1107" s="7"/>
      <c r="I1107" s="73"/>
      <c r="J1107" s="7"/>
      <c r="K1107" s="73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</row>
    <row r="1108" spans="1:28" ht="13.2">
      <c r="A1108" s="7"/>
      <c r="B1108" s="7"/>
      <c r="C1108" s="7"/>
      <c r="D1108" s="7"/>
      <c r="E1108" s="75"/>
      <c r="F1108" s="75"/>
      <c r="G1108" s="7"/>
      <c r="H1108" s="7"/>
      <c r="I1108" s="73"/>
      <c r="J1108" s="7"/>
      <c r="K1108" s="73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</row>
    <row r="1109" spans="1:28" ht="13.2">
      <c r="A1109" s="7"/>
      <c r="B1109" s="7"/>
      <c r="C1109" s="7"/>
      <c r="D1109" s="7"/>
      <c r="E1109" s="75"/>
      <c r="F1109" s="75"/>
      <c r="G1109" s="7"/>
      <c r="H1109" s="7"/>
      <c r="I1109" s="73"/>
      <c r="J1109" s="7"/>
      <c r="K1109" s="73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</row>
    <row r="1110" spans="1:28" ht="13.2">
      <c r="A1110" s="7"/>
      <c r="B1110" s="7"/>
      <c r="C1110" s="7"/>
      <c r="D1110" s="7"/>
      <c r="E1110" s="75"/>
      <c r="F1110" s="75"/>
      <c r="G1110" s="7"/>
      <c r="H1110" s="7"/>
      <c r="I1110" s="73"/>
      <c r="J1110" s="7"/>
      <c r="K1110" s="73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</row>
    <row r="1111" spans="1:28" ht="13.2">
      <c r="A1111" s="7"/>
      <c r="B1111" s="7"/>
      <c r="C1111" s="7"/>
      <c r="D1111" s="7"/>
      <c r="E1111" s="75"/>
      <c r="F1111" s="75"/>
      <c r="G1111" s="7"/>
      <c r="H1111" s="7"/>
      <c r="I1111" s="73"/>
      <c r="J1111" s="7"/>
      <c r="K1111" s="73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</row>
    <row r="1112" spans="1:28" ht="13.2">
      <c r="A1112" s="7"/>
      <c r="B1112" s="7"/>
      <c r="C1112" s="7"/>
      <c r="D1112" s="7"/>
      <c r="E1112" s="75"/>
      <c r="F1112" s="75"/>
      <c r="G1112" s="7"/>
      <c r="H1112" s="7"/>
      <c r="I1112" s="73"/>
      <c r="J1112" s="7"/>
      <c r="K1112" s="73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</row>
    <row r="1113" spans="1:28" ht="13.2">
      <c r="A1113" s="7"/>
      <c r="B1113" s="7"/>
      <c r="C1113" s="7"/>
      <c r="D1113" s="7"/>
      <c r="E1113" s="75"/>
      <c r="F1113" s="75"/>
      <c r="G1113" s="7"/>
      <c r="H1113" s="7"/>
      <c r="I1113" s="73"/>
      <c r="J1113" s="7"/>
      <c r="K1113" s="73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</row>
    <row r="1114" spans="1:28" ht="13.2">
      <c r="A1114" s="7"/>
      <c r="B1114" s="7"/>
      <c r="C1114" s="7"/>
      <c r="D1114" s="7"/>
      <c r="E1114" s="75"/>
      <c r="F1114" s="75"/>
      <c r="G1114" s="7"/>
      <c r="H1114" s="7"/>
      <c r="I1114" s="73"/>
      <c r="J1114" s="7"/>
      <c r="K1114" s="73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</row>
    <row r="1115" spans="1:28" ht="13.2">
      <c r="A1115" s="7"/>
      <c r="B1115" s="7"/>
      <c r="C1115" s="7"/>
      <c r="D1115" s="7"/>
      <c r="E1115" s="75"/>
      <c r="F1115" s="75"/>
      <c r="G1115" s="7"/>
      <c r="H1115" s="7"/>
      <c r="I1115" s="73"/>
      <c r="J1115" s="7"/>
      <c r="K1115" s="73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</row>
    <row r="1116" spans="1:28" ht="13.2">
      <c r="A1116" s="7"/>
      <c r="B1116" s="7"/>
      <c r="C1116" s="7"/>
      <c r="D1116" s="7"/>
      <c r="E1116" s="75"/>
      <c r="F1116" s="75"/>
      <c r="G1116" s="7"/>
      <c r="H1116" s="7"/>
      <c r="I1116" s="73"/>
      <c r="J1116" s="7"/>
      <c r="K1116" s="73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</row>
    <row r="1117" spans="1:28" ht="13.2">
      <c r="A1117" s="7"/>
      <c r="B1117" s="7"/>
      <c r="C1117" s="7"/>
      <c r="D1117" s="7"/>
      <c r="E1117" s="75"/>
      <c r="F1117" s="75"/>
      <c r="G1117" s="7"/>
      <c r="H1117" s="7"/>
      <c r="I1117" s="73"/>
      <c r="J1117" s="7"/>
      <c r="K1117" s="73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</row>
    <row r="1118" spans="1:28" ht="13.2">
      <c r="A1118" s="7"/>
      <c r="B1118" s="7"/>
      <c r="C1118" s="7"/>
      <c r="D1118" s="7"/>
      <c r="E1118" s="75"/>
      <c r="F1118" s="75"/>
      <c r="G1118" s="7"/>
      <c r="H1118" s="7"/>
      <c r="I1118" s="73"/>
      <c r="J1118" s="7"/>
      <c r="K1118" s="73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</row>
    <row r="1119" spans="1:28" ht="13.2">
      <c r="A1119" s="7"/>
      <c r="B1119" s="7"/>
      <c r="C1119" s="7"/>
      <c r="D1119" s="7"/>
      <c r="E1119" s="75"/>
      <c r="F1119" s="75"/>
      <c r="G1119" s="7"/>
      <c r="H1119" s="7"/>
      <c r="I1119" s="73"/>
      <c r="J1119" s="7"/>
      <c r="K1119" s="73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</row>
    <row r="1120" spans="1:28" ht="13.2">
      <c r="A1120" s="7"/>
      <c r="B1120" s="7"/>
      <c r="C1120" s="7"/>
      <c r="D1120" s="7"/>
      <c r="E1120" s="75"/>
      <c r="F1120" s="75"/>
      <c r="G1120" s="7"/>
      <c r="H1120" s="7"/>
      <c r="I1120" s="73"/>
      <c r="J1120" s="7"/>
      <c r="K1120" s="73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</row>
    <row r="1121" spans="1:28" ht="13.2">
      <c r="A1121" s="7"/>
      <c r="B1121" s="7"/>
      <c r="C1121" s="7"/>
      <c r="D1121" s="7"/>
      <c r="E1121" s="75"/>
      <c r="F1121" s="75"/>
      <c r="G1121" s="7"/>
      <c r="H1121" s="7"/>
      <c r="I1121" s="73"/>
      <c r="J1121" s="7"/>
      <c r="K1121" s="73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</row>
    <row r="1122" spans="1:28" ht="13.2">
      <c r="A1122" s="7"/>
      <c r="B1122" s="7"/>
      <c r="C1122" s="7"/>
      <c r="D1122" s="7"/>
      <c r="E1122" s="75"/>
      <c r="F1122" s="75"/>
      <c r="G1122" s="7"/>
      <c r="H1122" s="7"/>
      <c r="I1122" s="73"/>
      <c r="J1122" s="7"/>
      <c r="K1122" s="73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</row>
    <row r="1123" spans="1:28" ht="13.2">
      <c r="A1123" s="7"/>
      <c r="B1123" s="7"/>
      <c r="C1123" s="7"/>
      <c r="D1123" s="7"/>
      <c r="E1123" s="75"/>
      <c r="F1123" s="75"/>
      <c r="G1123" s="7"/>
      <c r="H1123" s="7"/>
      <c r="I1123" s="73"/>
      <c r="J1123" s="7"/>
      <c r="K1123" s="73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</row>
    <row r="1124" spans="1:28" ht="13.2">
      <c r="A1124" s="7"/>
      <c r="B1124" s="7"/>
      <c r="C1124" s="7"/>
      <c r="D1124" s="7"/>
      <c r="E1124" s="75"/>
      <c r="F1124" s="75"/>
      <c r="G1124" s="7"/>
      <c r="H1124" s="7"/>
      <c r="I1124" s="73"/>
      <c r="J1124" s="7"/>
      <c r="K1124" s="73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</row>
    <row r="1125" spans="1:28" ht="13.2">
      <c r="A1125" s="7"/>
      <c r="B1125" s="7"/>
      <c r="C1125" s="7"/>
      <c r="D1125" s="7"/>
      <c r="E1125" s="75"/>
      <c r="F1125" s="75"/>
      <c r="G1125" s="7"/>
      <c r="H1125" s="7"/>
      <c r="I1125" s="73"/>
      <c r="J1125" s="7"/>
      <c r="K1125" s="73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</row>
    <row r="1126" spans="1:28" ht="13.2">
      <c r="A1126" s="7"/>
      <c r="B1126" s="7"/>
      <c r="C1126" s="7"/>
      <c r="D1126" s="7"/>
      <c r="E1126" s="75"/>
      <c r="F1126" s="75"/>
      <c r="G1126" s="7"/>
      <c r="H1126" s="7"/>
      <c r="I1126" s="73"/>
      <c r="J1126" s="7"/>
      <c r="K1126" s="73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</row>
    <row r="1127" spans="1:28" ht="13.2">
      <c r="A1127" s="7"/>
      <c r="B1127" s="7"/>
      <c r="C1127" s="7"/>
      <c r="D1127" s="7"/>
      <c r="E1127" s="75"/>
      <c r="F1127" s="75"/>
      <c r="G1127" s="7"/>
      <c r="H1127" s="7"/>
      <c r="I1127" s="73"/>
      <c r="J1127" s="7"/>
      <c r="K1127" s="73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</row>
    <row r="1128" spans="1:28" ht="13.2">
      <c r="A1128" s="7"/>
      <c r="B1128" s="7"/>
      <c r="C1128" s="7"/>
      <c r="D1128" s="7"/>
      <c r="E1128" s="75"/>
      <c r="F1128" s="75"/>
      <c r="G1128" s="7"/>
      <c r="H1128" s="7"/>
      <c r="I1128" s="73"/>
      <c r="J1128" s="7"/>
      <c r="K1128" s="73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</row>
    <row r="1129" spans="1:28" ht="13.2">
      <c r="A1129" s="7"/>
      <c r="B1129" s="7"/>
      <c r="C1129" s="7"/>
      <c r="D1129" s="7"/>
      <c r="E1129" s="75"/>
      <c r="F1129" s="75"/>
      <c r="G1129" s="7"/>
      <c r="H1129" s="7"/>
      <c r="I1129" s="73"/>
      <c r="J1129" s="7"/>
      <c r="K1129" s="73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</row>
    <row r="1130" spans="1:28" ht="13.2">
      <c r="A1130" s="7"/>
      <c r="B1130" s="7"/>
      <c r="C1130" s="7"/>
      <c r="D1130" s="7"/>
      <c r="E1130" s="75"/>
      <c r="F1130" s="75"/>
      <c r="G1130" s="7"/>
      <c r="H1130" s="7"/>
      <c r="I1130" s="73"/>
      <c r="J1130" s="7"/>
      <c r="K1130" s="73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</row>
    <row r="1131" spans="1:28" ht="13.2">
      <c r="A1131" s="7"/>
      <c r="B1131" s="7"/>
      <c r="C1131" s="7"/>
      <c r="D1131" s="7"/>
      <c r="E1131" s="75"/>
      <c r="F1131" s="75"/>
      <c r="G1131" s="7"/>
      <c r="H1131" s="7"/>
      <c r="I1131" s="73"/>
      <c r="J1131" s="7"/>
      <c r="K1131" s="73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</row>
    <row r="1132" spans="1:28" ht="13.2">
      <c r="A1132" s="7"/>
      <c r="B1132" s="7"/>
      <c r="C1132" s="7"/>
      <c r="D1132" s="7"/>
      <c r="E1132" s="75"/>
      <c r="F1132" s="75"/>
      <c r="G1132" s="7"/>
      <c r="H1132" s="7"/>
      <c r="I1132" s="73"/>
      <c r="J1132" s="7"/>
      <c r="K1132" s="73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</row>
    <row r="1133" spans="1:28" ht="13.2">
      <c r="A1133" s="7"/>
      <c r="B1133" s="7"/>
      <c r="C1133" s="7"/>
      <c r="D1133" s="7"/>
      <c r="E1133" s="75"/>
      <c r="F1133" s="75"/>
      <c r="G1133" s="7"/>
      <c r="H1133" s="7"/>
      <c r="I1133" s="73"/>
      <c r="J1133" s="7"/>
      <c r="K1133" s="73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</row>
    <row r="1134" spans="1:28" ht="13.2">
      <c r="A1134" s="7"/>
      <c r="B1134" s="7"/>
      <c r="C1134" s="7"/>
      <c r="D1134" s="7"/>
      <c r="E1134" s="75"/>
      <c r="F1134" s="75"/>
      <c r="G1134" s="7"/>
      <c r="H1134" s="7"/>
      <c r="I1134" s="73"/>
      <c r="J1134" s="7"/>
      <c r="K1134" s="73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</row>
    <row r="1135" spans="1:28" ht="13.2">
      <c r="A1135" s="7"/>
      <c r="B1135" s="7"/>
      <c r="C1135" s="7"/>
      <c r="D1135" s="7"/>
      <c r="E1135" s="75"/>
      <c r="F1135" s="75"/>
      <c r="G1135" s="7"/>
      <c r="H1135" s="7"/>
      <c r="I1135" s="73"/>
      <c r="J1135" s="7"/>
      <c r="K1135" s="73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</row>
    <row r="1136" spans="1:28" ht="13.2">
      <c r="A1136" s="7"/>
      <c r="B1136" s="7"/>
      <c r="C1136" s="7"/>
      <c r="D1136" s="7"/>
      <c r="E1136" s="75"/>
      <c r="F1136" s="75"/>
      <c r="G1136" s="7"/>
      <c r="H1136" s="7"/>
      <c r="I1136" s="73"/>
      <c r="J1136" s="7"/>
      <c r="K1136" s="73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</row>
    <row r="1137" spans="1:28" ht="13.2">
      <c r="A1137" s="7"/>
      <c r="B1137" s="7"/>
      <c r="C1137" s="7"/>
      <c r="D1137" s="7"/>
      <c r="E1137" s="75"/>
      <c r="F1137" s="75"/>
      <c r="G1137" s="7"/>
      <c r="H1137" s="7"/>
      <c r="I1137" s="73"/>
      <c r="J1137" s="7"/>
      <c r="K1137" s="73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</row>
    <row r="1138" spans="1:28" ht="13.2">
      <c r="A1138" s="7"/>
      <c r="B1138" s="7"/>
      <c r="C1138" s="7"/>
      <c r="D1138" s="7"/>
      <c r="E1138" s="75"/>
      <c r="F1138" s="75"/>
      <c r="G1138" s="7"/>
      <c r="H1138" s="7"/>
      <c r="I1138" s="73"/>
      <c r="J1138" s="7"/>
      <c r="K1138" s="73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</row>
    <row r="1139" spans="1:28" ht="13.2">
      <c r="A1139" s="7"/>
      <c r="B1139" s="7"/>
      <c r="C1139" s="7"/>
      <c r="D1139" s="7"/>
      <c r="E1139" s="75"/>
      <c r="F1139" s="75"/>
      <c r="G1139" s="7"/>
      <c r="H1139" s="7"/>
      <c r="I1139" s="73"/>
      <c r="J1139" s="7"/>
      <c r="K1139" s="73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</row>
    <row r="1140" spans="1:28" ht="13.2">
      <c r="A1140" s="7"/>
      <c r="B1140" s="7"/>
      <c r="C1140" s="7"/>
      <c r="D1140" s="7"/>
      <c r="E1140" s="75"/>
      <c r="F1140" s="75"/>
      <c r="G1140" s="7"/>
      <c r="H1140" s="7"/>
      <c r="I1140" s="73"/>
      <c r="J1140" s="7"/>
      <c r="K1140" s="73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</row>
    <row r="1141" spans="1:28" ht="13.2">
      <c r="A1141" s="7"/>
      <c r="B1141" s="7"/>
      <c r="C1141" s="7"/>
      <c r="D1141" s="7"/>
      <c r="E1141" s="75"/>
      <c r="F1141" s="75"/>
      <c r="G1141" s="7"/>
      <c r="H1141" s="7"/>
      <c r="I1141" s="73"/>
      <c r="J1141" s="7"/>
      <c r="K1141" s="73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</row>
    <row r="1142" spans="1:28" ht="13.2">
      <c r="A1142" s="7"/>
      <c r="B1142" s="7"/>
      <c r="C1142" s="7"/>
      <c r="D1142" s="7"/>
      <c r="E1142" s="75"/>
      <c r="F1142" s="75"/>
      <c r="G1142" s="7"/>
      <c r="H1142" s="7"/>
      <c r="I1142" s="73"/>
      <c r="J1142" s="7"/>
      <c r="K1142" s="73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</row>
    <row r="1143" spans="1:28" ht="13.2">
      <c r="A1143" s="7"/>
      <c r="B1143" s="7"/>
      <c r="C1143" s="7"/>
      <c r="D1143" s="7"/>
      <c r="E1143" s="75"/>
      <c r="F1143" s="75"/>
      <c r="G1143" s="7"/>
      <c r="H1143" s="7"/>
      <c r="I1143" s="73"/>
      <c r="J1143" s="7"/>
      <c r="K1143" s="73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</row>
    <row r="1144" spans="1:28" ht="13.2">
      <c r="A1144" s="7"/>
      <c r="B1144" s="7"/>
      <c r="C1144" s="7"/>
      <c r="D1144" s="7"/>
      <c r="E1144" s="75"/>
      <c r="F1144" s="75"/>
      <c r="G1144" s="7"/>
      <c r="H1144" s="7"/>
      <c r="I1144" s="73"/>
      <c r="J1144" s="7"/>
      <c r="K1144" s="73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</row>
    <row r="1145" spans="1:28" ht="13.2">
      <c r="A1145" s="7"/>
      <c r="B1145" s="7"/>
      <c r="C1145" s="7"/>
      <c r="D1145" s="7"/>
      <c r="E1145" s="75"/>
      <c r="F1145" s="75"/>
      <c r="G1145" s="7"/>
      <c r="H1145" s="7"/>
      <c r="I1145" s="73"/>
      <c r="J1145" s="7"/>
      <c r="K1145" s="73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</row>
    <row r="1146" spans="1:28" ht="13.2">
      <c r="A1146" s="7"/>
      <c r="B1146" s="7"/>
      <c r="C1146" s="7"/>
      <c r="D1146" s="7"/>
      <c r="E1146" s="75"/>
      <c r="F1146" s="75"/>
      <c r="G1146" s="7"/>
      <c r="H1146" s="7"/>
      <c r="I1146" s="73"/>
      <c r="J1146" s="7"/>
      <c r="K1146" s="73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</row>
    <row r="1147" spans="1:28" ht="13.2">
      <c r="A1147" s="7"/>
      <c r="B1147" s="7"/>
      <c r="C1147" s="7"/>
      <c r="D1147" s="7"/>
      <c r="E1147" s="75"/>
      <c r="F1147" s="75"/>
      <c r="G1147" s="7"/>
      <c r="H1147" s="7"/>
      <c r="I1147" s="73"/>
      <c r="J1147" s="7"/>
      <c r="K1147" s="73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</row>
    <row r="1148" spans="1:28" ht="13.2">
      <c r="A1148" s="7"/>
      <c r="B1148" s="7"/>
      <c r="C1148" s="7"/>
      <c r="D1148" s="7"/>
      <c r="E1148" s="75"/>
      <c r="F1148" s="75"/>
      <c r="G1148" s="7"/>
      <c r="H1148" s="7"/>
      <c r="I1148" s="73"/>
      <c r="J1148" s="7"/>
      <c r="K1148" s="73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</row>
    <row r="1149" spans="1:28" ht="13.2">
      <c r="A1149" s="7"/>
      <c r="B1149" s="7"/>
      <c r="C1149" s="7"/>
      <c r="D1149" s="7"/>
      <c r="E1149" s="75"/>
      <c r="F1149" s="75"/>
      <c r="G1149" s="7"/>
      <c r="H1149" s="7"/>
      <c r="I1149" s="73"/>
      <c r="J1149" s="7"/>
      <c r="K1149" s="73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</row>
    <row r="1150" spans="1:28" ht="13.2">
      <c r="A1150" s="7"/>
      <c r="B1150" s="7"/>
      <c r="C1150" s="7"/>
      <c r="D1150" s="7"/>
      <c r="E1150" s="75"/>
      <c r="F1150" s="75"/>
      <c r="G1150" s="7"/>
      <c r="H1150" s="7"/>
      <c r="I1150" s="73"/>
      <c r="J1150" s="7"/>
      <c r="K1150" s="73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</row>
    <row r="1151" spans="1:28" ht="13.2">
      <c r="A1151" s="7"/>
      <c r="B1151" s="7"/>
      <c r="C1151" s="7"/>
      <c r="D1151" s="7"/>
      <c r="E1151" s="75"/>
      <c r="F1151" s="75"/>
      <c r="G1151" s="7"/>
      <c r="H1151" s="7"/>
      <c r="I1151" s="73"/>
      <c r="J1151" s="7"/>
      <c r="K1151" s="73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</row>
    <row r="1152" spans="1:28" ht="13.2">
      <c r="A1152" s="7"/>
      <c r="B1152" s="7"/>
      <c r="C1152" s="7"/>
      <c r="D1152" s="7"/>
      <c r="E1152" s="75"/>
      <c r="F1152" s="75"/>
      <c r="G1152" s="7"/>
      <c r="H1152" s="7"/>
      <c r="I1152" s="73"/>
      <c r="J1152" s="7"/>
      <c r="K1152" s="73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</row>
    <row r="1153" spans="1:28" ht="13.2">
      <c r="A1153" s="7"/>
      <c r="B1153" s="7"/>
      <c r="C1153" s="7"/>
      <c r="D1153" s="7"/>
      <c r="E1153" s="75"/>
      <c r="F1153" s="75"/>
      <c r="G1153" s="7"/>
      <c r="H1153" s="7"/>
      <c r="I1153" s="73"/>
      <c r="J1153" s="7"/>
      <c r="K1153" s="73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</row>
    <row r="1154" spans="1:28" ht="13.2">
      <c r="A1154" s="7"/>
      <c r="B1154" s="7"/>
      <c r="C1154" s="7"/>
      <c r="D1154" s="7"/>
      <c r="E1154" s="75"/>
      <c r="F1154" s="75"/>
      <c r="G1154" s="7"/>
      <c r="H1154" s="7"/>
      <c r="I1154" s="73"/>
      <c r="J1154" s="7"/>
      <c r="K1154" s="73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</row>
    <row r="1155" spans="1:28" ht="13.2">
      <c r="A1155" s="7"/>
      <c r="B1155" s="7"/>
      <c r="C1155" s="7"/>
      <c r="D1155" s="7"/>
      <c r="E1155" s="75"/>
      <c r="F1155" s="75"/>
      <c r="G1155" s="7"/>
      <c r="H1155" s="7"/>
      <c r="I1155" s="73"/>
      <c r="J1155" s="7"/>
      <c r="K1155" s="73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</row>
    <row r="1156" spans="1:28" ht="13.2">
      <c r="A1156" s="7"/>
      <c r="B1156" s="7"/>
      <c r="C1156" s="7"/>
      <c r="D1156" s="7"/>
      <c r="E1156" s="75"/>
      <c r="F1156" s="75"/>
      <c r="G1156" s="7"/>
      <c r="H1156" s="7"/>
      <c r="I1156" s="73"/>
      <c r="J1156" s="7"/>
      <c r="K1156" s="73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</row>
    <row r="1157" spans="1:28" ht="13.2">
      <c r="A1157" s="7"/>
      <c r="B1157" s="7"/>
      <c r="C1157" s="7"/>
      <c r="D1157" s="7"/>
      <c r="E1157" s="75"/>
      <c r="F1157" s="75"/>
      <c r="G1157" s="7"/>
      <c r="H1157" s="7"/>
      <c r="I1157" s="73"/>
      <c r="J1157" s="7"/>
      <c r="K1157" s="73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</row>
    <row r="1158" spans="1:28" ht="13.2">
      <c r="A1158" s="7"/>
      <c r="B1158" s="7"/>
      <c r="C1158" s="7"/>
      <c r="D1158" s="7"/>
      <c r="E1158" s="75"/>
      <c r="F1158" s="75"/>
      <c r="G1158" s="7"/>
      <c r="H1158" s="7"/>
      <c r="I1158" s="73"/>
      <c r="J1158" s="7"/>
      <c r="K1158" s="73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</row>
    <row r="1159" spans="1:28" ht="13.2">
      <c r="A1159" s="7"/>
      <c r="B1159" s="7"/>
      <c r="C1159" s="7"/>
      <c r="D1159" s="7"/>
      <c r="E1159" s="75"/>
      <c r="F1159" s="75"/>
      <c r="G1159" s="7"/>
      <c r="H1159" s="7"/>
      <c r="I1159" s="73"/>
      <c r="J1159" s="7"/>
      <c r="K1159" s="73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</row>
    <row r="1160" spans="1:28" ht="13.2">
      <c r="A1160" s="7"/>
      <c r="B1160" s="7"/>
      <c r="C1160" s="7"/>
      <c r="D1160" s="7"/>
      <c r="E1160" s="75"/>
      <c r="F1160" s="75"/>
      <c r="G1160" s="7"/>
      <c r="H1160" s="7"/>
      <c r="I1160" s="73"/>
      <c r="J1160" s="7"/>
      <c r="K1160" s="73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</row>
    <row r="1161" spans="1:28" ht="13.2">
      <c r="A1161" s="7"/>
      <c r="B1161" s="7"/>
      <c r="C1161" s="7"/>
      <c r="D1161" s="7"/>
      <c r="E1161" s="75"/>
      <c r="F1161" s="75"/>
      <c r="G1161" s="7"/>
      <c r="H1161" s="7"/>
      <c r="I1161" s="73"/>
      <c r="J1161" s="7"/>
      <c r="K1161" s="73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</row>
    <row r="1162" spans="1:28" ht="13.2">
      <c r="A1162" s="7"/>
      <c r="B1162" s="7"/>
      <c r="C1162" s="7"/>
      <c r="D1162" s="7"/>
      <c r="E1162" s="75"/>
      <c r="F1162" s="75"/>
      <c r="G1162" s="7"/>
      <c r="H1162" s="7"/>
      <c r="I1162" s="73"/>
      <c r="J1162" s="7"/>
      <c r="K1162" s="73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</row>
    <row r="1163" spans="1:28" ht="13.2">
      <c r="A1163" s="7"/>
      <c r="B1163" s="7"/>
      <c r="C1163" s="7"/>
      <c r="D1163" s="7"/>
      <c r="E1163" s="75"/>
      <c r="F1163" s="75"/>
      <c r="G1163" s="7"/>
      <c r="H1163" s="7"/>
      <c r="I1163" s="73"/>
      <c r="J1163" s="7"/>
      <c r="K1163" s="73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</row>
    <row r="1164" spans="1:28" ht="13.2">
      <c r="A1164" s="7"/>
      <c r="B1164" s="7"/>
      <c r="C1164" s="7"/>
      <c r="D1164" s="7"/>
      <c r="E1164" s="75"/>
      <c r="F1164" s="75"/>
      <c r="G1164" s="7"/>
      <c r="H1164" s="7"/>
      <c r="I1164" s="73"/>
      <c r="J1164" s="7"/>
      <c r="K1164" s="73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</row>
    <row r="1165" spans="1:28" ht="13.2">
      <c r="A1165" s="7"/>
      <c r="B1165" s="7"/>
      <c r="C1165" s="7"/>
      <c r="D1165" s="7"/>
      <c r="E1165" s="75"/>
      <c r="F1165" s="75"/>
      <c r="G1165" s="7"/>
      <c r="H1165" s="7"/>
      <c r="I1165" s="73"/>
      <c r="J1165" s="7"/>
      <c r="K1165" s="73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</row>
    <row r="1166" spans="1:28" ht="13.2">
      <c r="A1166" s="7"/>
      <c r="B1166" s="7"/>
      <c r="C1166" s="7"/>
      <c r="D1166" s="7"/>
      <c r="E1166" s="75"/>
      <c r="F1166" s="75"/>
      <c r="G1166" s="7"/>
      <c r="H1166" s="7"/>
      <c r="I1166" s="73"/>
      <c r="J1166" s="7"/>
      <c r="K1166" s="73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</row>
    <row r="1167" spans="1:28" ht="13.2">
      <c r="A1167" s="7"/>
      <c r="B1167" s="7"/>
      <c r="C1167" s="7"/>
      <c r="D1167" s="7"/>
      <c r="E1167" s="75"/>
      <c r="F1167" s="75"/>
      <c r="G1167" s="7"/>
      <c r="H1167" s="7"/>
      <c r="I1167" s="73"/>
      <c r="J1167" s="7"/>
      <c r="K1167" s="73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</row>
    <row r="1168" spans="1:28" ht="13.2">
      <c r="A1168" s="7"/>
      <c r="B1168" s="7"/>
      <c r="C1168" s="7"/>
      <c r="D1168" s="7"/>
      <c r="E1168" s="75"/>
      <c r="F1168" s="75"/>
      <c r="G1168" s="7"/>
      <c r="H1168" s="7"/>
      <c r="I1168" s="73"/>
      <c r="J1168" s="7"/>
      <c r="K1168" s="73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</row>
    <row r="1169" spans="1:28" ht="13.2">
      <c r="A1169" s="7"/>
      <c r="B1169" s="7"/>
      <c r="C1169" s="7"/>
      <c r="D1169" s="7"/>
      <c r="E1169" s="75"/>
      <c r="F1169" s="75"/>
      <c r="G1169" s="7"/>
      <c r="H1169" s="7"/>
      <c r="I1169" s="73"/>
      <c r="J1169" s="7"/>
      <c r="K1169" s="73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</row>
    <row r="1170" spans="1:28" ht="13.2">
      <c r="A1170" s="7"/>
      <c r="B1170" s="7"/>
      <c r="C1170" s="7"/>
      <c r="D1170" s="7"/>
      <c r="E1170" s="75"/>
      <c r="F1170" s="75"/>
      <c r="G1170" s="7"/>
      <c r="H1170" s="7"/>
      <c r="I1170" s="73"/>
      <c r="J1170" s="7"/>
      <c r="K1170" s="73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</row>
    <row r="1171" spans="1:28" ht="13.2">
      <c r="A1171" s="7"/>
      <c r="B1171" s="7"/>
      <c r="C1171" s="7"/>
      <c r="D1171" s="7"/>
      <c r="E1171" s="75"/>
      <c r="F1171" s="75"/>
      <c r="G1171" s="7"/>
      <c r="H1171" s="7"/>
      <c r="I1171" s="73"/>
      <c r="J1171" s="7"/>
      <c r="K1171" s="73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</row>
    <row r="1172" spans="1:28" ht="13.2">
      <c r="A1172" s="7"/>
      <c r="B1172" s="7"/>
      <c r="C1172" s="7"/>
      <c r="D1172" s="7"/>
      <c r="E1172" s="75"/>
      <c r="F1172" s="75"/>
      <c r="G1172" s="7"/>
      <c r="H1172" s="7"/>
      <c r="I1172" s="73"/>
      <c r="J1172" s="7"/>
      <c r="K1172" s="73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</row>
    <row r="1173" spans="1:28" ht="13.2">
      <c r="A1173" s="7"/>
      <c r="B1173" s="7"/>
      <c r="C1173" s="7"/>
      <c r="D1173" s="7"/>
      <c r="E1173" s="75"/>
      <c r="F1173" s="75"/>
      <c r="G1173" s="7"/>
      <c r="H1173" s="7"/>
      <c r="I1173" s="73"/>
      <c r="J1173" s="7"/>
      <c r="K1173" s="73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</row>
    <row r="1174" spans="1:28" ht="13.2">
      <c r="A1174" s="7"/>
      <c r="B1174" s="7"/>
      <c r="C1174" s="7"/>
      <c r="D1174" s="7"/>
      <c r="E1174" s="75"/>
      <c r="F1174" s="75"/>
      <c r="G1174" s="7"/>
      <c r="H1174" s="7"/>
      <c r="I1174" s="73"/>
      <c r="J1174" s="7"/>
      <c r="K1174" s="73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</row>
    <row r="1175" spans="1:28" ht="13.2">
      <c r="A1175" s="7"/>
      <c r="B1175" s="7"/>
      <c r="C1175" s="7"/>
      <c r="D1175" s="7"/>
      <c r="E1175" s="75"/>
      <c r="F1175" s="75"/>
      <c r="G1175" s="7"/>
      <c r="H1175" s="7"/>
      <c r="I1175" s="73"/>
      <c r="J1175" s="7"/>
      <c r="K1175" s="73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</row>
    <row r="1176" spans="1:28" ht="13.2">
      <c r="A1176" s="7"/>
      <c r="B1176" s="7"/>
      <c r="C1176" s="7"/>
      <c r="D1176" s="7"/>
      <c r="E1176" s="75"/>
      <c r="F1176" s="75"/>
      <c r="G1176" s="7"/>
      <c r="H1176" s="7"/>
      <c r="I1176" s="73"/>
      <c r="J1176" s="7"/>
      <c r="K1176" s="73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</row>
    <row r="1177" spans="1:28" ht="13.2">
      <c r="A1177" s="7"/>
      <c r="B1177" s="7"/>
      <c r="C1177" s="7"/>
      <c r="D1177" s="7"/>
      <c r="E1177" s="75"/>
      <c r="F1177" s="75"/>
      <c r="G1177" s="7"/>
      <c r="H1177" s="7"/>
      <c r="I1177" s="73"/>
      <c r="J1177" s="7"/>
      <c r="K1177" s="73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</row>
    <row r="1178" spans="1:28" ht="13.2">
      <c r="A1178" s="7"/>
      <c r="B1178" s="7"/>
      <c r="C1178" s="7"/>
      <c r="D1178" s="7"/>
      <c r="E1178" s="75"/>
      <c r="F1178" s="75"/>
      <c r="G1178" s="7"/>
      <c r="H1178" s="7"/>
      <c r="I1178" s="73"/>
      <c r="J1178" s="7"/>
      <c r="K1178" s="73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</row>
    <row r="1179" spans="1:28" ht="13.2">
      <c r="A1179" s="7"/>
      <c r="B1179" s="7"/>
      <c r="C1179" s="7"/>
      <c r="D1179" s="7"/>
      <c r="E1179" s="75"/>
      <c r="F1179" s="75"/>
      <c r="G1179" s="7"/>
      <c r="H1179" s="7"/>
      <c r="I1179" s="73"/>
      <c r="J1179" s="7"/>
      <c r="K1179" s="73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</row>
    <row r="1180" spans="1:28" ht="13.2">
      <c r="A1180" s="7"/>
      <c r="B1180" s="7"/>
      <c r="C1180" s="7"/>
      <c r="D1180" s="7"/>
      <c r="E1180" s="75"/>
      <c r="F1180" s="75"/>
      <c r="G1180" s="7"/>
      <c r="H1180" s="7"/>
      <c r="I1180" s="73"/>
      <c r="J1180" s="7"/>
      <c r="K1180" s="73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</row>
    <row r="1181" spans="1:28" ht="13.2">
      <c r="A1181" s="7"/>
      <c r="B1181" s="7"/>
      <c r="C1181" s="7"/>
      <c r="D1181" s="7"/>
      <c r="E1181" s="75"/>
      <c r="F1181" s="75"/>
      <c r="G1181" s="7"/>
      <c r="H1181" s="7"/>
      <c r="I1181" s="73"/>
      <c r="J1181" s="7"/>
      <c r="K1181" s="73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</row>
    <row r="1182" spans="1:28" ht="13.2">
      <c r="A1182" s="7"/>
      <c r="B1182" s="7"/>
      <c r="C1182" s="7"/>
      <c r="D1182" s="7"/>
      <c r="E1182" s="75"/>
      <c r="F1182" s="75"/>
      <c r="G1182" s="7"/>
      <c r="H1182" s="7"/>
      <c r="I1182" s="73"/>
      <c r="J1182" s="7"/>
      <c r="K1182" s="73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</row>
    <row r="1183" spans="1:28" ht="13.2">
      <c r="A1183" s="7"/>
      <c r="B1183" s="7"/>
      <c r="C1183" s="7"/>
      <c r="D1183" s="7"/>
      <c r="E1183" s="75"/>
      <c r="F1183" s="75"/>
      <c r="G1183" s="7"/>
      <c r="H1183" s="7"/>
      <c r="I1183" s="73"/>
      <c r="J1183" s="7"/>
      <c r="K1183" s="73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</row>
    <row r="1184" spans="1:28" ht="13.2">
      <c r="A1184" s="7"/>
      <c r="B1184" s="7"/>
      <c r="C1184" s="7"/>
      <c r="D1184" s="7"/>
      <c r="E1184" s="75"/>
      <c r="F1184" s="75"/>
      <c r="G1184" s="7"/>
      <c r="H1184" s="7"/>
      <c r="I1184" s="73"/>
      <c r="J1184" s="7"/>
      <c r="K1184" s="73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</row>
    <row r="1185" spans="1:28" ht="13.2">
      <c r="A1185" s="7"/>
      <c r="B1185" s="7"/>
      <c r="C1185" s="7"/>
      <c r="D1185" s="7"/>
      <c r="E1185" s="75"/>
      <c r="F1185" s="75"/>
      <c r="G1185" s="7"/>
      <c r="H1185" s="7"/>
      <c r="I1185" s="73"/>
      <c r="J1185" s="7"/>
      <c r="K1185" s="73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</row>
    <row r="1186" spans="1:28" ht="13.2">
      <c r="A1186" s="7"/>
      <c r="B1186" s="7"/>
      <c r="C1186" s="7"/>
      <c r="D1186" s="7"/>
      <c r="E1186" s="75"/>
      <c r="F1186" s="75"/>
      <c r="G1186" s="7"/>
      <c r="H1186" s="7"/>
      <c r="I1186" s="73"/>
      <c r="J1186" s="7"/>
      <c r="K1186" s="73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</row>
    <row r="1187" spans="1:28" ht="13.2">
      <c r="A1187" s="7"/>
      <c r="B1187" s="7"/>
      <c r="C1187" s="7"/>
      <c r="D1187" s="7"/>
      <c r="E1187" s="75"/>
      <c r="F1187" s="75"/>
      <c r="G1187" s="7"/>
      <c r="H1187" s="7"/>
      <c r="I1187" s="73"/>
      <c r="J1187" s="7"/>
      <c r="K1187" s="73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</row>
    <row r="1188" spans="1:28" ht="13.2">
      <c r="A1188" s="7"/>
      <c r="B1188" s="7"/>
      <c r="C1188" s="7"/>
      <c r="D1188" s="7"/>
      <c r="E1188" s="75"/>
      <c r="F1188" s="75"/>
      <c r="G1188" s="7"/>
      <c r="H1188" s="7"/>
      <c r="I1188" s="73"/>
      <c r="J1188" s="7"/>
      <c r="K1188" s="73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</row>
    <row r="1189" spans="1:28" ht="13.2">
      <c r="A1189" s="7"/>
      <c r="B1189" s="7"/>
      <c r="C1189" s="7"/>
      <c r="D1189" s="7"/>
      <c r="E1189" s="75"/>
      <c r="F1189" s="75"/>
      <c r="G1189" s="7"/>
      <c r="H1189" s="7"/>
      <c r="I1189" s="73"/>
      <c r="J1189" s="7"/>
      <c r="K1189" s="73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</row>
    <row r="1190" spans="1:28" ht="13.2">
      <c r="A1190" s="7"/>
      <c r="B1190" s="7"/>
      <c r="C1190" s="7"/>
      <c r="D1190" s="7"/>
      <c r="E1190" s="75"/>
      <c r="F1190" s="75"/>
      <c r="G1190" s="7"/>
      <c r="H1190" s="7"/>
      <c r="I1190" s="73"/>
      <c r="J1190" s="7"/>
      <c r="K1190" s="73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</row>
    <row r="1191" spans="1:28" ht="13.2">
      <c r="A1191" s="7"/>
      <c r="B1191" s="7"/>
      <c r="C1191" s="7"/>
      <c r="D1191" s="7"/>
      <c r="E1191" s="75"/>
      <c r="F1191" s="75"/>
      <c r="G1191" s="7"/>
      <c r="H1191" s="7"/>
      <c r="I1191" s="73"/>
      <c r="J1191" s="7"/>
      <c r="K1191" s="73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</row>
    <row r="1192" spans="1:28" ht="13.2">
      <c r="A1192" s="7"/>
      <c r="B1192" s="7"/>
      <c r="C1192" s="7"/>
      <c r="D1192" s="7"/>
      <c r="E1192" s="75"/>
      <c r="F1192" s="75"/>
      <c r="G1192" s="7"/>
      <c r="H1192" s="7"/>
      <c r="I1192" s="73"/>
      <c r="J1192" s="7"/>
      <c r="K1192" s="73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</row>
    <row r="1193" spans="1:28" ht="13.2">
      <c r="A1193" s="7"/>
      <c r="B1193" s="7"/>
      <c r="C1193" s="7"/>
      <c r="D1193" s="7"/>
      <c r="E1193" s="75"/>
      <c r="F1193" s="75"/>
      <c r="G1193" s="7"/>
      <c r="H1193" s="7"/>
      <c r="I1193" s="73"/>
      <c r="J1193" s="7"/>
      <c r="K1193" s="73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</row>
    <row r="1194" spans="1:28" ht="13.2">
      <c r="A1194" s="7"/>
      <c r="B1194" s="7"/>
      <c r="C1194" s="7"/>
      <c r="D1194" s="7"/>
      <c r="E1194" s="75"/>
      <c r="F1194" s="75"/>
      <c r="G1194" s="7"/>
      <c r="H1194" s="7"/>
      <c r="I1194" s="73"/>
      <c r="J1194" s="7"/>
      <c r="K1194" s="73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</row>
    <row r="1195" spans="1:28" ht="13.2">
      <c r="A1195" s="7"/>
      <c r="B1195" s="7"/>
      <c r="C1195" s="7"/>
      <c r="D1195" s="7"/>
      <c r="E1195" s="75"/>
      <c r="F1195" s="75"/>
      <c r="G1195" s="7"/>
      <c r="H1195" s="7"/>
      <c r="I1195" s="73"/>
      <c r="J1195" s="7"/>
      <c r="K1195" s="73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</row>
    <row r="1196" spans="1:28" ht="13.2">
      <c r="A1196" s="7"/>
      <c r="B1196" s="7"/>
      <c r="C1196" s="7"/>
      <c r="D1196" s="7"/>
      <c r="E1196" s="75"/>
      <c r="F1196" s="75"/>
      <c r="G1196" s="7"/>
      <c r="H1196" s="7"/>
      <c r="I1196" s="73"/>
      <c r="J1196" s="7"/>
      <c r="K1196" s="73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</row>
    <row r="1197" spans="1:28" ht="13.2">
      <c r="A1197" s="7"/>
      <c r="B1197" s="7"/>
      <c r="C1197" s="7"/>
      <c r="D1197" s="7"/>
      <c r="E1197" s="75"/>
      <c r="F1197" s="75"/>
      <c r="G1197" s="7"/>
      <c r="H1197" s="7"/>
      <c r="I1197" s="73"/>
      <c r="J1197" s="7"/>
      <c r="K1197" s="73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</row>
    <row r="1198" spans="1:28" ht="13.2">
      <c r="A1198" s="7"/>
      <c r="B1198" s="7"/>
      <c r="C1198" s="7"/>
      <c r="D1198" s="7"/>
      <c r="E1198" s="75"/>
      <c r="F1198" s="75"/>
      <c r="G1198" s="7"/>
      <c r="H1198" s="7"/>
      <c r="I1198" s="73"/>
      <c r="J1198" s="7"/>
      <c r="K1198" s="73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</row>
    <row r="1199" spans="1:28" ht="13.2">
      <c r="A1199" s="7"/>
      <c r="B1199" s="7"/>
      <c r="C1199" s="7"/>
      <c r="D1199" s="7"/>
      <c r="E1199" s="75"/>
      <c r="F1199" s="75"/>
      <c r="G1199" s="7"/>
      <c r="H1199" s="7"/>
      <c r="I1199" s="73"/>
      <c r="J1199" s="7"/>
      <c r="K1199" s="73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</row>
    <row r="1200" spans="1:28" ht="13.2">
      <c r="A1200" s="7"/>
      <c r="B1200" s="7"/>
      <c r="C1200" s="7"/>
      <c r="D1200" s="7"/>
      <c r="E1200" s="75"/>
      <c r="F1200" s="75"/>
      <c r="G1200" s="7"/>
      <c r="H1200" s="7"/>
      <c r="I1200" s="73"/>
      <c r="J1200" s="7"/>
      <c r="K1200" s="73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</row>
    <row r="1201" spans="1:28" ht="13.2">
      <c r="A1201" s="7"/>
      <c r="B1201" s="7"/>
      <c r="C1201" s="7"/>
      <c r="D1201" s="7"/>
      <c r="E1201" s="75"/>
      <c r="F1201" s="75"/>
      <c r="G1201" s="7"/>
      <c r="H1201" s="7"/>
      <c r="I1201" s="73"/>
      <c r="J1201" s="7"/>
      <c r="K1201" s="73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</row>
    <row r="1202" spans="1:28" ht="13.2">
      <c r="A1202" s="7"/>
      <c r="B1202" s="7"/>
      <c r="C1202" s="7"/>
      <c r="D1202" s="7"/>
      <c r="E1202" s="75"/>
      <c r="F1202" s="75"/>
      <c r="G1202" s="7"/>
      <c r="H1202" s="7"/>
      <c r="I1202" s="73"/>
      <c r="J1202" s="7"/>
      <c r="K1202" s="73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</row>
    <row r="1203" spans="1:28" ht="13.2">
      <c r="A1203" s="7"/>
      <c r="B1203" s="7"/>
      <c r="C1203" s="7"/>
      <c r="D1203" s="7"/>
      <c r="E1203" s="75"/>
      <c r="F1203" s="75"/>
      <c r="G1203" s="7"/>
      <c r="H1203" s="7"/>
      <c r="I1203" s="73"/>
      <c r="J1203" s="7"/>
      <c r="K1203" s="73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</row>
    <row r="1204" spans="1:28" ht="13.2">
      <c r="A1204" s="7"/>
      <c r="B1204" s="7"/>
      <c r="C1204" s="7"/>
      <c r="D1204" s="7"/>
      <c r="E1204" s="75"/>
      <c r="F1204" s="75"/>
      <c r="G1204" s="7"/>
      <c r="H1204" s="7"/>
      <c r="I1204" s="73"/>
      <c r="J1204" s="7"/>
      <c r="K1204" s="73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</row>
    <row r="1205" spans="1:28" ht="13.2">
      <c r="A1205" s="7"/>
      <c r="B1205" s="7"/>
      <c r="C1205" s="7"/>
      <c r="D1205" s="7"/>
      <c r="E1205" s="75"/>
      <c r="F1205" s="75"/>
      <c r="G1205" s="7"/>
      <c r="H1205" s="7"/>
      <c r="I1205" s="73"/>
      <c r="J1205" s="7"/>
      <c r="K1205" s="73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</row>
    <row r="1206" spans="1:28" ht="13.2">
      <c r="A1206" s="7"/>
      <c r="B1206" s="7"/>
      <c r="C1206" s="7"/>
      <c r="D1206" s="7"/>
      <c r="E1206" s="75"/>
      <c r="F1206" s="75"/>
      <c r="G1206" s="7"/>
      <c r="H1206" s="7"/>
      <c r="I1206" s="73"/>
      <c r="J1206" s="7"/>
      <c r="K1206" s="73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</row>
    <row r="1207" spans="1:28" ht="13.2">
      <c r="A1207" s="7"/>
      <c r="B1207" s="7"/>
      <c r="C1207" s="7"/>
      <c r="D1207" s="7"/>
      <c r="E1207" s="75"/>
      <c r="F1207" s="75"/>
      <c r="G1207" s="7"/>
      <c r="H1207" s="7"/>
      <c r="I1207" s="73"/>
      <c r="J1207" s="7"/>
      <c r="K1207" s="73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</row>
    <row r="1208" spans="1:28" ht="13.2">
      <c r="A1208" s="7"/>
      <c r="B1208" s="7"/>
      <c r="C1208" s="7"/>
      <c r="D1208" s="7"/>
      <c r="E1208" s="75"/>
      <c r="F1208" s="75"/>
      <c r="G1208" s="7"/>
      <c r="H1208" s="7"/>
      <c r="I1208" s="73"/>
      <c r="J1208" s="7"/>
      <c r="K1208" s="73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</row>
    <row r="1209" spans="1:28" ht="13.2">
      <c r="A1209" s="7"/>
      <c r="B1209" s="7"/>
      <c r="C1209" s="7"/>
      <c r="D1209" s="7"/>
      <c r="E1209" s="75"/>
      <c r="F1209" s="75"/>
      <c r="G1209" s="7"/>
      <c r="H1209" s="7"/>
      <c r="I1209" s="73"/>
      <c r="J1209" s="7"/>
      <c r="K1209" s="73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</row>
    <row r="1210" spans="1:28" ht="13.2">
      <c r="A1210" s="7"/>
      <c r="B1210" s="7"/>
      <c r="C1210" s="7"/>
      <c r="D1210" s="7"/>
      <c r="E1210" s="75"/>
      <c r="F1210" s="75"/>
      <c r="G1210" s="7"/>
      <c r="H1210" s="7"/>
      <c r="I1210" s="73"/>
      <c r="J1210" s="7"/>
      <c r="K1210" s="73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</row>
    <row r="1211" spans="1:28" ht="13.2">
      <c r="A1211" s="7"/>
      <c r="B1211" s="7"/>
      <c r="C1211" s="7"/>
      <c r="D1211" s="7"/>
      <c r="E1211" s="75"/>
      <c r="F1211" s="75"/>
      <c r="G1211" s="7"/>
      <c r="H1211" s="7"/>
      <c r="I1211" s="73"/>
      <c r="J1211" s="7"/>
      <c r="K1211" s="73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</row>
    <row r="1212" spans="1:28" ht="13.2">
      <c r="A1212" s="7"/>
      <c r="B1212" s="7"/>
      <c r="C1212" s="7"/>
      <c r="D1212" s="7"/>
      <c r="E1212" s="75"/>
      <c r="F1212" s="75"/>
      <c r="G1212" s="7"/>
      <c r="H1212" s="7"/>
      <c r="I1212" s="73"/>
      <c r="J1212" s="7"/>
      <c r="K1212" s="73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</row>
    <row r="1213" spans="1:28" ht="13.2">
      <c r="A1213" s="7"/>
      <c r="B1213" s="7"/>
      <c r="C1213" s="7"/>
      <c r="D1213" s="7"/>
      <c r="E1213" s="75"/>
      <c r="F1213" s="75"/>
      <c r="G1213" s="7"/>
      <c r="H1213" s="7"/>
      <c r="I1213" s="73"/>
      <c r="J1213" s="7"/>
      <c r="K1213" s="73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</row>
    <row r="1214" spans="1:28" ht="13.2">
      <c r="A1214" s="7"/>
      <c r="B1214" s="7"/>
      <c r="C1214" s="7"/>
      <c r="D1214" s="7"/>
      <c r="E1214" s="75"/>
      <c r="F1214" s="75"/>
      <c r="G1214" s="7"/>
      <c r="H1214" s="7"/>
      <c r="I1214" s="73"/>
      <c r="J1214" s="7"/>
      <c r="K1214" s="73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</row>
    <row r="1215" spans="1:28" ht="13.2">
      <c r="A1215" s="7"/>
      <c r="B1215" s="7"/>
      <c r="C1215" s="7"/>
      <c r="D1215" s="7"/>
      <c r="E1215" s="75"/>
      <c r="F1215" s="75"/>
      <c r="G1215" s="7"/>
      <c r="H1215" s="7"/>
      <c r="I1215" s="73"/>
      <c r="J1215" s="7"/>
      <c r="K1215" s="73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</row>
    <row r="1216" spans="1:28" ht="13.2">
      <c r="A1216" s="7"/>
      <c r="B1216" s="7"/>
      <c r="C1216" s="7"/>
      <c r="D1216" s="7"/>
      <c r="E1216" s="75"/>
      <c r="F1216" s="75"/>
      <c r="G1216" s="7"/>
      <c r="H1216" s="7"/>
      <c r="I1216" s="73"/>
      <c r="J1216" s="7"/>
      <c r="K1216" s="73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</row>
    <row r="1217" spans="1:28" ht="13.2">
      <c r="A1217" s="7"/>
      <c r="B1217" s="7"/>
      <c r="C1217" s="7"/>
      <c r="D1217" s="7"/>
      <c r="E1217" s="75"/>
      <c r="F1217" s="75"/>
      <c r="G1217" s="7"/>
      <c r="H1217" s="7"/>
      <c r="I1217" s="73"/>
      <c r="J1217" s="7"/>
      <c r="K1217" s="73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</row>
    <row r="1218" spans="1:28" ht="13.2">
      <c r="A1218" s="7"/>
      <c r="B1218" s="7"/>
      <c r="C1218" s="7"/>
      <c r="D1218" s="7"/>
      <c r="E1218" s="75"/>
      <c r="F1218" s="75"/>
      <c r="G1218" s="7"/>
      <c r="H1218" s="7"/>
      <c r="I1218" s="73"/>
      <c r="J1218" s="7"/>
      <c r="K1218" s="73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</row>
    <row r="1219" spans="1:28" ht="13.2">
      <c r="A1219" s="7"/>
      <c r="B1219" s="7"/>
      <c r="C1219" s="7"/>
      <c r="D1219" s="7"/>
      <c r="E1219" s="75"/>
      <c r="F1219" s="75"/>
      <c r="G1219" s="7"/>
      <c r="H1219" s="7"/>
      <c r="I1219" s="73"/>
      <c r="J1219" s="7"/>
      <c r="K1219" s="73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</row>
    <row r="1220" spans="1:28" ht="13.2">
      <c r="A1220" s="7"/>
      <c r="B1220" s="7"/>
      <c r="C1220" s="7"/>
      <c r="D1220" s="7"/>
      <c r="E1220" s="75"/>
      <c r="F1220" s="75"/>
      <c r="G1220" s="7"/>
      <c r="H1220" s="7"/>
      <c r="I1220" s="73"/>
      <c r="J1220" s="7"/>
      <c r="K1220" s="73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</row>
    <row r="1221" spans="1:28" ht="13.2">
      <c r="A1221" s="7"/>
      <c r="B1221" s="7"/>
      <c r="C1221" s="7"/>
      <c r="D1221" s="7"/>
      <c r="E1221" s="75"/>
      <c r="F1221" s="75"/>
      <c r="G1221" s="7"/>
      <c r="H1221" s="7"/>
      <c r="I1221" s="73"/>
      <c r="J1221" s="7"/>
      <c r="K1221" s="73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</row>
    <row r="1222" spans="1:28" ht="13.2">
      <c r="A1222" s="7"/>
      <c r="B1222" s="7"/>
      <c r="C1222" s="7"/>
      <c r="D1222" s="7"/>
      <c r="E1222" s="75"/>
      <c r="F1222" s="75"/>
      <c r="G1222" s="7"/>
      <c r="H1222" s="7"/>
      <c r="I1222" s="73"/>
      <c r="J1222" s="7"/>
      <c r="K1222" s="73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</row>
    <row r="1223" spans="1:28" ht="13.2">
      <c r="A1223" s="7"/>
      <c r="B1223" s="7"/>
      <c r="C1223" s="7"/>
      <c r="D1223" s="7"/>
      <c r="E1223" s="75"/>
      <c r="F1223" s="75"/>
      <c r="G1223" s="7"/>
      <c r="H1223" s="7"/>
      <c r="I1223" s="73"/>
      <c r="J1223" s="7"/>
      <c r="K1223" s="73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</row>
    <row r="1224" spans="1:28" ht="13.2">
      <c r="A1224" s="7"/>
      <c r="B1224" s="7"/>
      <c r="C1224" s="7"/>
      <c r="D1224" s="7"/>
      <c r="E1224" s="75"/>
      <c r="F1224" s="75"/>
      <c r="G1224" s="7"/>
      <c r="H1224" s="7"/>
      <c r="I1224" s="73"/>
      <c r="J1224" s="7"/>
      <c r="K1224" s="73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</row>
    <row r="1225" spans="1:28" ht="13.2">
      <c r="A1225" s="7"/>
      <c r="B1225" s="7"/>
      <c r="C1225" s="7"/>
      <c r="D1225" s="7"/>
      <c r="E1225" s="75"/>
      <c r="F1225" s="75"/>
      <c r="G1225" s="7"/>
      <c r="H1225" s="7"/>
      <c r="I1225" s="73"/>
      <c r="J1225" s="7"/>
      <c r="K1225" s="73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</row>
    <row r="1226" spans="1:28" ht="13.2">
      <c r="A1226" s="7"/>
      <c r="B1226" s="7"/>
      <c r="C1226" s="7"/>
      <c r="D1226" s="7"/>
      <c r="E1226" s="75"/>
      <c r="F1226" s="75"/>
      <c r="G1226" s="7"/>
      <c r="H1226" s="7"/>
      <c r="I1226" s="73"/>
      <c r="J1226" s="7"/>
      <c r="K1226" s="73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</row>
    <row r="1227" spans="1:28" ht="13.2">
      <c r="A1227" s="7"/>
      <c r="B1227" s="7"/>
      <c r="C1227" s="7"/>
      <c r="D1227" s="7"/>
      <c r="E1227" s="75"/>
      <c r="F1227" s="75"/>
      <c r="G1227" s="7"/>
      <c r="H1227" s="7"/>
      <c r="I1227" s="73"/>
      <c r="J1227" s="7"/>
      <c r="K1227" s="73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</row>
    <row r="1228" spans="1:28" ht="13.2">
      <c r="A1228" s="7"/>
      <c r="B1228" s="7"/>
      <c r="C1228" s="7"/>
      <c r="D1228" s="7"/>
      <c r="E1228" s="75"/>
      <c r="F1228" s="75"/>
      <c r="G1228" s="7"/>
      <c r="H1228" s="7"/>
      <c r="I1228" s="73"/>
      <c r="J1228" s="7"/>
      <c r="K1228" s="73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</row>
    <row r="1229" spans="1:28" ht="13.2">
      <c r="A1229" s="7"/>
      <c r="B1229" s="7"/>
      <c r="C1229" s="7"/>
      <c r="D1229" s="7"/>
      <c r="E1229" s="75"/>
      <c r="F1229" s="75"/>
      <c r="G1229" s="7"/>
      <c r="H1229" s="7"/>
      <c r="I1229" s="73"/>
      <c r="J1229" s="7"/>
      <c r="K1229" s="73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</row>
    <row r="1230" spans="1:28" ht="13.2">
      <c r="A1230" s="7"/>
      <c r="B1230" s="7"/>
      <c r="C1230" s="7"/>
      <c r="D1230" s="7"/>
      <c r="E1230" s="75"/>
      <c r="F1230" s="75"/>
      <c r="G1230" s="7"/>
      <c r="H1230" s="7"/>
      <c r="I1230" s="73"/>
      <c r="J1230" s="7"/>
      <c r="K1230" s="73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</row>
    <row r="1231" spans="1:28" ht="13.2">
      <c r="A1231" s="7"/>
      <c r="B1231" s="7"/>
      <c r="C1231" s="7"/>
      <c r="D1231" s="7"/>
      <c r="E1231" s="75"/>
      <c r="F1231" s="75"/>
      <c r="G1231" s="7"/>
      <c r="H1231" s="7"/>
      <c r="I1231" s="73"/>
      <c r="J1231" s="7"/>
      <c r="K1231" s="73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</row>
    <row r="1232" spans="1:28" ht="13.2">
      <c r="A1232" s="7"/>
      <c r="B1232" s="7"/>
      <c r="C1232" s="7"/>
      <c r="D1232" s="7"/>
      <c r="E1232" s="75"/>
      <c r="F1232" s="75"/>
      <c r="G1232" s="7"/>
      <c r="H1232" s="7"/>
      <c r="I1232" s="73"/>
      <c r="J1232" s="7"/>
      <c r="K1232" s="73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</row>
    <row r="1233" spans="1:28" ht="13.2">
      <c r="A1233" s="7"/>
      <c r="B1233" s="7"/>
      <c r="C1233" s="7"/>
      <c r="D1233" s="7"/>
      <c r="E1233" s="75"/>
      <c r="F1233" s="75"/>
      <c r="G1233" s="7"/>
      <c r="H1233" s="7"/>
      <c r="I1233" s="73"/>
      <c r="J1233" s="7"/>
      <c r="K1233" s="73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</row>
    <row r="1234" spans="1:28" ht="13.2">
      <c r="A1234" s="7"/>
      <c r="B1234" s="7"/>
      <c r="C1234" s="7"/>
      <c r="D1234" s="7"/>
      <c r="E1234" s="75"/>
      <c r="F1234" s="75"/>
      <c r="G1234" s="7"/>
      <c r="H1234" s="7"/>
      <c r="I1234" s="73"/>
      <c r="J1234" s="7"/>
      <c r="K1234" s="73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</row>
    <row r="1235" spans="1:28" ht="13.2">
      <c r="A1235" s="7"/>
      <c r="B1235" s="7"/>
      <c r="C1235" s="7"/>
      <c r="D1235" s="7"/>
      <c r="E1235" s="75"/>
      <c r="F1235" s="75"/>
      <c r="G1235" s="7"/>
      <c r="H1235" s="7"/>
      <c r="I1235" s="73"/>
      <c r="J1235" s="7"/>
      <c r="K1235" s="73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</row>
    <row r="1236" spans="1:28" ht="13.2">
      <c r="A1236" s="7"/>
      <c r="B1236" s="7"/>
      <c r="C1236" s="7"/>
      <c r="D1236" s="7"/>
      <c r="E1236" s="75"/>
      <c r="F1236" s="75"/>
      <c r="G1236" s="7"/>
      <c r="H1236" s="7"/>
      <c r="I1236" s="73"/>
      <c r="J1236" s="7"/>
      <c r="K1236" s="73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</row>
    <row r="1237" spans="1:28" ht="13.2">
      <c r="A1237" s="7"/>
      <c r="B1237" s="7"/>
      <c r="C1237" s="7"/>
      <c r="D1237" s="7"/>
      <c r="E1237" s="75"/>
      <c r="F1237" s="75"/>
      <c r="G1237" s="7"/>
      <c r="H1237" s="7"/>
      <c r="I1237" s="73"/>
      <c r="J1237" s="7"/>
      <c r="K1237" s="73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</row>
    <row r="1238" spans="1:28" ht="13.2">
      <c r="A1238" s="7"/>
      <c r="B1238" s="7"/>
      <c r="C1238" s="7"/>
      <c r="D1238" s="7"/>
      <c r="E1238" s="75"/>
      <c r="F1238" s="75"/>
      <c r="G1238" s="7"/>
      <c r="H1238" s="7"/>
      <c r="I1238" s="73"/>
      <c r="J1238" s="7"/>
      <c r="K1238" s="73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</row>
    <row r="1239" spans="1:28" ht="13.2">
      <c r="A1239" s="7"/>
      <c r="B1239" s="7"/>
      <c r="C1239" s="7"/>
      <c r="D1239" s="7"/>
      <c r="E1239" s="75"/>
      <c r="F1239" s="75"/>
      <c r="G1239" s="7"/>
      <c r="H1239" s="7"/>
      <c r="I1239" s="73"/>
      <c r="J1239" s="7"/>
      <c r="K1239" s="73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</row>
    <row r="1240" spans="1:28" ht="13.2">
      <c r="A1240" s="7"/>
      <c r="B1240" s="7"/>
      <c r="C1240" s="7"/>
      <c r="D1240" s="7"/>
      <c r="E1240" s="75"/>
      <c r="F1240" s="75"/>
      <c r="G1240" s="7"/>
      <c r="H1240" s="7"/>
      <c r="I1240" s="73"/>
      <c r="J1240" s="7"/>
      <c r="K1240" s="73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</row>
    <row r="1241" spans="1:28" ht="13.2">
      <c r="A1241" s="7"/>
      <c r="B1241" s="7"/>
      <c r="C1241" s="7"/>
      <c r="D1241" s="7"/>
      <c r="E1241" s="75"/>
      <c r="F1241" s="75"/>
      <c r="G1241" s="7"/>
      <c r="H1241" s="7"/>
      <c r="I1241" s="73"/>
      <c r="J1241" s="7"/>
      <c r="K1241" s="73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</row>
    <row r="1242" spans="1:28" ht="13.2">
      <c r="A1242" s="7"/>
      <c r="B1242" s="7"/>
      <c r="C1242" s="7"/>
      <c r="D1242" s="7"/>
      <c r="E1242" s="75"/>
      <c r="F1242" s="75"/>
      <c r="G1242" s="7"/>
      <c r="H1242" s="7"/>
      <c r="I1242" s="73"/>
      <c r="J1242" s="7"/>
      <c r="K1242" s="73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</row>
    <row r="1243" spans="1:28" ht="13.2">
      <c r="A1243" s="7"/>
      <c r="B1243" s="7"/>
      <c r="C1243" s="7"/>
      <c r="D1243" s="7"/>
      <c r="E1243" s="75"/>
      <c r="F1243" s="75"/>
      <c r="G1243" s="7"/>
      <c r="H1243" s="7"/>
      <c r="I1243" s="73"/>
      <c r="J1243" s="7"/>
      <c r="K1243" s="73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</row>
    <row r="1244" spans="1:28" ht="13.2">
      <c r="A1244" s="7"/>
      <c r="B1244" s="7"/>
      <c r="C1244" s="7"/>
      <c r="D1244" s="7"/>
      <c r="E1244" s="75"/>
      <c r="F1244" s="75"/>
      <c r="G1244" s="7"/>
      <c r="H1244" s="7"/>
      <c r="I1244" s="73"/>
      <c r="J1244" s="7"/>
      <c r="K1244" s="73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</row>
    <row r="1245" spans="1:28" ht="13.2">
      <c r="A1245" s="7"/>
      <c r="B1245" s="7"/>
      <c r="C1245" s="7"/>
      <c r="D1245" s="7"/>
      <c r="E1245" s="75"/>
      <c r="F1245" s="75"/>
      <c r="G1245" s="7"/>
      <c r="H1245" s="7"/>
      <c r="I1245" s="73"/>
      <c r="J1245" s="7"/>
      <c r="K1245" s="73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</row>
    <row r="1246" spans="1:28" ht="13.2">
      <c r="A1246" s="7"/>
      <c r="B1246" s="7"/>
      <c r="C1246" s="7"/>
      <c r="D1246" s="7"/>
      <c r="E1246" s="75"/>
      <c r="F1246" s="75"/>
      <c r="G1246" s="7"/>
      <c r="H1246" s="7"/>
      <c r="I1246" s="73"/>
      <c r="J1246" s="7"/>
      <c r="K1246" s="73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</row>
    <row r="1247" spans="1:28" ht="13.2">
      <c r="A1247" s="7"/>
      <c r="B1247" s="7"/>
      <c r="C1247" s="7"/>
      <c r="D1247" s="7"/>
      <c r="E1247" s="75"/>
      <c r="F1247" s="75"/>
      <c r="G1247" s="7"/>
      <c r="H1247" s="7"/>
      <c r="I1247" s="73"/>
      <c r="J1247" s="7"/>
      <c r="K1247" s="73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</row>
    <row r="1248" spans="1:28" ht="13.2">
      <c r="A1248" s="7"/>
      <c r="B1248" s="7"/>
      <c r="C1248" s="7"/>
      <c r="D1248" s="7"/>
      <c r="E1248" s="75"/>
      <c r="F1248" s="75"/>
      <c r="G1248" s="7"/>
      <c r="H1248" s="7"/>
      <c r="I1248" s="73"/>
      <c r="J1248" s="7"/>
      <c r="K1248" s="73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</row>
    <row r="1249" spans="1:28" ht="13.2">
      <c r="A1249" s="7"/>
      <c r="B1249" s="7"/>
      <c r="C1249" s="7"/>
      <c r="D1249" s="7"/>
      <c r="E1249" s="75"/>
      <c r="F1249" s="75"/>
      <c r="G1249" s="7"/>
      <c r="H1249" s="7"/>
      <c r="I1249" s="73"/>
      <c r="J1249" s="7"/>
      <c r="K1249" s="73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</row>
    <row r="1250" spans="1:28" ht="13.2">
      <c r="A1250" s="7"/>
      <c r="B1250" s="7"/>
      <c r="C1250" s="7"/>
      <c r="D1250" s="7"/>
      <c r="E1250" s="75"/>
      <c r="F1250" s="75"/>
      <c r="G1250" s="7"/>
      <c r="H1250" s="7"/>
      <c r="I1250" s="73"/>
      <c r="J1250" s="7"/>
      <c r="K1250" s="73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</row>
    <row r="1251" spans="1:28" ht="13.2">
      <c r="A1251" s="7"/>
      <c r="B1251" s="7"/>
      <c r="C1251" s="7"/>
      <c r="D1251" s="7"/>
      <c r="E1251" s="75"/>
      <c r="F1251" s="75"/>
      <c r="G1251" s="7"/>
      <c r="H1251" s="7"/>
      <c r="I1251" s="73"/>
      <c r="J1251" s="7"/>
      <c r="K1251" s="73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</row>
    <row r="1252" spans="1:28" ht="13.2">
      <c r="A1252" s="7"/>
      <c r="B1252" s="7"/>
      <c r="C1252" s="7"/>
      <c r="D1252" s="7"/>
      <c r="E1252" s="75"/>
      <c r="F1252" s="75"/>
      <c r="G1252" s="7"/>
      <c r="H1252" s="7"/>
      <c r="I1252" s="73"/>
      <c r="J1252" s="7"/>
      <c r="K1252" s="73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</row>
    <row r="1253" spans="1:28" ht="13.2">
      <c r="A1253" s="7"/>
      <c r="B1253" s="7"/>
      <c r="C1253" s="7"/>
      <c r="D1253" s="7"/>
      <c r="E1253" s="75"/>
      <c r="F1253" s="75"/>
      <c r="G1253" s="7"/>
      <c r="H1253" s="7"/>
      <c r="I1253" s="73"/>
      <c r="J1253" s="7"/>
      <c r="K1253" s="73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</row>
    <row r="1254" spans="1:28" ht="13.2">
      <c r="A1254" s="7"/>
      <c r="B1254" s="7"/>
      <c r="C1254" s="7"/>
      <c r="D1254" s="7"/>
      <c r="E1254" s="75"/>
      <c r="F1254" s="75"/>
      <c r="G1254" s="7"/>
      <c r="H1254" s="7"/>
      <c r="I1254" s="73"/>
      <c r="J1254" s="7"/>
      <c r="K1254" s="73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</row>
    <row r="1255" spans="1:28" ht="13.2">
      <c r="A1255" s="7"/>
      <c r="B1255" s="7"/>
      <c r="C1255" s="7"/>
      <c r="D1255" s="7"/>
      <c r="E1255" s="75"/>
      <c r="F1255" s="75"/>
      <c r="G1255" s="7"/>
      <c r="H1255" s="7"/>
      <c r="I1255" s="73"/>
      <c r="J1255" s="7"/>
      <c r="K1255" s="73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</row>
    <row r="1256" spans="1:28" ht="13.2">
      <c r="A1256" s="7"/>
      <c r="B1256" s="7"/>
      <c r="C1256" s="7"/>
      <c r="D1256" s="7"/>
      <c r="E1256" s="75"/>
      <c r="F1256" s="75"/>
      <c r="G1256" s="7"/>
      <c r="H1256" s="7"/>
      <c r="I1256" s="73"/>
      <c r="J1256" s="7"/>
      <c r="K1256" s="73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</row>
    <row r="1257" spans="1:28" ht="13.2">
      <c r="A1257" s="7"/>
      <c r="B1257" s="7"/>
      <c r="C1257" s="7"/>
      <c r="D1257" s="7"/>
      <c r="E1257" s="75"/>
      <c r="F1257" s="75"/>
      <c r="G1257" s="7"/>
      <c r="H1257" s="7"/>
      <c r="I1257" s="73"/>
      <c r="J1257" s="7"/>
      <c r="K1257" s="73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</row>
    <row r="1258" spans="1:28" ht="13.2">
      <c r="A1258" s="7"/>
      <c r="B1258" s="7"/>
      <c r="C1258" s="7"/>
      <c r="D1258" s="7"/>
      <c r="E1258" s="75"/>
      <c r="F1258" s="75"/>
      <c r="G1258" s="7"/>
      <c r="H1258" s="7"/>
      <c r="I1258" s="73"/>
      <c r="J1258" s="7"/>
      <c r="K1258" s="73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</row>
    <row r="1259" spans="1:28" ht="13.2">
      <c r="A1259" s="7"/>
      <c r="B1259" s="7"/>
      <c r="C1259" s="7"/>
      <c r="D1259" s="7"/>
      <c r="E1259" s="75"/>
      <c r="F1259" s="75"/>
      <c r="G1259" s="7"/>
      <c r="H1259" s="7"/>
      <c r="I1259" s="73"/>
      <c r="J1259" s="7"/>
      <c r="K1259" s="73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</row>
    <row r="1260" spans="1:28" ht="13.2">
      <c r="A1260" s="7"/>
      <c r="B1260" s="7"/>
      <c r="C1260" s="7"/>
      <c r="D1260" s="7"/>
      <c r="E1260" s="75"/>
      <c r="F1260" s="75"/>
      <c r="G1260" s="7"/>
      <c r="H1260" s="7"/>
      <c r="I1260" s="73"/>
      <c r="J1260" s="7"/>
      <c r="K1260" s="73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</row>
    <row r="1261" spans="1:28" ht="13.2">
      <c r="A1261" s="7"/>
      <c r="B1261" s="7"/>
      <c r="C1261" s="7"/>
      <c r="D1261" s="7"/>
      <c r="E1261" s="75"/>
      <c r="F1261" s="75"/>
      <c r="G1261" s="7"/>
      <c r="H1261" s="7"/>
      <c r="I1261" s="73"/>
      <c r="J1261" s="7"/>
      <c r="K1261" s="73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</row>
    <row r="1262" spans="1:28" ht="13.2">
      <c r="A1262" s="7"/>
      <c r="B1262" s="7"/>
      <c r="C1262" s="7"/>
      <c r="D1262" s="7"/>
      <c r="E1262" s="75"/>
      <c r="F1262" s="75"/>
      <c r="G1262" s="7"/>
      <c r="H1262" s="7"/>
      <c r="I1262" s="73"/>
      <c r="J1262" s="7"/>
      <c r="K1262" s="73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</row>
    <row r="1263" spans="1:28" ht="13.2">
      <c r="A1263" s="7"/>
      <c r="B1263" s="7"/>
      <c r="C1263" s="7"/>
      <c r="D1263" s="7"/>
      <c r="E1263" s="75"/>
      <c r="F1263" s="75"/>
      <c r="G1263" s="7"/>
      <c r="H1263" s="7"/>
      <c r="I1263" s="73"/>
      <c r="J1263" s="7"/>
      <c r="K1263" s="73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</row>
    <row r="1264" spans="1:28" ht="13.2">
      <c r="A1264" s="7"/>
      <c r="B1264" s="7"/>
      <c r="C1264" s="7"/>
      <c r="D1264" s="7"/>
      <c r="E1264" s="75"/>
      <c r="F1264" s="75"/>
      <c r="G1264" s="7"/>
      <c r="H1264" s="7"/>
      <c r="I1264" s="73"/>
      <c r="J1264" s="7"/>
      <c r="K1264" s="73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</row>
    <row r="1265" spans="1:28" ht="13.2">
      <c r="A1265" s="7"/>
      <c r="B1265" s="7"/>
      <c r="C1265" s="7"/>
      <c r="D1265" s="7"/>
      <c r="E1265" s="75"/>
      <c r="F1265" s="75"/>
      <c r="G1265" s="7"/>
      <c r="H1265" s="7"/>
      <c r="I1265" s="73"/>
      <c r="J1265" s="7"/>
      <c r="K1265" s="73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</row>
    <row r="1266" spans="1:28" ht="13.2">
      <c r="A1266" s="7"/>
      <c r="B1266" s="7"/>
      <c r="C1266" s="7"/>
      <c r="D1266" s="7"/>
      <c r="E1266" s="75"/>
      <c r="F1266" s="75"/>
      <c r="G1266" s="7"/>
      <c r="H1266" s="7"/>
      <c r="I1266" s="73"/>
      <c r="J1266" s="7"/>
      <c r="K1266" s="73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</row>
    <row r="1267" spans="1:28" ht="13.2">
      <c r="A1267" s="7"/>
      <c r="B1267" s="7"/>
      <c r="C1267" s="7"/>
      <c r="D1267" s="7"/>
      <c r="E1267" s="75"/>
      <c r="F1267" s="75"/>
      <c r="G1267" s="7"/>
      <c r="H1267" s="7"/>
      <c r="I1267" s="73"/>
      <c r="J1267" s="7"/>
      <c r="K1267" s="73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</row>
    <row r="1268" spans="1:28" ht="13.2">
      <c r="A1268" s="7"/>
      <c r="B1268" s="7"/>
      <c r="C1268" s="7"/>
      <c r="D1268" s="7"/>
      <c r="E1268" s="75"/>
      <c r="F1268" s="75"/>
      <c r="G1268" s="7"/>
      <c r="H1268" s="7"/>
      <c r="I1268" s="73"/>
      <c r="J1268" s="7"/>
      <c r="K1268" s="73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</row>
    <row r="1269" spans="1:28" ht="13.2">
      <c r="A1269" s="7"/>
      <c r="B1269" s="7"/>
      <c r="C1269" s="7"/>
      <c r="D1269" s="7"/>
      <c r="E1269" s="75"/>
      <c r="F1269" s="75"/>
      <c r="G1269" s="7"/>
      <c r="H1269" s="7"/>
      <c r="I1269" s="73"/>
      <c r="J1269" s="7"/>
      <c r="K1269" s="73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</row>
    <row r="1270" spans="1:28" ht="13.2">
      <c r="A1270" s="7"/>
      <c r="B1270" s="7"/>
      <c r="C1270" s="7"/>
      <c r="D1270" s="7"/>
      <c r="E1270" s="75"/>
      <c r="F1270" s="75"/>
      <c r="G1270" s="7"/>
      <c r="H1270" s="7"/>
      <c r="I1270" s="73"/>
      <c r="J1270" s="7"/>
      <c r="K1270" s="73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</row>
    <row r="1271" spans="1:28" ht="13.2">
      <c r="A1271" s="7"/>
      <c r="B1271" s="7"/>
      <c r="C1271" s="7"/>
      <c r="D1271" s="7"/>
      <c r="E1271" s="75"/>
      <c r="F1271" s="75"/>
      <c r="G1271" s="7"/>
      <c r="H1271" s="7"/>
      <c r="I1271" s="73"/>
      <c r="J1271" s="7"/>
      <c r="K1271" s="73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</row>
    <row r="1272" spans="1:28" ht="13.2">
      <c r="A1272" s="7"/>
      <c r="B1272" s="7"/>
      <c r="C1272" s="7"/>
      <c r="D1272" s="7"/>
      <c r="E1272" s="75"/>
      <c r="F1272" s="75"/>
      <c r="G1272" s="7"/>
      <c r="H1272" s="7"/>
      <c r="I1272" s="73"/>
      <c r="J1272" s="7"/>
      <c r="K1272" s="73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</row>
    <row r="1273" spans="1:28" ht="13.2">
      <c r="A1273" s="7"/>
      <c r="B1273" s="7"/>
      <c r="C1273" s="7"/>
      <c r="D1273" s="7"/>
      <c r="E1273" s="75"/>
      <c r="F1273" s="75"/>
      <c r="G1273" s="7"/>
      <c r="H1273" s="7"/>
      <c r="I1273" s="73"/>
      <c r="J1273" s="7"/>
      <c r="K1273" s="73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</row>
    <row r="1274" spans="1:28" ht="13.2">
      <c r="A1274" s="7"/>
      <c r="B1274" s="7"/>
      <c r="C1274" s="7"/>
      <c r="D1274" s="7"/>
      <c r="E1274" s="75"/>
      <c r="F1274" s="75"/>
      <c r="G1274" s="7"/>
      <c r="H1274" s="7"/>
      <c r="I1274" s="73"/>
      <c r="J1274" s="7"/>
      <c r="K1274" s="73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</row>
    <row r="1275" spans="1:28" ht="13.2">
      <c r="A1275" s="7"/>
      <c r="B1275" s="7"/>
      <c r="C1275" s="7"/>
      <c r="D1275" s="7"/>
      <c r="E1275" s="75"/>
      <c r="F1275" s="75"/>
      <c r="G1275" s="7"/>
      <c r="H1275" s="7"/>
      <c r="I1275" s="73"/>
      <c r="J1275" s="7"/>
      <c r="K1275" s="73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</row>
    <row r="1276" spans="1:28" ht="13.2">
      <c r="A1276" s="7"/>
      <c r="B1276" s="7"/>
      <c r="C1276" s="7"/>
      <c r="D1276" s="7"/>
      <c r="E1276" s="75"/>
      <c r="F1276" s="75"/>
      <c r="G1276" s="7"/>
      <c r="H1276" s="7"/>
      <c r="I1276" s="73"/>
      <c r="J1276" s="7"/>
      <c r="K1276" s="73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</row>
    <row r="1277" spans="1:28" ht="13.2">
      <c r="A1277" s="7"/>
      <c r="B1277" s="7"/>
      <c r="C1277" s="7"/>
      <c r="D1277" s="7"/>
      <c r="E1277" s="75"/>
      <c r="F1277" s="75"/>
      <c r="G1277" s="7"/>
      <c r="H1277" s="7"/>
      <c r="I1277" s="73"/>
      <c r="J1277" s="7"/>
      <c r="K1277" s="73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</row>
    <row r="1278" spans="1:28" ht="13.2">
      <c r="A1278" s="7"/>
      <c r="B1278" s="7"/>
      <c r="C1278" s="7"/>
      <c r="D1278" s="7"/>
      <c r="E1278" s="75"/>
      <c r="F1278" s="75"/>
      <c r="G1278" s="7"/>
      <c r="H1278" s="7"/>
      <c r="I1278" s="73"/>
      <c r="J1278" s="7"/>
      <c r="K1278" s="73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</row>
    <row r="1279" spans="1:28" ht="13.2">
      <c r="A1279" s="7"/>
      <c r="B1279" s="7"/>
      <c r="C1279" s="7"/>
      <c r="D1279" s="7"/>
      <c r="E1279" s="75"/>
      <c r="F1279" s="75"/>
      <c r="G1279" s="7"/>
      <c r="H1279" s="7"/>
      <c r="I1279" s="73"/>
      <c r="J1279" s="7"/>
      <c r="K1279" s="73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</row>
    <row r="1280" spans="1:28" ht="13.2">
      <c r="A1280" s="7"/>
      <c r="B1280" s="7"/>
      <c r="C1280" s="7"/>
      <c r="D1280" s="7"/>
      <c r="E1280" s="75"/>
      <c r="F1280" s="75"/>
      <c r="G1280" s="7"/>
      <c r="H1280" s="7"/>
      <c r="I1280" s="73"/>
      <c r="J1280" s="7"/>
      <c r="K1280" s="73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</row>
    <row r="1281" spans="1:28" ht="13.2">
      <c r="A1281" s="7"/>
      <c r="B1281" s="7"/>
      <c r="C1281" s="7"/>
      <c r="D1281" s="7"/>
      <c r="E1281" s="75"/>
      <c r="F1281" s="75"/>
      <c r="G1281" s="7"/>
      <c r="H1281" s="7"/>
      <c r="I1281" s="73"/>
      <c r="J1281" s="7"/>
      <c r="K1281" s="73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</row>
    <row r="1282" spans="1:28" ht="13.2">
      <c r="A1282" s="7"/>
      <c r="B1282" s="7"/>
      <c r="C1282" s="7"/>
      <c r="D1282" s="7"/>
      <c r="E1282" s="75"/>
      <c r="F1282" s="75"/>
      <c r="G1282" s="7"/>
      <c r="H1282" s="7"/>
      <c r="I1282" s="73"/>
      <c r="J1282" s="7"/>
      <c r="K1282" s="73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</row>
    <row r="1283" spans="1:28" ht="13.2">
      <c r="A1283" s="7"/>
      <c r="B1283" s="7"/>
      <c r="C1283" s="7"/>
      <c r="D1283" s="7"/>
      <c r="E1283" s="75"/>
      <c r="F1283" s="75"/>
      <c r="G1283" s="7"/>
      <c r="H1283" s="7"/>
      <c r="I1283" s="73"/>
      <c r="J1283" s="7"/>
      <c r="K1283" s="73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</row>
    <row r="1284" spans="1:28" ht="13.2">
      <c r="A1284" s="7"/>
      <c r="B1284" s="7"/>
      <c r="C1284" s="7"/>
      <c r="D1284" s="7"/>
      <c r="E1284" s="75"/>
      <c r="F1284" s="75"/>
      <c r="G1284" s="7"/>
      <c r="H1284" s="7"/>
      <c r="I1284" s="73"/>
      <c r="J1284" s="7"/>
      <c r="K1284" s="73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</row>
    <row r="1285" spans="1:28" ht="13.2">
      <c r="A1285" s="7"/>
      <c r="B1285" s="7"/>
      <c r="C1285" s="7"/>
      <c r="D1285" s="7"/>
      <c r="E1285" s="75"/>
      <c r="F1285" s="75"/>
      <c r="G1285" s="7"/>
      <c r="H1285" s="7"/>
      <c r="I1285" s="73"/>
      <c r="J1285" s="7"/>
      <c r="K1285" s="73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</row>
    <row r="1286" spans="1:28" ht="13.2">
      <c r="A1286" s="7"/>
      <c r="B1286" s="7"/>
      <c r="C1286" s="7"/>
      <c r="D1286" s="7"/>
      <c r="E1286" s="75"/>
      <c r="F1286" s="75"/>
      <c r="G1286" s="7"/>
      <c r="H1286" s="7"/>
      <c r="I1286" s="73"/>
      <c r="J1286" s="7"/>
      <c r="K1286" s="73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</row>
    <row r="1287" spans="1:28" ht="13.2">
      <c r="C1287" s="126"/>
      <c r="D1287" s="126"/>
      <c r="E1287" s="150"/>
      <c r="F1287" s="150"/>
      <c r="I1287" s="74"/>
      <c r="K1287" s="151"/>
    </row>
    <row r="1288" spans="1:28" ht="13.2">
      <c r="C1288" s="126"/>
      <c r="D1288" s="126"/>
      <c r="E1288" s="150"/>
      <c r="F1288" s="150"/>
      <c r="I1288" s="74"/>
      <c r="K1288" s="151"/>
    </row>
    <row r="1289" spans="1:28" ht="13.2">
      <c r="C1289" s="126"/>
      <c r="D1289" s="126"/>
      <c r="E1289" s="150"/>
      <c r="F1289" s="150"/>
      <c r="I1289" s="74"/>
      <c r="K1289" s="151"/>
    </row>
    <row r="1290" spans="1:28" ht="13.2">
      <c r="C1290" s="126"/>
      <c r="D1290" s="126"/>
      <c r="E1290" s="150"/>
      <c r="F1290" s="150"/>
      <c r="I1290" s="74"/>
      <c r="K1290" s="151"/>
    </row>
    <row r="1291" spans="1:28" ht="13.2">
      <c r="C1291" s="126"/>
      <c r="D1291" s="126"/>
      <c r="E1291" s="150"/>
      <c r="F1291" s="150"/>
      <c r="I1291" s="74"/>
      <c r="K1291" s="151"/>
    </row>
    <row r="1292" spans="1:28" ht="13.2">
      <c r="C1292" s="126"/>
      <c r="D1292" s="126"/>
      <c r="E1292" s="150"/>
      <c r="F1292" s="150"/>
      <c r="I1292" s="74"/>
      <c r="K1292" s="151"/>
    </row>
    <row r="1293" spans="1:28" ht="13.2">
      <c r="C1293" s="126"/>
      <c r="D1293" s="126"/>
      <c r="E1293" s="150"/>
      <c r="F1293" s="150"/>
      <c r="I1293" s="74"/>
      <c r="K1293" s="151"/>
    </row>
    <row r="1294" spans="1:28" ht="13.2">
      <c r="C1294" s="126"/>
      <c r="D1294" s="126"/>
      <c r="E1294" s="150"/>
      <c r="F1294" s="150"/>
      <c r="I1294" s="74"/>
      <c r="K1294" s="151"/>
    </row>
    <row r="1295" spans="1:28" ht="13.2">
      <c r="C1295" s="126"/>
      <c r="D1295" s="126"/>
      <c r="E1295" s="150"/>
      <c r="F1295" s="150"/>
      <c r="I1295" s="74"/>
      <c r="K1295" s="151"/>
    </row>
    <row r="1296" spans="1:28" ht="13.2">
      <c r="C1296" s="126"/>
      <c r="D1296" s="126"/>
      <c r="E1296" s="150"/>
      <c r="F1296" s="150"/>
      <c r="I1296" s="74"/>
      <c r="K1296" s="151"/>
    </row>
    <row r="1297" spans="3:11" ht="13.2">
      <c r="C1297" s="126"/>
      <c r="D1297" s="126"/>
      <c r="E1297" s="150"/>
      <c r="F1297" s="150"/>
      <c r="I1297" s="74"/>
      <c r="K1297" s="151"/>
    </row>
    <row r="1298" spans="3:11" ht="13.2">
      <c r="C1298" s="126"/>
      <c r="D1298" s="126"/>
      <c r="E1298" s="150"/>
      <c r="F1298" s="150"/>
      <c r="I1298" s="74"/>
      <c r="K1298" s="151"/>
    </row>
    <row r="1299" spans="3:11" ht="13.2">
      <c r="C1299" s="126"/>
      <c r="D1299" s="126"/>
      <c r="E1299" s="150"/>
      <c r="F1299" s="150"/>
      <c r="I1299" s="74"/>
      <c r="K1299" s="151"/>
    </row>
    <row r="1300" spans="3:11" ht="13.2">
      <c r="C1300" s="126"/>
      <c r="D1300" s="126"/>
      <c r="E1300" s="150"/>
      <c r="F1300" s="150"/>
      <c r="I1300" s="74"/>
      <c r="K1300" s="151"/>
    </row>
    <row r="1301" spans="3:11" ht="13.2">
      <c r="C1301" s="126"/>
      <c r="D1301" s="126"/>
      <c r="E1301" s="150"/>
      <c r="F1301" s="150"/>
      <c r="I1301" s="74"/>
      <c r="K1301" s="151"/>
    </row>
    <row r="1302" spans="3:11" ht="13.2">
      <c r="C1302" s="126"/>
      <c r="D1302" s="126"/>
      <c r="E1302" s="150"/>
      <c r="F1302" s="150"/>
      <c r="I1302" s="74"/>
      <c r="K1302" s="151"/>
    </row>
    <row r="1303" spans="3:11" ht="13.2">
      <c r="C1303" s="126"/>
      <c r="D1303" s="126"/>
      <c r="E1303" s="150"/>
      <c r="F1303" s="150"/>
      <c r="I1303" s="74"/>
      <c r="K1303" s="151"/>
    </row>
    <row r="1304" spans="3:11" ht="13.2">
      <c r="C1304" s="126"/>
      <c r="D1304" s="126"/>
      <c r="E1304" s="150"/>
      <c r="F1304" s="150"/>
      <c r="I1304" s="74"/>
      <c r="K1304" s="151"/>
    </row>
    <row r="1305" spans="3:11" ht="13.2">
      <c r="C1305" s="126"/>
      <c r="D1305" s="126"/>
      <c r="E1305" s="150"/>
      <c r="F1305" s="150"/>
      <c r="I1305" s="74"/>
      <c r="K1305" s="151"/>
    </row>
    <row r="1306" spans="3:11" ht="13.2">
      <c r="C1306" s="126"/>
      <c r="D1306" s="126"/>
      <c r="E1306" s="150"/>
      <c r="F1306" s="150"/>
      <c r="I1306" s="74"/>
      <c r="K1306" s="151"/>
    </row>
    <row r="1307" spans="3:11" ht="13.2">
      <c r="C1307" s="126"/>
      <c r="D1307" s="126"/>
      <c r="E1307" s="150"/>
      <c r="F1307" s="150"/>
      <c r="I1307" s="74"/>
      <c r="K1307" s="151"/>
    </row>
    <row r="1308" spans="3:11" ht="13.2">
      <c r="C1308" s="126"/>
      <c r="D1308" s="126"/>
      <c r="E1308" s="150"/>
      <c r="F1308" s="150"/>
      <c r="I1308" s="74"/>
      <c r="K1308" s="151"/>
    </row>
    <row r="1309" spans="3:11" ht="13.2">
      <c r="C1309" s="126"/>
      <c r="D1309" s="126"/>
      <c r="E1309" s="150"/>
      <c r="F1309" s="150"/>
      <c r="I1309" s="74"/>
      <c r="K1309" s="151"/>
    </row>
    <row r="1310" spans="3:11" ht="13.2">
      <c r="C1310" s="126"/>
      <c r="D1310" s="126"/>
      <c r="E1310" s="150"/>
      <c r="F1310" s="150"/>
      <c r="I1310" s="74"/>
      <c r="K1310" s="151"/>
    </row>
    <row r="1311" spans="3:11" ht="13.2">
      <c r="C1311" s="126"/>
      <c r="D1311" s="126"/>
      <c r="E1311" s="150"/>
      <c r="F1311" s="150"/>
      <c r="I1311" s="74"/>
      <c r="K1311" s="151"/>
    </row>
    <row r="1312" spans="3:11" ht="13.2">
      <c r="C1312" s="126"/>
      <c r="D1312" s="126"/>
      <c r="E1312" s="150"/>
      <c r="F1312" s="150"/>
      <c r="I1312" s="74"/>
      <c r="K1312" s="151"/>
    </row>
    <row r="1313" spans="3:11" ht="13.2">
      <c r="C1313" s="126"/>
      <c r="D1313" s="126"/>
      <c r="E1313" s="150"/>
      <c r="F1313" s="150"/>
      <c r="I1313" s="74"/>
      <c r="K1313" s="151"/>
    </row>
    <row r="1314" spans="3:11" ht="13.2">
      <c r="C1314" s="126"/>
      <c r="D1314" s="126"/>
      <c r="E1314" s="150"/>
      <c r="F1314" s="150"/>
      <c r="I1314" s="74"/>
      <c r="K1314" s="151"/>
    </row>
    <row r="1315" spans="3:11" ht="13.2">
      <c r="C1315" s="126"/>
      <c r="D1315" s="126"/>
      <c r="E1315" s="150"/>
      <c r="F1315" s="150"/>
      <c r="I1315" s="74"/>
      <c r="K1315" s="151"/>
    </row>
    <row r="1316" spans="3:11" ht="13.2">
      <c r="C1316" s="126"/>
      <c r="D1316" s="126"/>
      <c r="E1316" s="150"/>
      <c r="F1316" s="150"/>
      <c r="I1316" s="74"/>
      <c r="K1316" s="151"/>
    </row>
    <row r="1317" spans="3:11" ht="13.2">
      <c r="C1317" s="126"/>
      <c r="D1317" s="126"/>
      <c r="E1317" s="150"/>
      <c r="F1317" s="150"/>
      <c r="I1317" s="74"/>
      <c r="K1317" s="151"/>
    </row>
    <row r="1318" spans="3:11" ht="13.2">
      <c r="C1318" s="126"/>
      <c r="D1318" s="126"/>
      <c r="E1318" s="150"/>
      <c r="F1318" s="150"/>
      <c r="I1318" s="74"/>
      <c r="K1318" s="151"/>
    </row>
    <row r="1319" spans="3:11" ht="13.2">
      <c r="C1319" s="126"/>
      <c r="D1319" s="126"/>
      <c r="E1319" s="150"/>
      <c r="F1319" s="150"/>
      <c r="I1319" s="74"/>
      <c r="K1319" s="151"/>
    </row>
    <row r="1320" spans="3:11" ht="13.2">
      <c r="C1320" s="126"/>
      <c r="D1320" s="126"/>
      <c r="E1320" s="150"/>
      <c r="F1320" s="150"/>
      <c r="I1320" s="74"/>
      <c r="K1320" s="151"/>
    </row>
    <row r="1321" spans="3:11" ht="13.2">
      <c r="C1321" s="126"/>
      <c r="D1321" s="126"/>
      <c r="E1321" s="150"/>
      <c r="F1321" s="150"/>
      <c r="I1321" s="74"/>
      <c r="K1321" s="151"/>
    </row>
    <row r="1322" spans="3:11" ht="13.2">
      <c r="C1322" s="126"/>
      <c r="D1322" s="126"/>
      <c r="E1322" s="150"/>
      <c r="F1322" s="150"/>
      <c r="I1322" s="74"/>
      <c r="K1322" s="151"/>
    </row>
    <row r="1323" spans="3:11" ht="13.2">
      <c r="C1323" s="126"/>
      <c r="D1323" s="126"/>
      <c r="E1323" s="150"/>
      <c r="F1323" s="150"/>
      <c r="I1323" s="74"/>
      <c r="K1323" s="151"/>
    </row>
    <row r="1324" spans="3:11" ht="13.2">
      <c r="C1324" s="126"/>
      <c r="D1324" s="126"/>
      <c r="E1324" s="150"/>
      <c r="F1324" s="150"/>
      <c r="I1324" s="74"/>
      <c r="K1324" s="151"/>
    </row>
    <row r="1325" spans="3:11" ht="13.2">
      <c r="C1325" s="126"/>
      <c r="D1325" s="126"/>
      <c r="E1325" s="150"/>
      <c r="F1325" s="150"/>
      <c r="I1325" s="74"/>
      <c r="K1325" s="151"/>
    </row>
    <row r="1326" spans="3:11" ht="13.2">
      <c r="C1326" s="126"/>
      <c r="D1326" s="126"/>
      <c r="E1326" s="150"/>
      <c r="F1326" s="150"/>
      <c r="I1326" s="74"/>
      <c r="K1326" s="151"/>
    </row>
    <row r="1327" spans="3:11" ht="13.2">
      <c r="C1327" s="126"/>
      <c r="D1327" s="126"/>
      <c r="E1327" s="150"/>
      <c r="F1327" s="150"/>
      <c r="I1327" s="74"/>
      <c r="K1327" s="151"/>
    </row>
    <row r="1328" spans="3:11" ht="13.2">
      <c r="C1328" s="126"/>
      <c r="D1328" s="126"/>
      <c r="E1328" s="150"/>
      <c r="F1328" s="150"/>
      <c r="I1328" s="74"/>
      <c r="K1328" s="151"/>
    </row>
    <row r="1329" spans="3:11" ht="13.2">
      <c r="C1329" s="126"/>
      <c r="D1329" s="126"/>
      <c r="E1329" s="150"/>
      <c r="F1329" s="150"/>
      <c r="I1329" s="74"/>
      <c r="K1329" s="151"/>
    </row>
    <row r="1330" spans="3:11" ht="13.2">
      <c r="C1330" s="126"/>
      <c r="D1330" s="126"/>
      <c r="E1330" s="150"/>
      <c r="F1330" s="150"/>
      <c r="I1330" s="74"/>
      <c r="K1330" s="151"/>
    </row>
    <row r="1331" spans="3:11" ht="13.2">
      <c r="C1331" s="126"/>
      <c r="D1331" s="126"/>
      <c r="E1331" s="150"/>
      <c r="F1331" s="150"/>
      <c r="I1331" s="74"/>
      <c r="K1331" s="151"/>
    </row>
    <row r="1332" spans="3:11" ht="13.2">
      <c r="C1332" s="126"/>
      <c r="D1332" s="126"/>
      <c r="E1332" s="150"/>
      <c r="F1332" s="150"/>
      <c r="I1332" s="74"/>
      <c r="K1332" s="151"/>
    </row>
    <row r="1333" spans="3:11" ht="13.2">
      <c r="C1333" s="126"/>
      <c r="D1333" s="126"/>
      <c r="E1333" s="150"/>
      <c r="F1333" s="150"/>
      <c r="I1333" s="74"/>
      <c r="K1333" s="151"/>
    </row>
    <row r="1334" spans="3:11" ht="13.2">
      <c r="C1334" s="126"/>
      <c r="D1334" s="126"/>
      <c r="E1334" s="150"/>
      <c r="F1334" s="150"/>
      <c r="I1334" s="74"/>
      <c r="K1334" s="151"/>
    </row>
    <row r="1335" spans="3:11" ht="13.2">
      <c r="C1335" s="126"/>
      <c r="D1335" s="126"/>
      <c r="E1335" s="150"/>
      <c r="F1335" s="150"/>
      <c r="I1335" s="74"/>
      <c r="K1335" s="151"/>
    </row>
    <row r="1336" spans="3:11" ht="13.2">
      <c r="C1336" s="126"/>
      <c r="D1336" s="126"/>
      <c r="E1336" s="150"/>
      <c r="F1336" s="150"/>
      <c r="I1336" s="74"/>
      <c r="K1336" s="151"/>
    </row>
    <row r="1337" spans="3:11" ht="13.2">
      <c r="C1337" s="126"/>
      <c r="D1337" s="126"/>
      <c r="E1337" s="150"/>
      <c r="F1337" s="150"/>
      <c r="I1337" s="74"/>
      <c r="K1337" s="151"/>
    </row>
    <row r="1338" spans="3:11" ht="13.2">
      <c r="C1338" s="126"/>
      <c r="D1338" s="126"/>
      <c r="E1338" s="150"/>
      <c r="F1338" s="150"/>
      <c r="I1338" s="74"/>
      <c r="K1338" s="151"/>
    </row>
    <row r="1339" spans="3:11" ht="13.2">
      <c r="C1339" s="126"/>
      <c r="D1339" s="126"/>
      <c r="E1339" s="150"/>
      <c r="F1339" s="150"/>
      <c r="I1339" s="74"/>
      <c r="K1339" s="151"/>
    </row>
    <row r="1340" spans="3:11" ht="13.2">
      <c r="C1340" s="126"/>
      <c r="D1340" s="126"/>
      <c r="E1340" s="150"/>
      <c r="F1340" s="150"/>
      <c r="I1340" s="74"/>
      <c r="K1340" s="151"/>
    </row>
    <row r="1341" spans="3:11" ht="13.2">
      <c r="C1341" s="126"/>
      <c r="D1341" s="126"/>
      <c r="E1341" s="150"/>
      <c r="F1341" s="150"/>
      <c r="I1341" s="74"/>
      <c r="K1341" s="151"/>
    </row>
    <row r="1342" spans="3:11" ht="13.2">
      <c r="C1342" s="126"/>
      <c r="D1342" s="126"/>
      <c r="E1342" s="150"/>
      <c r="F1342" s="150"/>
      <c r="I1342" s="74"/>
      <c r="K1342" s="151"/>
    </row>
    <row r="1343" spans="3:11" ht="13.2">
      <c r="C1343" s="126"/>
      <c r="D1343" s="126"/>
      <c r="E1343" s="150"/>
      <c r="F1343" s="150"/>
      <c r="I1343" s="74"/>
      <c r="K1343" s="151"/>
    </row>
    <row r="1344" spans="3:11" ht="13.2">
      <c r="C1344" s="126"/>
      <c r="D1344" s="126"/>
      <c r="E1344" s="150"/>
      <c r="F1344" s="150"/>
      <c r="I1344" s="74"/>
      <c r="K1344" s="151"/>
    </row>
    <row r="1345" spans="3:11" ht="13.2">
      <c r="C1345" s="126"/>
      <c r="D1345" s="126"/>
      <c r="E1345" s="150"/>
      <c r="F1345" s="150"/>
      <c r="I1345" s="74"/>
      <c r="K1345" s="151"/>
    </row>
    <row r="1346" spans="3:11" ht="13.2">
      <c r="C1346" s="126"/>
      <c r="D1346" s="126"/>
      <c r="E1346" s="150"/>
      <c r="F1346" s="150"/>
      <c r="I1346" s="74"/>
      <c r="K1346" s="151"/>
    </row>
    <row r="1347" spans="3:11" ht="13.2">
      <c r="C1347" s="126"/>
      <c r="D1347" s="126"/>
      <c r="E1347" s="150"/>
      <c r="F1347" s="150"/>
      <c r="I1347" s="74"/>
      <c r="K1347" s="151"/>
    </row>
    <row r="1348" spans="3:11" ht="13.2">
      <c r="C1348" s="126"/>
      <c r="D1348" s="126"/>
      <c r="E1348" s="150"/>
      <c r="F1348" s="150"/>
      <c r="I1348" s="74"/>
      <c r="K1348" s="151"/>
    </row>
    <row r="1349" spans="3:11" ht="13.2">
      <c r="C1349" s="126"/>
      <c r="D1349" s="126"/>
      <c r="E1349" s="150"/>
      <c r="F1349" s="150"/>
      <c r="I1349" s="74"/>
      <c r="K1349" s="151"/>
    </row>
    <row r="1350" spans="3:11" ht="13.2">
      <c r="C1350" s="126"/>
      <c r="D1350" s="126"/>
      <c r="E1350" s="150"/>
      <c r="F1350" s="150"/>
      <c r="I1350" s="74"/>
      <c r="K1350" s="151"/>
    </row>
    <row r="1351" spans="3:11" ht="13.2">
      <c r="C1351" s="126"/>
      <c r="D1351" s="126"/>
      <c r="E1351" s="150"/>
      <c r="F1351" s="150"/>
      <c r="I1351" s="74"/>
      <c r="K1351" s="151"/>
    </row>
    <row r="1352" spans="3:11" ht="13.2">
      <c r="C1352" s="126"/>
      <c r="D1352" s="126"/>
      <c r="E1352" s="150"/>
      <c r="F1352" s="150"/>
      <c r="I1352" s="74"/>
      <c r="K1352" s="151"/>
    </row>
    <row r="1353" spans="3:11" ht="13.2">
      <c r="C1353" s="126"/>
      <c r="D1353" s="126"/>
      <c r="E1353" s="150"/>
      <c r="F1353" s="150"/>
      <c r="I1353" s="74"/>
      <c r="K1353" s="151"/>
    </row>
    <row r="1354" spans="3:11" ht="13.2">
      <c r="C1354" s="126"/>
      <c r="D1354" s="126"/>
      <c r="E1354" s="150"/>
      <c r="F1354" s="150"/>
      <c r="I1354" s="74"/>
      <c r="K1354" s="151"/>
    </row>
    <row r="1355" spans="3:11" ht="13.2">
      <c r="C1355" s="126"/>
      <c r="D1355" s="126"/>
      <c r="E1355" s="150"/>
      <c r="F1355" s="150"/>
      <c r="I1355" s="74"/>
      <c r="K1355" s="151"/>
    </row>
    <row r="1356" spans="3:11" ht="13.2">
      <c r="C1356" s="126"/>
      <c r="D1356" s="126"/>
      <c r="E1356" s="150"/>
      <c r="F1356" s="150"/>
      <c r="I1356" s="74"/>
      <c r="K1356" s="151"/>
    </row>
    <row r="1357" spans="3:11" ht="13.2">
      <c r="C1357" s="126"/>
      <c r="D1357" s="126"/>
      <c r="E1357" s="150"/>
      <c r="F1357" s="150"/>
      <c r="I1357" s="74"/>
      <c r="K1357" s="151"/>
    </row>
    <row r="1358" spans="3:11" ht="13.2">
      <c r="C1358" s="126"/>
      <c r="D1358" s="126"/>
      <c r="E1358" s="150"/>
      <c r="F1358" s="150"/>
      <c r="I1358" s="74"/>
      <c r="K1358" s="151"/>
    </row>
    <row r="1359" spans="3:11" ht="13.2">
      <c r="C1359" s="126"/>
      <c r="D1359" s="126"/>
      <c r="E1359" s="150"/>
      <c r="F1359" s="150"/>
      <c r="I1359" s="74"/>
      <c r="K1359" s="151"/>
    </row>
    <row r="1360" spans="3:11" ht="13.2">
      <c r="C1360" s="126"/>
      <c r="D1360" s="126"/>
      <c r="E1360" s="150"/>
      <c r="F1360" s="150"/>
      <c r="I1360" s="74"/>
      <c r="K1360" s="151"/>
    </row>
    <row r="1361" spans="3:11" ht="13.2">
      <c r="C1361" s="126"/>
      <c r="D1361" s="126"/>
      <c r="E1361" s="150"/>
      <c r="F1361" s="150"/>
      <c r="I1361" s="74"/>
      <c r="K1361" s="151"/>
    </row>
    <row r="1362" spans="3:11" ht="13.2">
      <c r="C1362" s="126"/>
      <c r="D1362" s="126"/>
      <c r="E1362" s="150"/>
      <c r="F1362" s="150"/>
      <c r="I1362" s="74"/>
      <c r="K1362" s="151"/>
    </row>
    <row r="1363" spans="3:11" ht="13.2">
      <c r="C1363" s="126"/>
      <c r="D1363" s="126"/>
      <c r="E1363" s="150"/>
      <c r="F1363" s="150"/>
      <c r="I1363" s="74"/>
      <c r="K1363" s="151"/>
    </row>
    <row r="1364" spans="3:11" ht="13.2">
      <c r="C1364" s="126"/>
      <c r="D1364" s="126"/>
      <c r="E1364" s="150"/>
      <c r="F1364" s="150"/>
      <c r="I1364" s="74"/>
      <c r="K1364" s="151"/>
    </row>
    <row r="1365" spans="3:11" ht="13.2">
      <c r="C1365" s="126"/>
      <c r="D1365" s="126"/>
      <c r="E1365" s="150"/>
      <c r="F1365" s="150"/>
      <c r="I1365" s="74"/>
      <c r="K1365" s="151"/>
    </row>
    <row r="1366" spans="3:11" ht="13.2">
      <c r="C1366" s="126"/>
      <c r="D1366" s="126"/>
      <c r="E1366" s="150"/>
      <c r="F1366" s="150"/>
      <c r="I1366" s="74"/>
      <c r="K1366" s="151"/>
    </row>
    <row r="1367" spans="3:11" ht="13.2">
      <c r="C1367" s="126"/>
      <c r="D1367" s="126"/>
      <c r="E1367" s="150"/>
      <c r="F1367" s="150"/>
      <c r="I1367" s="74"/>
      <c r="K1367" s="151"/>
    </row>
    <row r="1368" spans="3:11" ht="13.2">
      <c r="C1368" s="126"/>
      <c r="D1368" s="126"/>
      <c r="E1368" s="150"/>
      <c r="F1368" s="150"/>
      <c r="I1368" s="74"/>
      <c r="K1368" s="151"/>
    </row>
    <row r="1369" spans="3:11" ht="13.2">
      <c r="C1369" s="126"/>
      <c r="D1369" s="126"/>
      <c r="E1369" s="150"/>
      <c r="F1369" s="150"/>
      <c r="I1369" s="74"/>
      <c r="K1369" s="151"/>
    </row>
    <row r="1370" spans="3:11" ht="13.2">
      <c r="C1370" s="126"/>
      <c r="D1370" s="126"/>
      <c r="E1370" s="150"/>
      <c r="F1370" s="150"/>
      <c r="I1370" s="74"/>
      <c r="K1370" s="151"/>
    </row>
    <row r="1371" spans="3:11" ht="13.2">
      <c r="C1371" s="126"/>
      <c r="D1371" s="126"/>
      <c r="E1371" s="150"/>
      <c r="F1371" s="150"/>
      <c r="I1371" s="74"/>
      <c r="K1371" s="151"/>
    </row>
    <row r="1372" spans="3:11" ht="13.2">
      <c r="C1372" s="126"/>
      <c r="D1372" s="126"/>
      <c r="E1372" s="150"/>
      <c r="F1372" s="150"/>
      <c r="I1372" s="74"/>
      <c r="K1372" s="151"/>
    </row>
    <row r="1373" spans="3:11" ht="13.2">
      <c r="C1373" s="126"/>
      <c r="D1373" s="126"/>
      <c r="E1373" s="150"/>
      <c r="F1373" s="150"/>
      <c r="I1373" s="74"/>
      <c r="K1373" s="151"/>
    </row>
    <row r="1374" spans="3:11" ht="13.2">
      <c r="C1374" s="126"/>
      <c r="D1374" s="126"/>
      <c r="E1374" s="150"/>
      <c r="F1374" s="150"/>
      <c r="I1374" s="74"/>
      <c r="K1374" s="151"/>
    </row>
    <row r="1375" spans="3:11" ht="13.2">
      <c r="C1375" s="126"/>
      <c r="D1375" s="126"/>
      <c r="E1375" s="150"/>
      <c r="F1375" s="150"/>
      <c r="I1375" s="74"/>
      <c r="K1375" s="151"/>
    </row>
    <row r="1376" spans="3:11" ht="13.2">
      <c r="C1376" s="126"/>
      <c r="D1376" s="126"/>
      <c r="E1376" s="150"/>
      <c r="F1376" s="150"/>
      <c r="I1376" s="74"/>
      <c r="K1376" s="151"/>
    </row>
    <row r="1377" spans="3:11" ht="13.2">
      <c r="C1377" s="126"/>
      <c r="D1377" s="126"/>
      <c r="E1377" s="150"/>
      <c r="F1377" s="150"/>
      <c r="I1377" s="74"/>
      <c r="K1377" s="151"/>
    </row>
    <row r="1378" spans="3:11" ht="13.2">
      <c r="C1378" s="126"/>
      <c r="D1378" s="126"/>
      <c r="E1378" s="150"/>
      <c r="F1378" s="150"/>
      <c r="I1378" s="74"/>
      <c r="K1378" s="151"/>
    </row>
    <row r="1379" spans="3:11" ht="13.2">
      <c r="C1379" s="126"/>
      <c r="D1379" s="126"/>
      <c r="E1379" s="150"/>
      <c r="F1379" s="150"/>
      <c r="I1379" s="74"/>
      <c r="K1379" s="151"/>
    </row>
    <row r="1380" spans="3:11" ht="13.2">
      <c r="C1380" s="126"/>
      <c r="D1380" s="126"/>
      <c r="E1380" s="150"/>
      <c r="F1380" s="150"/>
      <c r="I1380" s="74"/>
      <c r="K1380" s="151"/>
    </row>
    <row r="1381" spans="3:11" ht="13.2">
      <c r="C1381" s="126"/>
      <c r="D1381" s="126"/>
      <c r="E1381" s="150"/>
      <c r="F1381" s="150"/>
      <c r="I1381" s="74"/>
      <c r="K1381" s="151"/>
    </row>
    <row r="1382" spans="3:11" ht="13.2">
      <c r="C1382" s="126"/>
      <c r="D1382" s="126"/>
      <c r="E1382" s="150"/>
      <c r="F1382" s="150"/>
      <c r="I1382" s="74"/>
      <c r="K1382" s="151"/>
    </row>
    <row r="1383" spans="3:11" ht="13.2">
      <c r="C1383" s="126"/>
      <c r="D1383" s="126"/>
      <c r="E1383" s="150"/>
      <c r="F1383" s="150"/>
      <c r="I1383" s="74"/>
      <c r="K1383" s="151"/>
    </row>
    <row r="1384" spans="3:11" ht="13.2">
      <c r="C1384" s="126"/>
      <c r="D1384" s="126"/>
      <c r="E1384" s="150"/>
      <c r="F1384" s="150"/>
      <c r="I1384" s="74"/>
      <c r="K1384" s="151"/>
    </row>
    <row r="1385" spans="3:11" ht="13.2">
      <c r="C1385" s="126"/>
      <c r="D1385" s="126"/>
      <c r="E1385" s="150"/>
      <c r="F1385" s="150"/>
      <c r="I1385" s="74"/>
      <c r="K1385" s="151"/>
    </row>
    <row r="1386" spans="3:11" ht="13.2">
      <c r="C1386" s="126"/>
      <c r="D1386" s="126"/>
      <c r="E1386" s="150"/>
      <c r="F1386" s="150"/>
      <c r="I1386" s="74"/>
      <c r="K1386" s="151"/>
    </row>
    <row r="1387" spans="3:11" ht="13.2">
      <c r="C1387" s="126"/>
      <c r="D1387" s="126"/>
      <c r="E1387" s="150"/>
      <c r="F1387" s="150"/>
      <c r="I1387" s="74"/>
      <c r="K1387" s="151"/>
    </row>
    <row r="1388" spans="3:11" ht="13.2">
      <c r="C1388" s="126"/>
      <c r="D1388" s="126"/>
      <c r="E1388" s="150"/>
      <c r="F1388" s="150"/>
      <c r="I1388" s="74"/>
      <c r="K1388" s="151"/>
    </row>
    <row r="1389" spans="3:11" ht="13.2">
      <c r="C1389" s="126"/>
      <c r="D1389" s="126"/>
      <c r="E1389" s="150"/>
      <c r="F1389" s="150"/>
      <c r="I1389" s="74"/>
      <c r="K1389" s="151"/>
    </row>
    <row r="1390" spans="3:11" ht="13.2">
      <c r="C1390" s="126"/>
      <c r="D1390" s="126"/>
      <c r="E1390" s="150"/>
      <c r="F1390" s="150"/>
      <c r="I1390" s="74"/>
      <c r="K1390" s="151"/>
    </row>
    <row r="1391" spans="3:11" ht="13.2">
      <c r="C1391" s="126"/>
      <c r="D1391" s="126"/>
      <c r="E1391" s="150"/>
      <c r="F1391" s="150"/>
      <c r="I1391" s="74"/>
      <c r="K1391" s="151"/>
    </row>
    <row r="1392" spans="3:11" ht="13.2">
      <c r="C1392" s="126"/>
      <c r="D1392" s="126"/>
      <c r="E1392" s="150"/>
      <c r="F1392" s="150"/>
      <c r="I1392" s="74"/>
      <c r="K1392" s="151"/>
    </row>
    <row r="1393" spans="3:11" ht="13.2">
      <c r="C1393" s="126"/>
      <c r="D1393" s="126"/>
      <c r="E1393" s="150"/>
      <c r="F1393" s="150"/>
      <c r="I1393" s="74"/>
      <c r="K1393" s="151"/>
    </row>
    <row r="1394" spans="3:11" ht="13.2">
      <c r="C1394" s="126"/>
      <c r="D1394" s="126"/>
      <c r="E1394" s="150"/>
      <c r="F1394" s="150"/>
      <c r="I1394" s="74"/>
      <c r="K1394" s="151"/>
    </row>
    <row r="1395" spans="3:11" ht="13.2">
      <c r="C1395" s="126"/>
      <c r="D1395" s="126"/>
      <c r="E1395" s="150"/>
      <c r="F1395" s="150"/>
      <c r="I1395" s="74"/>
      <c r="K1395" s="151"/>
    </row>
    <row r="1396" spans="3:11" ht="13.2">
      <c r="C1396" s="126"/>
      <c r="D1396" s="126"/>
      <c r="E1396" s="150"/>
      <c r="F1396" s="150"/>
      <c r="I1396" s="74"/>
      <c r="K1396" s="151"/>
    </row>
    <row r="1397" spans="3:11" ht="13.2">
      <c r="C1397" s="126"/>
      <c r="D1397" s="126"/>
      <c r="E1397" s="150"/>
      <c r="F1397" s="150"/>
      <c r="I1397" s="74"/>
      <c r="K1397" s="151"/>
    </row>
    <row r="1398" spans="3:11" ht="13.2">
      <c r="C1398" s="126"/>
      <c r="D1398" s="126"/>
      <c r="E1398" s="150"/>
      <c r="F1398" s="150"/>
      <c r="I1398" s="74"/>
      <c r="K1398" s="151"/>
    </row>
    <row r="1399" spans="3:11" ht="13.2">
      <c r="C1399" s="126"/>
      <c r="D1399" s="126"/>
      <c r="E1399" s="150"/>
      <c r="F1399" s="150"/>
      <c r="I1399" s="74"/>
      <c r="K1399" s="151"/>
    </row>
    <row r="1400" spans="3:11" ht="13.2">
      <c r="C1400" s="126"/>
      <c r="D1400" s="126"/>
      <c r="E1400" s="150"/>
      <c r="F1400" s="150"/>
      <c r="I1400" s="74"/>
      <c r="K1400" s="151"/>
    </row>
    <row r="1401" spans="3:11" ht="13.2">
      <c r="C1401" s="126"/>
      <c r="D1401" s="126"/>
      <c r="E1401" s="150"/>
      <c r="F1401" s="150"/>
      <c r="I1401" s="74"/>
      <c r="K1401" s="151"/>
    </row>
    <row r="1402" spans="3:11" ht="13.2">
      <c r="C1402" s="126"/>
      <c r="D1402" s="126"/>
      <c r="E1402" s="150"/>
      <c r="F1402" s="150"/>
      <c r="I1402" s="74"/>
      <c r="K1402" s="151"/>
    </row>
    <row r="1403" spans="3:11" ht="13.2">
      <c r="C1403" s="126"/>
      <c r="D1403" s="126"/>
      <c r="E1403" s="150"/>
      <c r="F1403" s="150"/>
      <c r="I1403" s="74"/>
      <c r="K1403" s="151"/>
    </row>
    <row r="1404" spans="3:11" ht="13.2">
      <c r="C1404" s="126"/>
      <c r="D1404" s="126"/>
      <c r="E1404" s="150"/>
      <c r="F1404" s="150"/>
      <c r="I1404" s="74"/>
      <c r="K1404" s="151"/>
    </row>
    <row r="1405" spans="3:11" ht="13.2">
      <c r="C1405" s="126"/>
      <c r="D1405" s="126"/>
      <c r="E1405" s="150"/>
      <c r="F1405" s="150"/>
      <c r="I1405" s="74"/>
      <c r="K1405" s="151"/>
    </row>
    <row r="1406" spans="3:11" ht="13.2">
      <c r="C1406" s="126"/>
      <c r="D1406" s="126"/>
      <c r="E1406" s="150"/>
      <c r="F1406" s="150"/>
      <c r="I1406" s="74"/>
      <c r="K1406" s="151"/>
    </row>
    <row r="1407" spans="3:11" ht="13.2">
      <c r="C1407" s="126"/>
      <c r="D1407" s="126"/>
      <c r="E1407" s="150"/>
      <c r="F1407" s="150"/>
      <c r="I1407" s="74"/>
      <c r="K1407" s="151"/>
    </row>
    <row r="1408" spans="3:11" ht="13.2">
      <c r="C1408" s="126"/>
      <c r="D1408" s="126"/>
      <c r="E1408" s="150"/>
      <c r="F1408" s="150"/>
      <c r="I1408" s="74"/>
      <c r="K1408" s="151"/>
    </row>
    <row r="1409" spans="3:11" ht="13.2">
      <c r="C1409" s="126"/>
      <c r="D1409" s="126"/>
      <c r="E1409" s="150"/>
      <c r="F1409" s="150"/>
      <c r="I1409" s="74"/>
      <c r="K1409" s="151"/>
    </row>
    <row r="1410" spans="3:11" ht="13.2">
      <c r="C1410" s="126"/>
      <c r="D1410" s="126"/>
      <c r="E1410" s="150"/>
      <c r="F1410" s="150"/>
      <c r="I1410" s="74"/>
      <c r="K1410" s="151"/>
    </row>
    <row r="1411" spans="3:11" ht="13.2">
      <c r="C1411" s="126"/>
      <c r="D1411" s="126"/>
      <c r="E1411" s="150"/>
      <c r="F1411" s="150"/>
      <c r="I1411" s="74"/>
      <c r="K1411" s="151"/>
    </row>
    <row r="1412" spans="3:11" ht="13.2">
      <c r="C1412" s="126"/>
      <c r="D1412" s="126"/>
      <c r="E1412" s="150"/>
      <c r="F1412" s="150"/>
      <c r="I1412" s="74"/>
      <c r="K1412" s="151"/>
    </row>
    <row r="1413" spans="3:11" ht="13.2">
      <c r="C1413" s="126"/>
      <c r="D1413" s="126"/>
      <c r="E1413" s="150"/>
      <c r="F1413" s="150"/>
      <c r="I1413" s="74"/>
      <c r="K1413" s="151"/>
    </row>
    <row r="1414" spans="3:11" ht="13.2">
      <c r="C1414" s="126"/>
      <c r="D1414" s="126"/>
      <c r="E1414" s="150"/>
      <c r="F1414" s="150"/>
      <c r="I1414" s="74"/>
      <c r="K1414" s="151"/>
    </row>
    <row r="1415" spans="3:11" ht="13.2">
      <c r="C1415" s="126"/>
      <c r="D1415" s="126"/>
      <c r="E1415" s="150"/>
      <c r="F1415" s="150"/>
      <c r="I1415" s="74"/>
      <c r="K1415" s="151"/>
    </row>
    <row r="1416" spans="3:11" ht="13.2">
      <c r="C1416" s="126"/>
      <c r="D1416" s="126"/>
      <c r="E1416" s="150"/>
      <c r="F1416" s="150"/>
      <c r="I1416" s="74"/>
      <c r="K1416" s="151"/>
    </row>
    <row r="1417" spans="3:11" ht="13.2">
      <c r="C1417" s="126"/>
      <c r="D1417" s="126"/>
      <c r="E1417" s="150"/>
      <c r="F1417" s="150"/>
      <c r="I1417" s="74"/>
      <c r="K1417" s="151"/>
    </row>
    <row r="1418" spans="3:11" ht="13.2">
      <c r="C1418" s="126"/>
      <c r="D1418" s="126"/>
      <c r="E1418" s="150"/>
      <c r="F1418" s="150"/>
      <c r="I1418" s="74"/>
      <c r="K1418" s="151"/>
    </row>
    <row r="1419" spans="3:11" ht="13.2">
      <c r="C1419" s="126"/>
      <c r="D1419" s="126"/>
      <c r="E1419" s="150"/>
      <c r="F1419" s="150"/>
      <c r="I1419" s="74"/>
      <c r="K1419" s="151"/>
    </row>
    <row r="1420" spans="3:11" ht="13.2">
      <c r="C1420" s="126"/>
      <c r="D1420" s="126"/>
      <c r="E1420" s="150"/>
      <c r="F1420" s="150"/>
      <c r="I1420" s="74"/>
      <c r="K1420" s="151"/>
    </row>
    <row r="1421" spans="3:11" ht="13.2">
      <c r="C1421" s="126"/>
      <c r="D1421" s="126"/>
      <c r="E1421" s="150"/>
      <c r="F1421" s="150"/>
      <c r="I1421" s="74"/>
      <c r="K1421" s="151"/>
    </row>
    <row r="1422" spans="3:11" ht="13.2">
      <c r="C1422" s="126"/>
      <c r="D1422" s="126"/>
      <c r="E1422" s="150"/>
      <c r="F1422" s="150"/>
      <c r="I1422" s="74"/>
      <c r="K1422" s="151"/>
    </row>
    <row r="1423" spans="3:11" ht="13.2">
      <c r="C1423" s="126"/>
      <c r="D1423" s="126"/>
      <c r="E1423" s="150"/>
      <c r="F1423" s="150"/>
      <c r="I1423" s="74"/>
      <c r="K1423" s="151"/>
    </row>
    <row r="1424" spans="3:11" ht="13.2">
      <c r="C1424" s="126"/>
      <c r="D1424" s="126"/>
      <c r="E1424" s="150"/>
      <c r="F1424" s="150"/>
      <c r="I1424" s="74"/>
      <c r="K1424" s="151"/>
    </row>
    <row r="1425" spans="3:11" ht="13.2">
      <c r="C1425" s="126"/>
      <c r="D1425" s="126"/>
      <c r="E1425" s="150"/>
      <c r="F1425" s="150"/>
      <c r="I1425" s="74"/>
      <c r="K1425" s="151"/>
    </row>
    <row r="1426" spans="3:11" ht="13.2">
      <c r="C1426" s="126"/>
      <c r="D1426" s="126"/>
      <c r="E1426" s="150"/>
      <c r="F1426" s="150"/>
      <c r="I1426" s="74"/>
      <c r="K1426" s="151"/>
    </row>
    <row r="1427" spans="3:11" ht="13.2">
      <c r="C1427" s="126"/>
      <c r="D1427" s="126"/>
      <c r="E1427" s="150"/>
      <c r="F1427" s="150"/>
      <c r="I1427" s="74"/>
      <c r="K1427" s="151"/>
    </row>
    <row r="1428" spans="3:11" ht="13.2">
      <c r="C1428" s="126"/>
      <c r="D1428" s="126"/>
      <c r="E1428" s="150"/>
      <c r="F1428" s="150"/>
      <c r="I1428" s="74"/>
      <c r="K1428" s="151"/>
    </row>
    <row r="1429" spans="3:11" ht="13.2">
      <c r="C1429" s="126"/>
      <c r="D1429" s="126"/>
      <c r="E1429" s="150"/>
      <c r="F1429" s="150"/>
      <c r="I1429" s="74"/>
      <c r="K1429" s="151"/>
    </row>
    <row r="1430" spans="3:11" ht="13.2">
      <c r="C1430" s="126"/>
      <c r="D1430" s="126"/>
      <c r="E1430" s="150"/>
      <c r="F1430" s="150"/>
      <c r="I1430" s="74"/>
      <c r="K1430" s="151"/>
    </row>
    <row r="1431" spans="3:11" ht="13.2">
      <c r="C1431" s="126"/>
      <c r="D1431" s="126"/>
      <c r="E1431" s="150"/>
      <c r="F1431" s="150"/>
      <c r="I1431" s="74"/>
      <c r="K1431" s="151"/>
    </row>
    <row r="1432" spans="3:11" ht="13.2">
      <c r="C1432" s="126"/>
      <c r="D1432" s="126"/>
      <c r="E1432" s="150"/>
      <c r="F1432" s="150"/>
      <c r="I1432" s="74"/>
      <c r="K1432" s="151"/>
    </row>
    <row r="1433" spans="3:11" ht="13.2">
      <c r="C1433" s="126"/>
      <c r="D1433" s="126"/>
      <c r="E1433" s="150"/>
      <c r="F1433" s="150"/>
      <c r="I1433" s="74"/>
      <c r="K1433" s="151"/>
    </row>
    <row r="1434" spans="3:11" ht="13.2">
      <c r="C1434" s="126"/>
      <c r="D1434" s="126"/>
      <c r="E1434" s="150"/>
      <c r="F1434" s="150"/>
      <c r="I1434" s="74"/>
      <c r="K1434" s="151"/>
    </row>
    <row r="1435" spans="3:11" ht="13.2">
      <c r="C1435" s="126"/>
      <c r="D1435" s="126"/>
      <c r="E1435" s="150"/>
      <c r="F1435" s="150"/>
      <c r="I1435" s="74"/>
      <c r="K1435" s="151"/>
    </row>
    <row r="1436" spans="3:11" ht="13.2">
      <c r="C1436" s="126"/>
      <c r="D1436" s="126"/>
      <c r="E1436" s="150"/>
      <c r="F1436" s="150"/>
      <c r="I1436" s="74"/>
      <c r="K1436" s="151"/>
    </row>
    <row r="1437" spans="3:11" ht="13.2">
      <c r="C1437" s="126"/>
      <c r="D1437" s="126"/>
      <c r="E1437" s="150"/>
      <c r="F1437" s="150"/>
      <c r="I1437" s="74"/>
      <c r="K1437" s="151"/>
    </row>
    <row r="1438" spans="3:11" ht="13.2">
      <c r="C1438" s="126"/>
      <c r="D1438" s="126"/>
      <c r="E1438" s="150"/>
      <c r="F1438" s="150"/>
      <c r="I1438" s="74"/>
      <c r="K1438" s="151"/>
    </row>
    <row r="1439" spans="3:11" ht="13.2">
      <c r="C1439" s="126"/>
      <c r="D1439" s="126"/>
      <c r="E1439" s="150"/>
      <c r="F1439" s="150"/>
      <c r="I1439" s="74"/>
      <c r="K1439" s="151"/>
    </row>
    <row r="1440" spans="3:11" ht="13.2">
      <c r="C1440" s="126"/>
      <c r="D1440" s="126"/>
      <c r="E1440" s="150"/>
      <c r="F1440" s="150"/>
      <c r="I1440" s="74"/>
      <c r="K1440" s="151"/>
    </row>
    <row r="1441" spans="3:11" ht="13.2">
      <c r="C1441" s="126"/>
      <c r="D1441" s="126"/>
      <c r="E1441" s="150"/>
      <c r="F1441" s="150"/>
      <c r="I1441" s="74"/>
      <c r="K1441" s="151"/>
    </row>
    <row r="1442" spans="3:11" ht="13.2">
      <c r="C1442" s="126"/>
      <c r="D1442" s="126"/>
      <c r="E1442" s="150"/>
      <c r="F1442" s="150"/>
      <c r="I1442" s="74"/>
      <c r="K1442" s="151"/>
    </row>
    <row r="1443" spans="3:11" ht="13.2">
      <c r="C1443" s="126"/>
      <c r="D1443" s="126"/>
      <c r="E1443" s="150"/>
      <c r="F1443" s="150"/>
      <c r="I1443" s="74"/>
      <c r="K1443" s="151"/>
    </row>
    <row r="1444" spans="3:11" ht="13.2">
      <c r="C1444" s="126"/>
      <c r="D1444" s="126"/>
      <c r="E1444" s="150"/>
      <c r="F1444" s="150"/>
      <c r="I1444" s="74"/>
      <c r="K1444" s="151"/>
    </row>
    <row r="1445" spans="3:11" ht="13.2">
      <c r="C1445" s="126"/>
      <c r="D1445" s="126"/>
      <c r="E1445" s="150"/>
      <c r="F1445" s="150"/>
      <c r="I1445" s="74"/>
      <c r="K1445" s="151"/>
    </row>
    <row r="1446" spans="3:11" ht="13.2">
      <c r="C1446" s="126"/>
      <c r="D1446" s="126"/>
      <c r="E1446" s="150"/>
      <c r="F1446" s="150"/>
      <c r="I1446" s="74"/>
      <c r="K1446" s="151"/>
    </row>
    <row r="1447" spans="3:11" ht="13.2">
      <c r="C1447" s="126"/>
      <c r="D1447" s="126"/>
      <c r="E1447" s="150"/>
      <c r="F1447" s="150"/>
      <c r="I1447" s="74"/>
      <c r="K1447" s="151"/>
    </row>
    <row r="1448" spans="3:11" ht="13.2">
      <c r="C1448" s="126"/>
      <c r="D1448" s="126"/>
      <c r="E1448" s="150"/>
      <c r="F1448" s="150"/>
      <c r="I1448" s="74"/>
      <c r="K1448" s="151"/>
    </row>
    <row r="1449" spans="3:11" ht="13.2">
      <c r="C1449" s="126"/>
      <c r="D1449" s="126"/>
      <c r="E1449" s="150"/>
      <c r="F1449" s="150"/>
      <c r="I1449" s="74"/>
      <c r="K1449" s="151"/>
    </row>
    <row r="1450" spans="3:11" ht="13.2">
      <c r="C1450" s="126"/>
      <c r="D1450" s="126"/>
      <c r="E1450" s="150"/>
      <c r="F1450" s="150"/>
      <c r="I1450" s="74"/>
      <c r="K1450" s="151"/>
    </row>
    <row r="1451" spans="3:11" ht="13.2">
      <c r="C1451" s="126"/>
      <c r="D1451" s="126"/>
      <c r="E1451" s="150"/>
      <c r="F1451" s="150"/>
      <c r="I1451" s="74"/>
      <c r="K1451" s="151"/>
    </row>
    <row r="1452" spans="3:11" ht="13.2">
      <c r="C1452" s="126"/>
      <c r="D1452" s="126"/>
      <c r="E1452" s="150"/>
      <c r="F1452" s="150"/>
      <c r="I1452" s="74"/>
      <c r="K1452" s="151"/>
    </row>
    <row r="1453" spans="3:11" ht="13.2">
      <c r="C1453" s="126"/>
      <c r="D1453" s="126"/>
      <c r="E1453" s="150"/>
      <c r="F1453" s="150"/>
      <c r="I1453" s="74"/>
      <c r="K1453" s="151"/>
    </row>
    <row r="1454" spans="3:11" ht="13.2">
      <c r="C1454" s="126"/>
      <c r="D1454" s="126"/>
      <c r="E1454" s="150"/>
      <c r="F1454" s="150"/>
      <c r="I1454" s="74"/>
      <c r="K1454" s="151"/>
    </row>
    <row r="1455" spans="3:11" ht="13.2">
      <c r="C1455" s="126"/>
      <c r="D1455" s="126"/>
      <c r="E1455" s="150"/>
      <c r="F1455" s="150"/>
      <c r="I1455" s="74"/>
      <c r="K1455" s="151"/>
    </row>
    <row r="1456" spans="3:11" ht="13.2">
      <c r="C1456" s="126"/>
      <c r="D1456" s="126"/>
      <c r="E1456" s="150"/>
      <c r="F1456" s="150"/>
      <c r="I1456" s="74"/>
      <c r="K1456" s="151"/>
    </row>
    <row r="1457" spans="3:11" ht="13.2">
      <c r="C1457" s="126"/>
      <c r="D1457" s="126"/>
      <c r="E1457" s="150"/>
      <c r="F1457" s="150"/>
      <c r="I1457" s="74"/>
      <c r="K1457" s="151"/>
    </row>
    <row r="1458" spans="3:11" ht="13.2">
      <c r="C1458" s="126"/>
      <c r="D1458" s="126"/>
      <c r="E1458" s="150"/>
      <c r="F1458" s="150"/>
      <c r="I1458" s="74"/>
      <c r="K1458" s="151"/>
    </row>
    <row r="1459" spans="3:11" ht="13.2">
      <c r="C1459" s="126"/>
      <c r="D1459" s="126"/>
      <c r="E1459" s="150"/>
      <c r="F1459" s="150"/>
      <c r="I1459" s="74"/>
      <c r="K1459" s="151"/>
    </row>
    <row r="1460" spans="3:11" ht="13.2">
      <c r="C1460" s="126"/>
      <c r="D1460" s="126"/>
      <c r="E1460" s="150"/>
      <c r="F1460" s="150"/>
      <c r="I1460" s="74"/>
      <c r="K1460" s="151"/>
    </row>
    <row r="1461" spans="3:11" ht="13.2">
      <c r="C1461" s="126"/>
      <c r="D1461" s="126"/>
      <c r="E1461" s="150"/>
      <c r="F1461" s="150"/>
      <c r="I1461" s="74"/>
      <c r="K1461" s="151"/>
    </row>
    <row r="1462" spans="3:11" ht="13.2">
      <c r="C1462" s="126"/>
      <c r="D1462" s="126"/>
      <c r="E1462" s="150"/>
      <c r="F1462" s="150"/>
      <c r="I1462" s="74"/>
      <c r="K1462" s="151"/>
    </row>
    <row r="1463" spans="3:11" ht="13.2">
      <c r="C1463" s="126"/>
      <c r="D1463" s="126"/>
      <c r="E1463" s="150"/>
      <c r="F1463" s="150"/>
      <c r="I1463" s="74"/>
      <c r="K1463" s="151"/>
    </row>
    <row r="1464" spans="3:11" ht="13.2">
      <c r="C1464" s="126"/>
      <c r="D1464" s="126"/>
      <c r="E1464" s="150"/>
      <c r="F1464" s="150"/>
      <c r="I1464" s="74"/>
      <c r="K1464" s="151"/>
    </row>
    <row r="1465" spans="3:11" ht="13.2">
      <c r="C1465" s="126"/>
      <c r="D1465" s="126"/>
      <c r="E1465" s="150"/>
      <c r="F1465" s="150"/>
      <c r="I1465" s="74"/>
      <c r="K1465" s="151"/>
    </row>
    <row r="1466" spans="3:11" ht="13.2">
      <c r="C1466" s="126"/>
      <c r="D1466" s="126"/>
      <c r="E1466" s="150"/>
      <c r="F1466" s="150"/>
      <c r="I1466" s="74"/>
      <c r="K1466" s="151"/>
    </row>
    <row r="1467" spans="3:11" ht="13.2">
      <c r="C1467" s="126"/>
      <c r="D1467" s="126"/>
      <c r="E1467" s="150"/>
      <c r="F1467" s="150"/>
      <c r="I1467" s="74"/>
      <c r="K1467" s="151"/>
    </row>
    <row r="1468" spans="3:11" ht="13.2">
      <c r="C1468" s="126"/>
      <c r="D1468" s="126"/>
      <c r="E1468" s="150"/>
      <c r="F1468" s="150"/>
      <c r="I1468" s="74"/>
      <c r="K1468" s="151"/>
    </row>
    <row r="1469" spans="3:11" ht="13.2">
      <c r="C1469" s="126"/>
      <c r="D1469" s="126"/>
      <c r="E1469" s="150"/>
      <c r="F1469" s="150"/>
      <c r="I1469" s="74"/>
      <c r="K1469" s="151"/>
    </row>
    <row r="1470" spans="3:11" ht="13.2">
      <c r="C1470" s="126"/>
      <c r="D1470" s="126"/>
      <c r="E1470" s="150"/>
      <c r="F1470" s="150"/>
      <c r="I1470" s="74"/>
      <c r="K1470" s="151"/>
    </row>
    <row r="1471" spans="3:11" ht="13.2">
      <c r="C1471" s="126"/>
      <c r="D1471" s="126"/>
      <c r="E1471" s="150"/>
      <c r="F1471" s="150"/>
      <c r="I1471" s="74"/>
      <c r="K1471" s="151"/>
    </row>
    <row r="1472" spans="3:11" ht="13.2">
      <c r="C1472" s="126"/>
      <c r="D1472" s="126"/>
      <c r="E1472" s="150"/>
      <c r="F1472" s="150"/>
      <c r="I1472" s="74"/>
      <c r="K1472" s="151"/>
    </row>
    <row r="1473" spans="3:11" ht="13.2">
      <c r="C1473" s="126"/>
      <c r="D1473" s="126"/>
      <c r="E1473" s="150"/>
      <c r="F1473" s="150"/>
      <c r="I1473" s="74"/>
      <c r="K1473" s="151"/>
    </row>
    <row r="1474" spans="3:11" ht="13.2">
      <c r="C1474" s="126"/>
      <c r="D1474" s="126"/>
      <c r="E1474" s="150"/>
      <c r="F1474" s="150"/>
      <c r="I1474" s="74"/>
      <c r="K1474" s="151"/>
    </row>
    <row r="1475" spans="3:11" ht="13.2">
      <c r="C1475" s="126"/>
      <c r="D1475" s="126"/>
      <c r="E1475" s="150"/>
      <c r="F1475" s="150"/>
      <c r="I1475" s="74"/>
      <c r="K1475" s="151"/>
    </row>
    <row r="1476" spans="3:11" ht="13.2">
      <c r="C1476" s="126"/>
      <c r="D1476" s="126"/>
      <c r="E1476" s="150"/>
      <c r="F1476" s="150"/>
      <c r="I1476" s="74"/>
      <c r="K1476" s="151"/>
    </row>
    <row r="1477" spans="3:11" ht="13.2">
      <c r="C1477" s="126"/>
      <c r="D1477" s="126"/>
      <c r="E1477" s="150"/>
      <c r="F1477" s="150"/>
      <c r="I1477" s="74"/>
      <c r="K1477" s="151"/>
    </row>
    <row r="1478" spans="3:11" ht="13.2">
      <c r="C1478" s="126"/>
      <c r="D1478" s="126"/>
      <c r="E1478" s="150"/>
      <c r="F1478" s="150"/>
      <c r="I1478" s="74"/>
      <c r="K1478" s="151"/>
    </row>
    <row r="1479" spans="3:11" ht="13.2">
      <c r="C1479" s="126"/>
      <c r="D1479" s="126"/>
      <c r="E1479" s="150"/>
      <c r="F1479" s="150"/>
      <c r="I1479" s="74"/>
      <c r="K1479" s="151"/>
    </row>
    <row r="1480" spans="3:11" ht="13.2">
      <c r="C1480" s="126"/>
      <c r="D1480" s="126"/>
      <c r="E1480" s="150"/>
      <c r="F1480" s="150"/>
      <c r="I1480" s="74"/>
      <c r="K1480" s="151"/>
    </row>
    <row r="1481" spans="3:11" ht="13.2">
      <c r="C1481" s="126"/>
      <c r="D1481" s="126"/>
      <c r="E1481" s="150"/>
      <c r="F1481" s="150"/>
      <c r="I1481" s="74"/>
      <c r="K1481" s="151"/>
    </row>
    <row r="1482" spans="3:11" ht="13.2">
      <c r="C1482" s="126"/>
      <c r="D1482" s="126"/>
      <c r="E1482" s="150"/>
      <c r="F1482" s="150"/>
      <c r="I1482" s="74"/>
      <c r="K1482" s="151"/>
    </row>
    <row r="1483" spans="3:11" ht="13.2">
      <c r="C1483" s="126"/>
      <c r="D1483" s="126"/>
      <c r="E1483" s="150"/>
      <c r="F1483" s="150"/>
      <c r="I1483" s="74"/>
      <c r="K1483" s="151"/>
    </row>
    <row r="1484" spans="3:11" ht="13.2">
      <c r="C1484" s="126"/>
      <c r="D1484" s="126"/>
      <c r="E1484" s="150"/>
      <c r="F1484" s="150"/>
      <c r="I1484" s="74"/>
      <c r="K1484" s="151"/>
    </row>
    <row r="1485" spans="3:11" ht="13.2">
      <c r="C1485" s="126"/>
      <c r="D1485" s="126"/>
      <c r="E1485" s="150"/>
      <c r="F1485" s="150"/>
      <c r="I1485" s="74"/>
      <c r="K1485" s="151"/>
    </row>
    <row r="1486" spans="3:11" ht="13.2">
      <c r="C1486" s="126"/>
      <c r="D1486" s="126"/>
      <c r="E1486" s="150"/>
      <c r="F1486" s="150"/>
      <c r="I1486" s="74"/>
      <c r="K1486" s="151"/>
    </row>
    <row r="1487" spans="3:11" ht="13.2">
      <c r="C1487" s="126"/>
      <c r="D1487" s="126"/>
      <c r="E1487" s="150"/>
      <c r="F1487" s="150"/>
      <c r="I1487" s="74"/>
      <c r="K1487" s="151"/>
    </row>
    <row r="1488" spans="3:11" ht="13.2">
      <c r="C1488" s="126"/>
      <c r="D1488" s="126"/>
      <c r="E1488" s="150"/>
      <c r="F1488" s="150"/>
      <c r="I1488" s="74"/>
      <c r="K1488" s="151"/>
    </row>
    <row r="1489" spans="3:11" ht="13.2">
      <c r="C1489" s="126"/>
      <c r="D1489" s="126"/>
      <c r="E1489" s="150"/>
      <c r="F1489" s="150"/>
      <c r="I1489" s="74"/>
      <c r="K1489" s="151"/>
    </row>
    <row r="1490" spans="3:11" ht="13.2">
      <c r="C1490" s="126"/>
      <c r="D1490" s="126"/>
      <c r="E1490" s="150"/>
      <c r="F1490" s="150"/>
      <c r="I1490" s="74"/>
      <c r="K1490" s="151"/>
    </row>
    <row r="1491" spans="3:11" ht="13.2">
      <c r="C1491" s="126"/>
      <c r="D1491" s="126"/>
      <c r="E1491" s="150"/>
      <c r="F1491" s="150"/>
      <c r="I1491" s="74"/>
      <c r="K1491" s="151"/>
    </row>
    <row r="1492" spans="3:11" ht="13.2">
      <c r="C1492" s="126"/>
      <c r="D1492" s="126"/>
      <c r="E1492" s="150"/>
      <c r="F1492" s="150"/>
      <c r="I1492" s="74"/>
      <c r="K1492" s="151"/>
    </row>
    <row r="1493" spans="3:11" ht="13.2">
      <c r="C1493" s="126"/>
      <c r="D1493" s="126"/>
      <c r="E1493" s="150"/>
      <c r="F1493" s="150"/>
      <c r="I1493" s="74"/>
      <c r="K1493" s="151"/>
    </row>
    <row r="1494" spans="3:11" ht="13.2">
      <c r="C1494" s="126"/>
      <c r="D1494" s="126"/>
      <c r="E1494" s="150"/>
      <c r="F1494" s="150"/>
      <c r="I1494" s="74"/>
      <c r="K1494" s="151"/>
    </row>
    <row r="1495" spans="3:11" ht="13.2">
      <c r="C1495" s="126"/>
      <c r="D1495" s="126"/>
      <c r="E1495" s="150"/>
      <c r="F1495" s="150"/>
      <c r="I1495" s="74"/>
      <c r="K1495" s="151"/>
    </row>
    <row r="1496" spans="3:11" ht="13.2">
      <c r="C1496" s="126"/>
      <c r="D1496" s="126"/>
      <c r="E1496" s="150"/>
      <c r="F1496" s="150"/>
      <c r="I1496" s="74"/>
      <c r="K1496" s="151"/>
    </row>
    <row r="1497" spans="3:11" ht="13.2">
      <c r="C1497" s="126"/>
      <c r="D1497" s="126"/>
      <c r="E1497" s="150"/>
      <c r="F1497" s="150"/>
      <c r="I1497" s="74"/>
      <c r="K1497" s="151"/>
    </row>
    <row r="1498" spans="3:11" ht="13.2">
      <c r="C1498" s="126"/>
      <c r="D1498" s="126"/>
      <c r="E1498" s="150"/>
      <c r="F1498" s="150"/>
      <c r="I1498" s="74"/>
      <c r="K1498" s="151"/>
    </row>
    <row r="1499" spans="3:11" ht="13.2">
      <c r="C1499" s="126"/>
      <c r="D1499" s="126"/>
      <c r="E1499" s="150"/>
      <c r="F1499" s="150"/>
      <c r="I1499" s="74"/>
      <c r="K1499" s="151"/>
    </row>
    <row r="1500" spans="3:11" ht="13.2">
      <c r="C1500" s="126"/>
      <c r="D1500" s="126"/>
      <c r="E1500" s="150"/>
      <c r="F1500" s="150"/>
      <c r="I1500" s="74"/>
      <c r="K1500" s="151"/>
    </row>
    <row r="1501" spans="3:11" ht="13.2">
      <c r="C1501" s="126"/>
      <c r="D1501" s="126"/>
      <c r="E1501" s="150"/>
      <c r="F1501" s="150"/>
      <c r="I1501" s="74"/>
      <c r="K1501" s="151"/>
    </row>
    <row r="1502" spans="3:11" ht="13.2">
      <c r="C1502" s="126"/>
      <c r="D1502" s="126"/>
      <c r="E1502" s="150"/>
      <c r="F1502" s="150"/>
      <c r="I1502" s="74"/>
      <c r="K1502" s="151"/>
    </row>
    <row r="1503" spans="3:11" ht="13.2">
      <c r="C1503" s="126"/>
      <c r="D1503" s="126"/>
      <c r="E1503" s="150"/>
      <c r="F1503" s="150"/>
      <c r="I1503" s="74"/>
      <c r="K1503" s="151"/>
    </row>
    <row r="1504" spans="3:11" ht="13.2">
      <c r="C1504" s="126"/>
      <c r="D1504" s="126"/>
      <c r="E1504" s="150"/>
      <c r="F1504" s="150"/>
      <c r="I1504" s="74"/>
      <c r="K1504" s="151"/>
    </row>
    <row r="1505" spans="3:11" ht="13.2">
      <c r="C1505" s="126"/>
      <c r="D1505" s="126"/>
      <c r="E1505" s="150"/>
      <c r="F1505" s="150"/>
      <c r="I1505" s="74"/>
      <c r="K1505" s="151"/>
    </row>
    <row r="1506" spans="3:11" ht="13.2">
      <c r="C1506" s="126"/>
      <c r="D1506" s="126"/>
      <c r="E1506" s="150"/>
      <c r="F1506" s="150"/>
      <c r="I1506" s="74"/>
      <c r="K1506" s="151"/>
    </row>
    <row r="1507" spans="3:11" ht="13.2">
      <c r="C1507" s="126"/>
      <c r="D1507" s="126"/>
      <c r="E1507" s="150"/>
      <c r="F1507" s="150"/>
      <c r="I1507" s="74"/>
      <c r="K1507" s="151"/>
    </row>
    <row r="1508" spans="3:11" ht="13.2">
      <c r="C1508" s="126"/>
      <c r="D1508" s="126"/>
      <c r="E1508" s="150"/>
      <c r="F1508" s="150"/>
      <c r="I1508" s="74"/>
      <c r="K1508" s="151"/>
    </row>
    <row r="1509" spans="3:11" ht="13.2">
      <c r="C1509" s="126"/>
      <c r="D1509" s="126"/>
      <c r="E1509" s="150"/>
      <c r="F1509" s="150"/>
      <c r="I1509" s="74"/>
      <c r="K1509" s="151"/>
    </row>
    <row r="1510" spans="3:11" ht="13.2">
      <c r="C1510" s="126"/>
      <c r="D1510" s="126"/>
      <c r="E1510" s="150"/>
      <c r="F1510" s="150"/>
      <c r="I1510" s="74"/>
      <c r="K1510" s="151"/>
    </row>
    <row r="1511" spans="3:11" ht="13.2">
      <c r="C1511" s="126"/>
      <c r="D1511" s="126"/>
      <c r="E1511" s="150"/>
      <c r="F1511" s="150"/>
      <c r="I1511" s="74"/>
      <c r="K1511" s="151"/>
    </row>
    <row r="1512" spans="3:11" ht="13.2">
      <c r="C1512" s="126"/>
      <c r="D1512" s="126"/>
      <c r="E1512" s="150"/>
      <c r="F1512" s="150"/>
      <c r="I1512" s="74"/>
      <c r="K1512" s="151"/>
    </row>
    <row r="1513" spans="3:11" ht="13.2">
      <c r="C1513" s="126"/>
      <c r="D1513" s="126"/>
      <c r="E1513" s="150"/>
      <c r="F1513" s="150"/>
      <c r="I1513" s="74"/>
      <c r="K1513" s="151"/>
    </row>
    <row r="1514" spans="3:11" ht="13.2">
      <c r="C1514" s="126"/>
      <c r="D1514" s="126"/>
      <c r="E1514" s="150"/>
      <c r="F1514" s="150"/>
      <c r="I1514" s="74"/>
      <c r="K1514" s="151"/>
    </row>
    <row r="1515" spans="3:11" ht="13.2">
      <c r="C1515" s="126"/>
      <c r="D1515" s="126"/>
      <c r="E1515" s="150"/>
      <c r="F1515" s="150"/>
      <c r="I1515" s="74"/>
      <c r="K1515" s="151"/>
    </row>
    <row r="1516" spans="3:11" ht="13.2">
      <c r="C1516" s="126"/>
      <c r="D1516" s="126"/>
      <c r="E1516" s="150"/>
      <c r="F1516" s="150"/>
      <c r="I1516" s="74"/>
      <c r="K1516" s="151"/>
    </row>
    <row r="1517" spans="3:11" ht="13.2">
      <c r="C1517" s="126"/>
      <c r="D1517" s="126"/>
      <c r="E1517" s="150"/>
      <c r="F1517" s="150"/>
      <c r="I1517" s="74"/>
      <c r="K1517" s="151"/>
    </row>
    <row r="1518" spans="3:11" ht="13.2">
      <c r="C1518" s="126"/>
      <c r="D1518" s="126"/>
      <c r="E1518" s="150"/>
      <c r="F1518" s="150"/>
      <c r="I1518" s="74"/>
      <c r="K1518" s="151"/>
    </row>
    <row r="1519" spans="3:11" ht="13.2">
      <c r="C1519" s="126"/>
      <c r="D1519" s="126"/>
      <c r="E1519" s="150"/>
      <c r="F1519" s="150"/>
      <c r="I1519" s="74"/>
      <c r="K1519" s="151"/>
    </row>
    <row r="1520" spans="3:11" ht="13.2">
      <c r="C1520" s="126"/>
      <c r="D1520" s="126"/>
      <c r="E1520" s="150"/>
      <c r="F1520" s="150"/>
      <c r="I1520" s="74"/>
      <c r="K1520" s="151"/>
    </row>
    <row r="1521" spans="3:11" ht="13.2">
      <c r="C1521" s="126"/>
      <c r="D1521" s="126"/>
      <c r="E1521" s="150"/>
      <c r="F1521" s="150"/>
      <c r="I1521" s="74"/>
      <c r="K1521" s="151"/>
    </row>
    <row r="1522" spans="3:11" ht="13.2">
      <c r="C1522" s="126"/>
      <c r="D1522" s="126"/>
      <c r="E1522" s="150"/>
      <c r="F1522" s="150"/>
      <c r="I1522" s="74"/>
      <c r="K1522" s="151"/>
    </row>
    <row r="1523" spans="3:11" ht="13.2">
      <c r="C1523" s="126"/>
      <c r="D1523" s="126"/>
      <c r="E1523" s="150"/>
      <c r="F1523" s="150"/>
      <c r="I1523" s="74"/>
      <c r="K1523" s="151"/>
    </row>
    <row r="1524" spans="3:11" ht="13.2">
      <c r="C1524" s="126"/>
      <c r="D1524" s="126"/>
      <c r="E1524" s="150"/>
      <c r="F1524" s="150"/>
      <c r="I1524" s="74"/>
      <c r="K1524" s="151"/>
    </row>
    <row r="1525" spans="3:11" ht="13.2">
      <c r="C1525" s="126"/>
      <c r="D1525" s="126"/>
      <c r="E1525" s="150"/>
      <c r="F1525" s="150"/>
      <c r="I1525" s="74"/>
      <c r="K1525" s="151"/>
    </row>
    <row r="1526" spans="3:11" ht="13.2">
      <c r="C1526" s="126"/>
      <c r="D1526" s="126"/>
      <c r="E1526" s="150"/>
      <c r="F1526" s="150"/>
      <c r="I1526" s="74"/>
      <c r="K1526" s="151"/>
    </row>
    <row r="1527" spans="3:11" ht="13.2">
      <c r="C1527" s="126"/>
      <c r="D1527" s="126"/>
      <c r="E1527" s="150"/>
      <c r="F1527" s="150"/>
      <c r="I1527" s="74"/>
      <c r="K1527" s="151"/>
    </row>
    <row r="1528" spans="3:11" ht="13.2">
      <c r="C1528" s="126"/>
      <c r="D1528" s="126"/>
      <c r="E1528" s="150"/>
      <c r="F1528" s="150"/>
      <c r="I1528" s="74"/>
      <c r="K1528" s="151"/>
    </row>
    <row r="1529" spans="3:11" ht="13.2">
      <c r="C1529" s="126"/>
      <c r="D1529" s="126"/>
      <c r="E1529" s="150"/>
      <c r="F1529" s="150"/>
      <c r="I1529" s="74"/>
      <c r="K1529" s="151"/>
    </row>
    <row r="1530" spans="3:11" ht="13.2">
      <c r="C1530" s="126"/>
      <c r="D1530" s="126"/>
      <c r="E1530" s="150"/>
      <c r="F1530" s="150"/>
      <c r="I1530" s="74"/>
      <c r="K1530" s="151"/>
    </row>
    <row r="1531" spans="3:11" ht="13.2">
      <c r="C1531" s="126"/>
      <c r="D1531" s="126"/>
      <c r="E1531" s="150"/>
      <c r="F1531" s="150"/>
      <c r="I1531" s="74"/>
      <c r="K1531" s="151"/>
    </row>
    <row r="1532" spans="3:11" ht="13.2">
      <c r="C1532" s="126"/>
      <c r="D1532" s="126"/>
      <c r="E1532" s="150"/>
      <c r="F1532" s="150"/>
      <c r="I1532" s="74"/>
      <c r="K1532" s="151"/>
    </row>
    <row r="1533" spans="3:11" ht="13.2">
      <c r="C1533" s="126"/>
      <c r="D1533" s="126"/>
      <c r="E1533" s="150"/>
      <c r="F1533" s="150"/>
      <c r="I1533" s="74"/>
      <c r="K1533" s="151"/>
    </row>
    <row r="1534" spans="3:11" ht="13.2">
      <c r="C1534" s="126"/>
      <c r="D1534" s="126"/>
      <c r="E1534" s="150"/>
      <c r="F1534" s="150"/>
      <c r="I1534" s="74"/>
      <c r="K1534" s="151"/>
    </row>
    <row r="1535" spans="3:11" ht="13.2">
      <c r="C1535" s="126"/>
      <c r="D1535" s="126"/>
      <c r="E1535" s="150"/>
      <c r="F1535" s="150"/>
      <c r="I1535" s="74"/>
      <c r="K1535" s="151"/>
    </row>
    <row r="1536" spans="3:11" ht="13.2">
      <c r="C1536" s="126"/>
      <c r="D1536" s="126"/>
      <c r="E1536" s="150"/>
      <c r="F1536" s="150"/>
      <c r="I1536" s="74"/>
      <c r="K1536" s="151"/>
    </row>
    <row r="1537" spans="3:11" ht="13.2">
      <c r="C1537" s="126"/>
      <c r="D1537" s="126"/>
      <c r="E1537" s="150"/>
      <c r="F1537" s="150"/>
      <c r="I1537" s="74"/>
      <c r="K1537" s="151"/>
    </row>
    <row r="1538" spans="3:11" ht="13.2">
      <c r="C1538" s="126"/>
      <c r="D1538" s="126"/>
      <c r="E1538" s="150"/>
      <c r="F1538" s="150"/>
      <c r="I1538" s="74"/>
      <c r="K1538" s="151"/>
    </row>
    <row r="1539" spans="3:11" ht="13.2">
      <c r="C1539" s="126"/>
      <c r="D1539" s="126"/>
      <c r="E1539" s="150"/>
      <c r="F1539" s="150"/>
      <c r="I1539" s="74"/>
      <c r="K1539" s="151"/>
    </row>
    <row r="1540" spans="3:11" ht="13.2">
      <c r="C1540" s="126"/>
      <c r="D1540" s="126"/>
      <c r="E1540" s="150"/>
      <c r="F1540" s="150"/>
      <c r="I1540" s="74"/>
      <c r="K1540" s="151"/>
    </row>
    <row r="1541" spans="3:11" ht="13.2">
      <c r="C1541" s="126"/>
      <c r="D1541" s="126"/>
      <c r="E1541" s="150"/>
      <c r="F1541" s="150"/>
      <c r="I1541" s="74"/>
      <c r="K1541" s="151"/>
    </row>
    <row r="1542" spans="3:11" ht="13.2">
      <c r="C1542" s="126"/>
      <c r="D1542" s="126"/>
      <c r="E1542" s="150"/>
      <c r="F1542" s="150"/>
      <c r="I1542" s="74"/>
      <c r="K1542" s="151"/>
    </row>
    <row r="1543" spans="3:11" ht="13.2">
      <c r="C1543" s="126"/>
      <c r="D1543" s="126"/>
      <c r="E1543" s="150"/>
      <c r="F1543" s="150"/>
      <c r="I1543" s="74"/>
      <c r="K1543" s="151"/>
    </row>
    <row r="1544" spans="3:11" ht="13.2">
      <c r="C1544" s="126"/>
      <c r="D1544" s="126"/>
      <c r="E1544" s="150"/>
      <c r="F1544" s="150"/>
      <c r="I1544" s="74"/>
      <c r="K1544" s="151"/>
    </row>
    <row r="1545" spans="3:11" ht="13.2">
      <c r="C1545" s="126"/>
      <c r="D1545" s="126"/>
      <c r="E1545" s="150"/>
      <c r="F1545" s="150"/>
      <c r="I1545" s="74"/>
      <c r="K1545" s="151"/>
    </row>
    <row r="1546" spans="3:11" ht="13.2">
      <c r="C1546" s="126"/>
      <c r="D1546" s="126"/>
      <c r="E1546" s="150"/>
      <c r="F1546" s="150"/>
      <c r="I1546" s="74"/>
      <c r="K1546" s="151"/>
    </row>
    <row r="1547" spans="3:11" ht="13.2">
      <c r="C1547" s="126"/>
      <c r="D1547" s="126"/>
      <c r="E1547" s="150"/>
      <c r="F1547" s="150"/>
      <c r="I1547" s="74"/>
      <c r="K1547" s="151"/>
    </row>
    <row r="1548" spans="3:11" ht="13.2">
      <c r="C1548" s="126"/>
      <c r="D1548" s="126"/>
      <c r="E1548" s="150"/>
      <c r="F1548" s="150"/>
      <c r="I1548" s="74"/>
      <c r="K1548" s="151"/>
    </row>
    <row r="1549" spans="3:11" ht="13.2">
      <c r="C1549" s="126"/>
      <c r="D1549" s="126"/>
      <c r="E1549" s="150"/>
      <c r="F1549" s="150"/>
      <c r="I1549" s="74"/>
      <c r="K1549" s="151"/>
    </row>
    <row r="1550" spans="3:11" ht="13.2">
      <c r="C1550" s="126"/>
      <c r="D1550" s="126"/>
      <c r="E1550" s="150"/>
      <c r="F1550" s="150"/>
      <c r="I1550" s="74"/>
      <c r="K1550" s="151"/>
    </row>
    <row r="1551" spans="3:11" ht="13.2">
      <c r="C1551" s="126"/>
      <c r="D1551" s="126"/>
      <c r="E1551" s="150"/>
      <c r="F1551" s="150"/>
      <c r="I1551" s="74"/>
      <c r="K1551" s="151"/>
    </row>
    <row r="1552" spans="3:11" ht="13.2">
      <c r="C1552" s="126"/>
      <c r="D1552" s="126"/>
      <c r="E1552" s="150"/>
      <c r="F1552" s="150"/>
      <c r="I1552" s="74"/>
      <c r="K1552" s="151"/>
    </row>
    <row r="1553" spans="3:11" ht="13.2">
      <c r="C1553" s="126"/>
      <c r="D1553" s="126"/>
      <c r="E1553" s="150"/>
      <c r="F1553" s="150"/>
      <c r="I1553" s="74"/>
      <c r="K1553" s="1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5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/>
  <cols>
    <col min="14" max="14" width="19.109375" customWidth="1"/>
  </cols>
  <sheetData>
    <row r="1" spans="1:27" ht="15.75" customHeight="1">
      <c r="A1" s="68" t="s">
        <v>31</v>
      </c>
      <c r="B1" s="68" t="s">
        <v>1</v>
      </c>
      <c r="C1" s="1" t="s">
        <v>2</v>
      </c>
      <c r="D1" s="68" t="s">
        <v>3</v>
      </c>
      <c r="E1" s="69" t="s">
        <v>4</v>
      </c>
      <c r="F1" s="69" t="s">
        <v>5</v>
      </c>
      <c r="G1" s="68" t="s">
        <v>303</v>
      </c>
      <c r="H1" s="68" t="s">
        <v>304</v>
      </c>
      <c r="I1" s="71" t="s">
        <v>8</v>
      </c>
      <c r="J1" s="68" t="s">
        <v>9</v>
      </c>
      <c r="K1" s="71" t="s">
        <v>10</v>
      </c>
      <c r="L1" s="36" t="s">
        <v>305</v>
      </c>
      <c r="M1" s="68" t="s">
        <v>11</v>
      </c>
      <c r="N1" s="70" t="s">
        <v>306</v>
      </c>
      <c r="O1" s="36" t="s">
        <v>307</v>
      </c>
      <c r="P1" s="36" t="s">
        <v>14</v>
      </c>
      <c r="Q1" s="36" t="s">
        <v>308</v>
      </c>
      <c r="R1" s="36" t="s">
        <v>309</v>
      </c>
      <c r="S1" s="36" t="s">
        <v>310</v>
      </c>
      <c r="T1" s="36" t="s">
        <v>311</v>
      </c>
      <c r="U1" s="36" t="s">
        <v>312</v>
      </c>
      <c r="V1" s="7"/>
      <c r="W1" s="36" t="s">
        <v>313</v>
      </c>
      <c r="X1" s="36" t="s">
        <v>314</v>
      </c>
      <c r="Y1" s="36" t="s">
        <v>315</v>
      </c>
      <c r="Z1" s="36" t="s">
        <v>316</v>
      </c>
      <c r="AA1" s="7"/>
    </row>
    <row r="2" spans="1:27" ht="15.75" customHeight="1">
      <c r="A2" s="169" t="s">
        <v>123</v>
      </c>
      <c r="B2" s="5">
        <v>0</v>
      </c>
      <c r="C2" s="5">
        <v>0</v>
      </c>
      <c r="D2" s="9">
        <v>42992</v>
      </c>
      <c r="E2" s="10">
        <v>352.6</v>
      </c>
      <c r="F2" s="11" t="s">
        <v>21</v>
      </c>
      <c r="G2" s="12">
        <f>AVERAGE(F3,F4,F5,F10)</f>
        <v>5.6583333333333341</v>
      </c>
      <c r="H2" s="12">
        <f>AVERAGE(G20,G110,G214,G347,G447,G556,G670,G783,G870,G987)</f>
        <v>5.6318640371973698</v>
      </c>
      <c r="I2" s="13">
        <v>82.2</v>
      </c>
      <c r="J2" s="14"/>
      <c r="K2" s="13">
        <v>22.2</v>
      </c>
      <c r="L2" s="15">
        <f>I2-I3</f>
        <v>3.6000000000000085</v>
      </c>
      <c r="M2" s="15">
        <f>AVERAGE(K51,K141,K245,K378,K478,K587,K701,K901,K1018)</f>
        <v>43.911111111111111</v>
      </c>
      <c r="N2" s="5">
        <f>((M2/1000)*5)/(H2-'Water Controls'!H2)</f>
        <v>7.2564064560104682E-2</v>
      </c>
      <c r="O2" s="14">
        <f>(N2*2000)/1000</f>
        <v>0.14512812912020936</v>
      </c>
      <c r="P2" s="14"/>
      <c r="Q2" s="14">
        <f>SUM(P2:P15)-104.4</f>
        <v>275.89999999999998</v>
      </c>
      <c r="R2" s="6" t="s">
        <v>317</v>
      </c>
      <c r="S2" s="6" t="s">
        <v>317</v>
      </c>
      <c r="T2" s="73">
        <f>I7-I10</f>
        <v>18.900000000000006</v>
      </c>
      <c r="U2" s="7">
        <f>SUM(T2:T7)*5.24</f>
        <v>1235.0680000000002</v>
      </c>
      <c r="V2" s="7">
        <f>SUM(U2:U9)</f>
        <v>1314.1180000000002</v>
      </c>
      <c r="W2" s="7"/>
      <c r="X2" s="7"/>
      <c r="Y2" s="7"/>
      <c r="Z2" s="7"/>
      <c r="AA2" s="7"/>
    </row>
    <row r="3" spans="1:27" ht="15.75" customHeight="1">
      <c r="A3" s="5" t="s">
        <v>23</v>
      </c>
      <c r="B3" s="5">
        <v>0</v>
      </c>
      <c r="C3" s="5">
        <v>0</v>
      </c>
      <c r="D3" s="9">
        <v>42993</v>
      </c>
      <c r="E3" s="10">
        <v>347.8</v>
      </c>
      <c r="F3" s="12">
        <f>E2-E3</f>
        <v>4.8000000000000114</v>
      </c>
      <c r="G3" s="14"/>
      <c r="H3" s="12">
        <f>AVERAGE(F3:F6)</f>
        <v>5.7708333333333384</v>
      </c>
      <c r="I3" s="13">
        <v>78.599999999999994</v>
      </c>
      <c r="J3" s="14">
        <f>(I2-I3)/(D3-D2)</f>
        <v>3.6000000000000085</v>
      </c>
      <c r="K3" s="13">
        <v>21.4</v>
      </c>
      <c r="L3" s="14"/>
      <c r="M3" s="14"/>
      <c r="N3" s="14"/>
      <c r="O3" s="14"/>
      <c r="P3" s="12">
        <f>E7-E10</f>
        <v>24.800000000000011</v>
      </c>
      <c r="Q3" s="14"/>
      <c r="R3" s="7">
        <f>SUM(Q429,Q538,Q852,Q969)</f>
        <v>1310.1999999999998</v>
      </c>
      <c r="S3" s="7">
        <f>SUM(Q2,Q92,Q196,Q329,Q652)</f>
        <v>1527.6999999999998</v>
      </c>
      <c r="T3" s="73">
        <f>I12-I14</f>
        <v>12.200000000000003</v>
      </c>
      <c r="U3" s="7"/>
      <c r="V3" s="7"/>
      <c r="W3" s="7"/>
      <c r="X3" s="7"/>
      <c r="Y3" s="7"/>
      <c r="Z3" s="7"/>
      <c r="AA3" s="7"/>
    </row>
    <row r="4" spans="1:27" ht="15.75" customHeight="1">
      <c r="A4" s="14"/>
      <c r="B4" s="5">
        <v>0</v>
      </c>
      <c r="C4" s="5">
        <v>0</v>
      </c>
      <c r="D4" s="9">
        <v>42996</v>
      </c>
      <c r="E4" s="10">
        <v>329.7</v>
      </c>
      <c r="F4" s="12">
        <f t="shared" ref="F4:F6" si="0">(E3-E4)/(D4-D3)</f>
        <v>6.0333333333333412</v>
      </c>
      <c r="G4" s="14"/>
      <c r="H4" s="14"/>
      <c r="I4" s="13">
        <v>98.3</v>
      </c>
      <c r="J4" s="14"/>
      <c r="K4" s="13">
        <v>21.1</v>
      </c>
      <c r="L4" s="14"/>
      <c r="M4" s="14"/>
      <c r="N4" s="14"/>
      <c r="O4" s="14"/>
      <c r="P4" s="12">
        <f>E11-E14</f>
        <v>39.899999999999977</v>
      </c>
      <c r="Q4" s="14"/>
      <c r="R4" s="7"/>
      <c r="S4" s="7"/>
      <c r="T4" s="73">
        <f>81.9-I25</f>
        <v>54.800000000000004</v>
      </c>
      <c r="U4" s="7"/>
      <c r="V4" s="7"/>
      <c r="W4" s="7"/>
      <c r="X4" s="7"/>
      <c r="Y4" s="7"/>
      <c r="Z4" s="7"/>
      <c r="AA4" s="7"/>
    </row>
    <row r="5" spans="1:27" ht="15.75" customHeight="1">
      <c r="A5" s="14"/>
      <c r="B5" s="5">
        <v>0</v>
      </c>
      <c r="C5" s="5">
        <v>0</v>
      </c>
      <c r="D5" s="9">
        <v>42998</v>
      </c>
      <c r="E5" s="10">
        <v>320.8</v>
      </c>
      <c r="F5" s="12">
        <f t="shared" si="0"/>
        <v>4.4499999999999886</v>
      </c>
      <c r="G5" s="14"/>
      <c r="H5" s="14"/>
      <c r="I5" s="13">
        <v>60.2</v>
      </c>
      <c r="J5" s="14"/>
      <c r="K5" s="13">
        <v>21.4</v>
      </c>
      <c r="L5" s="14"/>
      <c r="M5" s="14"/>
      <c r="N5" s="14"/>
      <c r="O5" s="14"/>
      <c r="P5" s="12">
        <f>E15-E18</f>
        <v>28.699999999999989</v>
      </c>
      <c r="Q5" s="14"/>
      <c r="R5" s="7"/>
      <c r="S5" s="7"/>
      <c r="T5" s="73">
        <f>55.9-I29</f>
        <v>19.799999999999997</v>
      </c>
      <c r="U5" s="7"/>
      <c r="V5" s="7"/>
      <c r="W5" s="7"/>
      <c r="X5" s="7"/>
      <c r="Y5" s="7"/>
      <c r="Z5" s="7"/>
      <c r="AA5" s="7"/>
    </row>
    <row r="6" spans="1:27" ht="15.75" customHeight="1">
      <c r="A6" s="14"/>
      <c r="B6" s="5">
        <v>0</v>
      </c>
      <c r="C6" s="5">
        <v>0</v>
      </c>
      <c r="D6" s="17">
        <v>42999</v>
      </c>
      <c r="E6" s="10">
        <v>313</v>
      </c>
      <c r="F6" s="12">
        <f t="shared" si="0"/>
        <v>7.8000000000000114</v>
      </c>
      <c r="G6" s="14"/>
      <c r="H6" s="14"/>
      <c r="I6" s="13">
        <v>56.7</v>
      </c>
      <c r="J6" s="14">
        <f>(I5-I6)/(D6-D5)</f>
        <v>3.5</v>
      </c>
      <c r="K6" s="13">
        <v>21.9</v>
      </c>
      <c r="L6" s="15">
        <f>(I5-I6)</f>
        <v>3.5</v>
      </c>
      <c r="M6" s="14"/>
      <c r="N6" s="14"/>
      <c r="O6" s="14"/>
      <c r="P6" s="12">
        <f>E19-E22</f>
        <v>36.899999999999977</v>
      </c>
      <c r="Q6" s="14"/>
      <c r="R6" s="7"/>
      <c r="S6" s="7"/>
      <c r="T6" s="73">
        <f>95.7-I41</f>
        <v>60.900000000000006</v>
      </c>
      <c r="U6" s="7"/>
      <c r="V6" s="7"/>
      <c r="W6" s="7"/>
      <c r="X6" s="7"/>
      <c r="Y6" s="7"/>
      <c r="Z6" s="7"/>
      <c r="AA6" s="7"/>
    </row>
    <row r="7" spans="1:27" ht="15.75" customHeight="1">
      <c r="A7" s="14"/>
      <c r="B7" s="5">
        <v>0.5</v>
      </c>
      <c r="C7" s="5">
        <v>0</v>
      </c>
      <c r="D7" s="17">
        <v>42999</v>
      </c>
      <c r="E7" s="10">
        <v>364.5</v>
      </c>
      <c r="F7" s="12"/>
      <c r="G7" s="14"/>
      <c r="H7" s="12">
        <f>AVERAGE(F8:F10)</f>
        <v>4.1277777777777782</v>
      </c>
      <c r="I7" s="13">
        <v>64.7</v>
      </c>
      <c r="J7" s="14"/>
      <c r="K7" s="13"/>
      <c r="L7" s="14"/>
      <c r="M7" s="14"/>
      <c r="N7" s="14"/>
      <c r="O7" s="14"/>
      <c r="P7" s="12">
        <f>E23-E26</f>
        <v>33.800000000000011</v>
      </c>
      <c r="Q7" s="14"/>
      <c r="R7" s="7"/>
      <c r="S7" s="7"/>
      <c r="T7" s="73">
        <f>88.4-I55</f>
        <v>69.100000000000009</v>
      </c>
      <c r="U7" s="7"/>
      <c r="V7" s="7"/>
      <c r="W7" s="7"/>
      <c r="X7" s="7"/>
      <c r="Y7" s="7"/>
      <c r="Z7" s="7"/>
      <c r="AA7" s="7"/>
    </row>
    <row r="8" spans="1:27" ht="15.75" customHeight="1">
      <c r="A8" s="14"/>
      <c r="B8" s="5">
        <v>0.5</v>
      </c>
      <c r="C8" s="5">
        <f t="shared" ref="C8:C63" si="1">D8-$D$7</f>
        <v>1</v>
      </c>
      <c r="D8" s="17">
        <v>43000</v>
      </c>
      <c r="E8" s="10">
        <v>362</v>
      </c>
      <c r="F8" s="12">
        <f t="shared" ref="F8:F10" si="2">(E7-E8)/(D8-D7)</f>
        <v>2.5</v>
      </c>
      <c r="G8" s="14"/>
      <c r="H8" s="14"/>
      <c r="I8" s="13">
        <v>60.3</v>
      </c>
      <c r="J8" s="14">
        <f t="shared" ref="J8:J10" si="3">(I7-I8)/(D8-D7)</f>
        <v>4.4000000000000057</v>
      </c>
      <c r="K8" s="13">
        <v>23</v>
      </c>
      <c r="L8" s="15">
        <f t="shared" ref="L8:L10" si="4">I7-I8</f>
        <v>4.4000000000000057</v>
      </c>
      <c r="M8" s="14"/>
      <c r="N8" s="14"/>
      <c r="O8" s="14"/>
      <c r="P8" s="12">
        <f>E27-E30</f>
        <v>37.199999999999989</v>
      </c>
      <c r="Q8" s="14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5.75" customHeight="1">
      <c r="A9" s="14"/>
      <c r="B9" s="5">
        <v>0.5</v>
      </c>
      <c r="C9" s="5">
        <f t="shared" si="1"/>
        <v>4</v>
      </c>
      <c r="D9" s="9">
        <v>43003</v>
      </c>
      <c r="E9" s="10">
        <v>354.4</v>
      </c>
      <c r="F9" s="12">
        <f t="shared" si="2"/>
        <v>2.5333333333333408</v>
      </c>
      <c r="G9" s="14"/>
      <c r="H9" s="14"/>
      <c r="I9" s="13">
        <v>50.7</v>
      </c>
      <c r="J9" s="14">
        <f t="shared" si="3"/>
        <v>3.199999999999998</v>
      </c>
      <c r="K9" s="13">
        <v>24.7</v>
      </c>
      <c r="L9" s="15">
        <f t="shared" si="4"/>
        <v>9.5999999999999943</v>
      </c>
      <c r="M9" s="14"/>
      <c r="N9" s="14"/>
      <c r="O9" s="14"/>
      <c r="P9" s="12">
        <f>E31-E34</f>
        <v>32.800000000000011</v>
      </c>
      <c r="Q9" s="14"/>
      <c r="R9" s="7"/>
      <c r="S9" s="7"/>
      <c r="T9" s="73">
        <f>I2-I6</f>
        <v>25.5</v>
      </c>
      <c r="U9" s="7">
        <f>3.1*T9</f>
        <v>79.05</v>
      </c>
      <c r="V9" s="7"/>
      <c r="W9" s="7"/>
      <c r="X9" s="7"/>
      <c r="Y9" s="7"/>
      <c r="Z9" s="7"/>
      <c r="AA9" s="7"/>
    </row>
    <row r="10" spans="1:27" ht="15.75" customHeight="1">
      <c r="A10" s="14"/>
      <c r="B10" s="5">
        <v>0.5</v>
      </c>
      <c r="C10" s="5">
        <f t="shared" si="1"/>
        <v>6</v>
      </c>
      <c r="D10" s="9">
        <v>43005</v>
      </c>
      <c r="E10" s="10">
        <v>339.7</v>
      </c>
      <c r="F10" s="12">
        <f t="shared" si="2"/>
        <v>7.3499999999999943</v>
      </c>
      <c r="G10" s="14"/>
      <c r="H10" s="14"/>
      <c r="I10" s="13">
        <v>45.8</v>
      </c>
      <c r="J10" s="14">
        <f t="shared" si="3"/>
        <v>2.4500000000000028</v>
      </c>
      <c r="K10" s="13">
        <v>25.1</v>
      </c>
      <c r="L10" s="15">
        <f t="shared" si="4"/>
        <v>4.9000000000000057</v>
      </c>
      <c r="M10" s="14"/>
      <c r="N10" s="14"/>
      <c r="O10" s="14"/>
      <c r="P10" s="12">
        <f>E35-E38</f>
        <v>31.899999999999977</v>
      </c>
      <c r="Q10" s="14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>
      <c r="A11" s="14"/>
      <c r="B11" s="170">
        <v>1</v>
      </c>
      <c r="C11" s="5">
        <f t="shared" si="1"/>
        <v>6</v>
      </c>
      <c r="D11" s="171">
        <v>43005</v>
      </c>
      <c r="E11" s="172">
        <v>334.9</v>
      </c>
      <c r="F11" s="173"/>
      <c r="G11" s="174"/>
      <c r="H11" s="175">
        <f>AVERAGE(F12:F14)</f>
        <v>5.8888888888888857</v>
      </c>
      <c r="I11" s="176" t="s">
        <v>318</v>
      </c>
      <c r="J11" s="14"/>
      <c r="K11" s="13"/>
      <c r="L11" s="14"/>
      <c r="M11" s="14"/>
      <c r="N11" s="14"/>
      <c r="O11" s="14"/>
      <c r="P11" s="12">
        <f>E39-E41</f>
        <v>25.300000000000011</v>
      </c>
      <c r="Q11" s="14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>
      <c r="A12" s="14"/>
      <c r="B12" s="5">
        <v>1</v>
      </c>
      <c r="C12" s="5">
        <f t="shared" si="1"/>
        <v>8</v>
      </c>
      <c r="D12" s="9">
        <v>43007</v>
      </c>
      <c r="E12" s="10">
        <v>324.3</v>
      </c>
      <c r="F12" s="12">
        <f t="shared" ref="F12:F14" si="5">(E11-E12)/(D12-D11)</f>
        <v>5.2999999999999829</v>
      </c>
      <c r="G12" s="14"/>
      <c r="H12" s="14"/>
      <c r="I12" s="13">
        <v>40.700000000000003</v>
      </c>
      <c r="J12" s="14">
        <f>(I10-I12)/(D12-D10)</f>
        <v>2.5499999999999972</v>
      </c>
      <c r="K12" s="13">
        <v>25.4</v>
      </c>
      <c r="L12" s="15">
        <f>I10-I12</f>
        <v>5.0999999999999943</v>
      </c>
      <c r="M12" s="14"/>
      <c r="N12" s="14"/>
      <c r="O12" s="14"/>
      <c r="P12" s="12">
        <f>E42-E45</f>
        <v>18.5</v>
      </c>
      <c r="Q12" s="14"/>
      <c r="R12" s="7"/>
      <c r="S12" s="7"/>
      <c r="T12" s="7"/>
      <c r="U12" s="36" t="s">
        <v>319</v>
      </c>
      <c r="V12" s="7">
        <f>AVERAGE(U2,U92,U196,U329,U429,U538,U652,U852,U969)</f>
        <v>1244.0342222222223</v>
      </c>
      <c r="W12" s="7"/>
      <c r="X12" s="7"/>
      <c r="Y12" s="7"/>
      <c r="Z12" s="7"/>
      <c r="AA12" s="7"/>
    </row>
    <row r="13" spans="1:27" ht="15.75" customHeight="1">
      <c r="A13" s="14"/>
      <c r="B13" s="5">
        <v>1</v>
      </c>
      <c r="C13" s="5">
        <f t="shared" si="1"/>
        <v>11</v>
      </c>
      <c r="D13" s="19">
        <v>43010</v>
      </c>
      <c r="E13" s="11">
        <v>310.60000000000002</v>
      </c>
      <c r="F13" s="12">
        <f t="shared" si="5"/>
        <v>4.5666666666666629</v>
      </c>
      <c r="G13" s="14"/>
      <c r="H13" s="14"/>
      <c r="I13" s="13">
        <v>33.6</v>
      </c>
      <c r="J13" s="16">
        <f t="shared" ref="J13:J14" si="6">(I12-I13)/(D13-D12)</f>
        <v>2.3666666666666671</v>
      </c>
      <c r="K13" s="13">
        <v>25.6</v>
      </c>
      <c r="L13" s="15">
        <f t="shared" ref="L13:L14" si="7">I12-I13</f>
        <v>7.1000000000000014</v>
      </c>
      <c r="M13" s="14"/>
      <c r="N13" s="14"/>
      <c r="O13" s="14"/>
      <c r="P13" s="12">
        <f>E46-E47</f>
        <v>11.199999999999989</v>
      </c>
      <c r="Q13" s="14"/>
      <c r="R13" s="7"/>
      <c r="S13" s="7"/>
      <c r="T13" s="7"/>
      <c r="U13" s="36" t="s">
        <v>44</v>
      </c>
      <c r="V13" s="7">
        <f>STDEV(U2,U92,U196,U329,U429,U538,U652,U852,U969)/SQRT(9)</f>
        <v>44.617799517985475</v>
      </c>
      <c r="W13" s="7"/>
      <c r="X13" s="7"/>
      <c r="Y13" s="7"/>
      <c r="Z13" s="7"/>
      <c r="AA13" s="7"/>
    </row>
    <row r="14" spans="1:27" ht="15.75" customHeight="1">
      <c r="A14" s="14"/>
      <c r="B14" s="5">
        <v>1</v>
      </c>
      <c r="C14" s="5">
        <f t="shared" si="1"/>
        <v>13</v>
      </c>
      <c r="D14" s="19">
        <v>43012</v>
      </c>
      <c r="E14" s="11">
        <v>295</v>
      </c>
      <c r="F14" s="12">
        <f t="shared" si="5"/>
        <v>7.8000000000000114</v>
      </c>
      <c r="G14" s="14"/>
      <c r="H14" s="14"/>
      <c r="I14" s="13">
        <v>28.5</v>
      </c>
      <c r="J14" s="14">
        <f t="shared" si="6"/>
        <v>2.5500000000000007</v>
      </c>
      <c r="K14" s="13">
        <v>26.2</v>
      </c>
      <c r="L14" s="15">
        <f t="shared" si="7"/>
        <v>5.1000000000000014</v>
      </c>
      <c r="M14" s="14"/>
      <c r="N14" s="14"/>
      <c r="O14" s="14"/>
      <c r="P14" s="12">
        <f>E48-E51</f>
        <v>32</v>
      </c>
      <c r="Q14" s="14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>
      <c r="A15" s="14"/>
      <c r="B15" s="5">
        <v>2</v>
      </c>
      <c r="C15" s="5">
        <f t="shared" si="1"/>
        <v>14</v>
      </c>
      <c r="D15" s="20">
        <v>43013</v>
      </c>
      <c r="E15" s="11">
        <v>379.4</v>
      </c>
      <c r="F15" s="11"/>
      <c r="G15" s="14"/>
      <c r="H15" s="12">
        <f>AVERAGE(F16:F18)</f>
        <v>5.161111111111107</v>
      </c>
      <c r="I15" s="13" t="s">
        <v>24</v>
      </c>
      <c r="J15" s="14"/>
      <c r="K15" s="13"/>
      <c r="L15" s="14"/>
      <c r="M15" s="14"/>
      <c r="N15" s="14"/>
      <c r="O15" s="14"/>
      <c r="P15" s="12">
        <f>E52-E55</f>
        <v>27.300000000000011</v>
      </c>
      <c r="Q15" s="14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>
      <c r="A16" s="14"/>
      <c r="B16" s="5">
        <v>2</v>
      </c>
      <c r="C16" s="5">
        <f t="shared" si="1"/>
        <v>15</v>
      </c>
      <c r="D16" s="20">
        <v>43014</v>
      </c>
      <c r="E16" s="11">
        <v>373.2</v>
      </c>
      <c r="F16" s="12">
        <f t="shared" ref="F16:F18" si="8">(E15-E16)/(D16-D15)</f>
        <v>6.1999999999999886</v>
      </c>
      <c r="G16" s="14"/>
      <c r="H16" s="14"/>
      <c r="I16" s="13">
        <v>76</v>
      </c>
      <c r="J16" s="14">
        <f>(81.9-I16)/(D16-D15)</f>
        <v>5.9000000000000057</v>
      </c>
      <c r="K16" s="13">
        <v>27.1</v>
      </c>
      <c r="L16" s="14"/>
      <c r="M16" s="14"/>
      <c r="N16" s="14"/>
      <c r="O16" s="14"/>
      <c r="P16" s="14"/>
      <c r="Q16" s="14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>
      <c r="A17" s="14"/>
      <c r="B17" s="5">
        <v>2</v>
      </c>
      <c r="C17" s="5">
        <f t="shared" si="1"/>
        <v>18</v>
      </c>
      <c r="D17" s="20">
        <v>43017</v>
      </c>
      <c r="E17" s="11">
        <v>361.4</v>
      </c>
      <c r="F17" s="12">
        <f t="shared" si="8"/>
        <v>3.9333333333333371</v>
      </c>
      <c r="G17" s="14"/>
      <c r="H17" s="14"/>
      <c r="I17" s="13">
        <v>67.599999999999994</v>
      </c>
      <c r="J17" s="14">
        <f t="shared" ref="J17:J18" si="9">(I16-I17)/(D17-D16)</f>
        <v>2.800000000000002</v>
      </c>
      <c r="K17" s="13">
        <v>28.2</v>
      </c>
      <c r="L17" s="15">
        <f t="shared" ref="L17:L18" si="10">I16-I17</f>
        <v>8.4000000000000057</v>
      </c>
      <c r="M17" s="14"/>
      <c r="N17" s="14"/>
      <c r="O17" s="14"/>
      <c r="P17" s="14"/>
      <c r="Q17" s="14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>
      <c r="A18" s="14"/>
      <c r="B18" s="5">
        <v>2</v>
      </c>
      <c r="C18" s="5">
        <f t="shared" si="1"/>
        <v>20</v>
      </c>
      <c r="D18" s="20">
        <v>43019</v>
      </c>
      <c r="E18" s="11">
        <v>350.7</v>
      </c>
      <c r="F18" s="12">
        <f t="shared" si="8"/>
        <v>5.3499999999999943</v>
      </c>
      <c r="G18" s="14"/>
      <c r="H18" s="14"/>
      <c r="I18" s="13">
        <v>61.9</v>
      </c>
      <c r="J18" s="14">
        <f t="shared" si="9"/>
        <v>2.8499999999999979</v>
      </c>
      <c r="K18" s="13">
        <v>28.9</v>
      </c>
      <c r="L18" s="15">
        <f t="shared" si="10"/>
        <v>5.6999999999999957</v>
      </c>
      <c r="M18" s="14"/>
      <c r="N18" s="14"/>
      <c r="O18" s="14"/>
      <c r="P18" s="14"/>
      <c r="Q18" s="14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>
      <c r="A19" s="14"/>
      <c r="B19" s="5">
        <v>3</v>
      </c>
      <c r="C19" s="5">
        <f t="shared" si="1"/>
        <v>21</v>
      </c>
      <c r="D19" s="20">
        <v>43020</v>
      </c>
      <c r="E19" s="11">
        <v>363.9</v>
      </c>
      <c r="F19" s="12"/>
      <c r="G19" s="14"/>
      <c r="H19" s="12">
        <f>AVERAGE(F20:F22)</f>
        <v>6.8388888888888877</v>
      </c>
      <c r="I19" s="13" t="s">
        <v>24</v>
      </c>
      <c r="J19" s="14"/>
      <c r="K19" s="13"/>
      <c r="L19" s="14"/>
      <c r="M19" s="14"/>
      <c r="N19" s="14"/>
      <c r="O19" s="14"/>
      <c r="P19" s="14"/>
      <c r="Q19" s="14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>
      <c r="A20" s="14"/>
      <c r="B20" s="5">
        <v>3</v>
      </c>
      <c r="C20" s="5">
        <f t="shared" si="1"/>
        <v>22</v>
      </c>
      <c r="D20" s="20">
        <f>D18+2</f>
        <v>43021</v>
      </c>
      <c r="E20" s="11">
        <v>354.9</v>
      </c>
      <c r="F20" s="12">
        <f t="shared" ref="F20:F22" si="11">(E19-E20)/(D20-D19)</f>
        <v>9</v>
      </c>
      <c r="G20" s="12">
        <f>AVERAGE(F8:F55)</f>
        <v>5.8388888888888877</v>
      </c>
      <c r="H20" s="14"/>
      <c r="I20" s="13">
        <v>56.3</v>
      </c>
      <c r="J20" s="15">
        <f>(I18-I20)/(D20-D18)</f>
        <v>2.8000000000000007</v>
      </c>
      <c r="K20" s="13">
        <v>29.2</v>
      </c>
      <c r="L20" s="15">
        <f>I18-I20</f>
        <v>5.6000000000000014</v>
      </c>
      <c r="M20" s="14"/>
      <c r="N20" s="14"/>
      <c r="O20" s="14"/>
      <c r="P20" s="14"/>
      <c r="Q20" s="14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>
      <c r="A21" s="14"/>
      <c r="B21" s="5">
        <v>3</v>
      </c>
      <c r="C21" s="5">
        <f t="shared" si="1"/>
        <v>25</v>
      </c>
      <c r="D21" s="20">
        <f>D20+3</f>
        <v>43024</v>
      </c>
      <c r="E21" s="11">
        <v>340.3</v>
      </c>
      <c r="F21" s="12">
        <f t="shared" si="11"/>
        <v>4.8666666666666556</v>
      </c>
      <c r="G21" s="14"/>
      <c r="H21" s="14"/>
      <c r="I21" s="13">
        <v>47.8</v>
      </c>
      <c r="J21" s="15">
        <f>(I20-I21)/(D21-D20)</f>
        <v>2.8333333333333335</v>
      </c>
      <c r="K21" s="13">
        <v>30</v>
      </c>
      <c r="L21" s="15">
        <f t="shared" ref="L21:L22" si="12">I20-I21</f>
        <v>8.5</v>
      </c>
      <c r="M21" s="14"/>
      <c r="N21" s="14"/>
      <c r="O21" s="14"/>
      <c r="P21" s="14"/>
      <c r="Q21" s="14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>
      <c r="A22" s="14"/>
      <c r="B22" s="5">
        <v>3</v>
      </c>
      <c r="C22" s="5">
        <f t="shared" si="1"/>
        <v>27</v>
      </c>
      <c r="D22" s="20">
        <f>D21+2</f>
        <v>43026</v>
      </c>
      <c r="E22" s="11">
        <v>327</v>
      </c>
      <c r="F22" s="12">
        <f t="shared" si="11"/>
        <v>6.6500000000000057</v>
      </c>
      <c r="G22" s="14"/>
      <c r="H22" s="14"/>
      <c r="I22" s="13">
        <v>41.7</v>
      </c>
      <c r="J22" s="15">
        <f>(I20-I22)/(D22-D20)</f>
        <v>2.919999999999999</v>
      </c>
      <c r="K22" s="13">
        <v>31</v>
      </c>
      <c r="L22" s="15">
        <f t="shared" si="12"/>
        <v>6.0999999999999943</v>
      </c>
      <c r="M22" s="14"/>
      <c r="N22" s="14"/>
      <c r="O22" s="14"/>
      <c r="P22" s="14"/>
      <c r="Q22" s="14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>
      <c r="A23" s="14"/>
      <c r="B23" s="5">
        <v>4</v>
      </c>
      <c r="C23" s="5">
        <f t="shared" si="1"/>
        <v>28</v>
      </c>
      <c r="D23" s="20">
        <v>43027</v>
      </c>
      <c r="E23" s="11">
        <v>398</v>
      </c>
      <c r="F23" s="12"/>
      <c r="G23" s="14"/>
      <c r="H23" s="14"/>
      <c r="I23" s="15"/>
      <c r="J23" s="15"/>
      <c r="K23" s="15"/>
      <c r="L23" s="14"/>
      <c r="M23" s="14"/>
      <c r="N23" s="14"/>
      <c r="O23" s="14"/>
      <c r="P23" s="14"/>
      <c r="Q23" s="14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>
      <c r="A24" s="14"/>
      <c r="B24" s="5">
        <v>4</v>
      </c>
      <c r="C24" s="5">
        <f t="shared" si="1"/>
        <v>29</v>
      </c>
      <c r="D24" s="20">
        <f>D22+2</f>
        <v>43028</v>
      </c>
      <c r="E24" s="11">
        <v>388.9</v>
      </c>
      <c r="F24" s="12">
        <f t="shared" ref="F24:F26" si="13">(E23-E24)/(D24-D23)</f>
        <v>9.1000000000000227</v>
      </c>
      <c r="G24" s="14"/>
      <c r="H24" s="14"/>
      <c r="I24" s="13">
        <v>36.1</v>
      </c>
      <c r="J24" s="15">
        <f>(I22-I24)/(D24-D22)</f>
        <v>2.8000000000000007</v>
      </c>
      <c r="K24" s="13">
        <v>31.4</v>
      </c>
      <c r="L24" s="15">
        <f>I22-I24</f>
        <v>5.6000000000000014</v>
      </c>
      <c r="M24" s="14"/>
      <c r="N24" s="14"/>
      <c r="O24" s="14"/>
      <c r="P24" s="14"/>
      <c r="Q24" s="14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>
      <c r="A25" s="14"/>
      <c r="B25" s="5">
        <v>4</v>
      </c>
      <c r="C25" s="5">
        <f t="shared" si="1"/>
        <v>32</v>
      </c>
      <c r="D25" s="20">
        <v>43031</v>
      </c>
      <c r="E25" s="11">
        <v>375</v>
      </c>
      <c r="F25" s="12">
        <f t="shared" si="13"/>
        <v>4.6333333333333258</v>
      </c>
      <c r="G25" s="14"/>
      <c r="H25" s="14"/>
      <c r="I25" s="13">
        <v>27.1</v>
      </c>
      <c r="J25" s="15">
        <f>(I24-I25)/(D25-D24)</f>
        <v>3</v>
      </c>
      <c r="K25" s="13">
        <v>32.799999999999997</v>
      </c>
      <c r="L25" s="15">
        <f>I24-I25</f>
        <v>9</v>
      </c>
      <c r="M25" s="14"/>
      <c r="N25" s="14"/>
      <c r="O25" s="14"/>
      <c r="P25" s="14"/>
      <c r="Q25" s="14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>
      <c r="A26" s="14"/>
      <c r="B26" s="5">
        <v>4</v>
      </c>
      <c r="C26" s="5">
        <f t="shared" si="1"/>
        <v>34</v>
      </c>
      <c r="D26" s="20">
        <v>43033</v>
      </c>
      <c r="E26" s="11">
        <v>364.2</v>
      </c>
      <c r="F26" s="12">
        <f t="shared" si="13"/>
        <v>5.4000000000000057</v>
      </c>
      <c r="G26" s="14"/>
      <c r="H26" s="14"/>
      <c r="I26" s="13">
        <v>49.8</v>
      </c>
      <c r="J26" s="15">
        <f>(55.9-I26)/(D26-D25)</f>
        <v>3.0500000000000007</v>
      </c>
      <c r="K26" s="13">
        <v>33.299999999999997</v>
      </c>
      <c r="L26" s="15">
        <f>55.9-I26</f>
        <v>6.1000000000000014</v>
      </c>
      <c r="M26" s="14"/>
      <c r="N26" s="14"/>
      <c r="O26" s="14"/>
      <c r="P26" s="14"/>
      <c r="Q26" s="14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>
      <c r="A27" s="14"/>
      <c r="B27" s="5">
        <v>5</v>
      </c>
      <c r="C27" s="5">
        <f t="shared" si="1"/>
        <v>35</v>
      </c>
      <c r="D27" s="20">
        <v>43034</v>
      </c>
      <c r="E27" s="11">
        <v>308.7</v>
      </c>
      <c r="F27" s="12"/>
      <c r="G27" s="14"/>
      <c r="H27" s="14"/>
      <c r="I27" s="15"/>
      <c r="J27" s="15"/>
      <c r="K27" s="15"/>
      <c r="L27" s="14"/>
      <c r="M27" s="14"/>
      <c r="N27" s="14"/>
      <c r="O27" s="14"/>
      <c r="P27" s="14"/>
      <c r="Q27" s="14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>
      <c r="A28" s="14"/>
      <c r="B28" s="5">
        <v>5</v>
      </c>
      <c r="C28" s="5">
        <f t="shared" si="1"/>
        <v>36</v>
      </c>
      <c r="D28" s="20">
        <v>43035</v>
      </c>
      <c r="E28" s="11">
        <v>298.39999999999998</v>
      </c>
      <c r="F28" s="12">
        <f t="shared" ref="F28:F30" si="14">(E27-E28)/(D28-D27)</f>
        <v>10.300000000000011</v>
      </c>
      <c r="G28" s="14"/>
      <c r="H28" s="14"/>
      <c r="I28" s="13">
        <v>44.4</v>
      </c>
      <c r="J28" s="15">
        <f>(I26-I28)/(D28-D26)</f>
        <v>2.6999999999999993</v>
      </c>
      <c r="K28" s="13">
        <v>33.5</v>
      </c>
      <c r="L28" s="15">
        <f>I26-I28</f>
        <v>5.3999999999999986</v>
      </c>
      <c r="M28" s="14"/>
      <c r="N28" s="14"/>
      <c r="O28" s="14"/>
      <c r="P28" s="14"/>
      <c r="Q28" s="14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>
      <c r="A29" s="14"/>
      <c r="B29" s="5">
        <v>5</v>
      </c>
      <c r="C29" s="5">
        <f t="shared" si="1"/>
        <v>39</v>
      </c>
      <c r="D29" s="20">
        <v>43038</v>
      </c>
      <c r="E29" s="11">
        <v>280</v>
      </c>
      <c r="F29" s="12">
        <f t="shared" si="14"/>
        <v>6.1333333333333258</v>
      </c>
      <c r="G29" s="14"/>
      <c r="H29" s="14"/>
      <c r="I29" s="13">
        <v>36.1</v>
      </c>
      <c r="J29" s="15">
        <f>(I28-I29)/(D29-D28)</f>
        <v>2.7666666666666657</v>
      </c>
      <c r="K29" s="13">
        <v>34.5</v>
      </c>
      <c r="L29" s="15">
        <f>I28-I29</f>
        <v>8.2999999999999972</v>
      </c>
      <c r="M29" s="14"/>
      <c r="N29" s="14"/>
      <c r="O29" s="14"/>
      <c r="P29" s="14"/>
      <c r="Q29" s="14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>
      <c r="A30" s="14"/>
      <c r="B30" s="5">
        <v>5</v>
      </c>
      <c r="C30" s="5">
        <f t="shared" si="1"/>
        <v>41</v>
      </c>
      <c r="D30" s="20">
        <v>43040</v>
      </c>
      <c r="E30" s="11">
        <v>271.5</v>
      </c>
      <c r="F30" s="12">
        <f t="shared" si="14"/>
        <v>4.25</v>
      </c>
      <c r="G30" s="14"/>
      <c r="H30" s="14"/>
      <c r="I30" s="13">
        <v>89</v>
      </c>
      <c r="J30" s="15">
        <f>(95.7-I30)/(D30-D29)</f>
        <v>3.3500000000000014</v>
      </c>
      <c r="K30" s="13">
        <v>35.799999999999997</v>
      </c>
      <c r="L30" s="15">
        <f>95.7-I30</f>
        <v>6.7000000000000028</v>
      </c>
      <c r="M30" s="14"/>
      <c r="N30" s="14"/>
      <c r="O30" s="14"/>
      <c r="P30" s="14"/>
      <c r="Q30" s="14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>
      <c r="A31" s="14"/>
      <c r="B31" s="5">
        <v>6</v>
      </c>
      <c r="C31" s="5">
        <f t="shared" si="1"/>
        <v>42</v>
      </c>
      <c r="D31" s="20">
        <v>43041</v>
      </c>
      <c r="E31" s="11">
        <v>338.1</v>
      </c>
      <c r="F31" s="12"/>
      <c r="G31" s="14"/>
      <c r="H31" s="14"/>
      <c r="I31" s="15"/>
      <c r="J31" s="14"/>
      <c r="K31" s="15"/>
      <c r="L31" s="14"/>
      <c r="M31" s="14"/>
      <c r="N31" s="14"/>
      <c r="O31" s="14"/>
      <c r="P31" s="14"/>
      <c r="Q31" s="14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>
      <c r="A32" s="14"/>
      <c r="B32" s="5">
        <v>6</v>
      </c>
      <c r="C32" s="5">
        <f t="shared" si="1"/>
        <v>43</v>
      </c>
      <c r="D32" s="20">
        <v>43042</v>
      </c>
      <c r="E32" s="11">
        <v>334.7</v>
      </c>
      <c r="F32" s="12">
        <f t="shared" ref="F32:F34" si="15">(E31-E32)/(D32-D31)</f>
        <v>3.4000000000000341</v>
      </c>
      <c r="G32" s="14"/>
      <c r="H32" s="14"/>
      <c r="I32" s="13">
        <v>83.1</v>
      </c>
      <c r="J32" s="15">
        <f>(I30-I32)/(D32-D30)</f>
        <v>2.9500000000000028</v>
      </c>
      <c r="K32" s="13">
        <v>36.9</v>
      </c>
      <c r="L32" s="15">
        <f>I30-I32</f>
        <v>5.9000000000000057</v>
      </c>
      <c r="M32" s="14"/>
      <c r="N32" s="14"/>
      <c r="O32" s="14"/>
      <c r="P32" s="14"/>
      <c r="Q32" s="14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>
      <c r="A33" s="14"/>
      <c r="B33" s="5">
        <v>6</v>
      </c>
      <c r="C33" s="5">
        <f t="shared" si="1"/>
        <v>46</v>
      </c>
      <c r="D33" s="20">
        <v>43045</v>
      </c>
      <c r="E33" s="11">
        <v>318</v>
      </c>
      <c r="F33" s="12">
        <f t="shared" si="15"/>
        <v>5.5666666666666629</v>
      </c>
      <c r="G33" s="14"/>
      <c r="H33" s="14"/>
      <c r="I33" s="13">
        <v>73.3</v>
      </c>
      <c r="J33" s="15">
        <f t="shared" ref="J33:J34" si="16">(I32-I33)/(D33-D32)</f>
        <v>3.2666666666666657</v>
      </c>
      <c r="K33" s="13">
        <v>38.299999999999997</v>
      </c>
      <c r="L33" s="15">
        <f t="shared" ref="L33:L34" si="17">I32-I33</f>
        <v>9.7999999999999972</v>
      </c>
      <c r="M33" s="14"/>
      <c r="N33" s="14"/>
      <c r="O33" s="14"/>
      <c r="P33" s="14"/>
      <c r="Q33" s="14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>
      <c r="A34" s="14"/>
      <c r="B34" s="5">
        <v>6</v>
      </c>
      <c r="C34" s="5">
        <f t="shared" si="1"/>
        <v>48</v>
      </c>
      <c r="D34" s="20">
        <v>43047</v>
      </c>
      <c r="E34" s="11">
        <v>305.3</v>
      </c>
      <c r="F34" s="12">
        <f t="shared" si="15"/>
        <v>6.3499999999999943</v>
      </c>
      <c r="G34" s="14"/>
      <c r="H34" s="14"/>
      <c r="I34" s="13">
        <v>69.900000000000006</v>
      </c>
      <c r="J34" s="15">
        <f t="shared" si="16"/>
        <v>1.6999999999999957</v>
      </c>
      <c r="K34" s="13">
        <v>38.299999999999997</v>
      </c>
      <c r="L34" s="15">
        <f t="shared" si="17"/>
        <v>3.3999999999999915</v>
      </c>
      <c r="M34" s="14"/>
      <c r="N34" s="14"/>
      <c r="O34" s="14"/>
      <c r="P34" s="14"/>
      <c r="Q34" s="14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>
      <c r="A35" s="14"/>
      <c r="B35" s="5">
        <v>7</v>
      </c>
      <c r="C35" s="5">
        <f t="shared" si="1"/>
        <v>49</v>
      </c>
      <c r="D35" s="20">
        <v>43048</v>
      </c>
      <c r="E35" s="11">
        <v>319</v>
      </c>
      <c r="F35" s="12"/>
      <c r="G35" s="14"/>
      <c r="H35" s="14"/>
      <c r="I35" s="15"/>
      <c r="J35" s="14"/>
      <c r="K35" s="15"/>
      <c r="L35" s="14"/>
      <c r="M35" s="14"/>
      <c r="N35" s="14"/>
      <c r="O35" s="14"/>
      <c r="P35" s="14"/>
      <c r="Q35" s="14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>
      <c r="A36" s="14"/>
      <c r="B36" s="5">
        <v>7</v>
      </c>
      <c r="C36" s="5">
        <f t="shared" si="1"/>
        <v>50</v>
      </c>
      <c r="D36" s="20">
        <v>43049</v>
      </c>
      <c r="E36" s="11">
        <v>309.8</v>
      </c>
      <c r="F36" s="12">
        <f t="shared" ref="F36:F38" si="18">(E35-E36)/(D36-D35)</f>
        <v>9.1999999999999886</v>
      </c>
      <c r="G36" s="14"/>
      <c r="H36" s="14"/>
      <c r="I36" s="13">
        <v>63.8</v>
      </c>
      <c r="J36" s="15">
        <f>(I34-I36)/(D36-D34)</f>
        <v>3.0500000000000043</v>
      </c>
      <c r="K36" s="13">
        <v>39.299999999999997</v>
      </c>
      <c r="L36" s="15">
        <f>I34-I36</f>
        <v>6.1000000000000085</v>
      </c>
      <c r="M36" s="14"/>
      <c r="N36" s="14"/>
      <c r="O36" s="14"/>
      <c r="P36" s="14"/>
      <c r="Q36" s="14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3.2">
      <c r="A37" s="14"/>
      <c r="B37" s="5">
        <v>7</v>
      </c>
      <c r="C37" s="5">
        <f t="shared" si="1"/>
        <v>53</v>
      </c>
      <c r="D37" s="20">
        <v>43052</v>
      </c>
      <c r="E37" s="11">
        <v>297</v>
      </c>
      <c r="F37" s="12">
        <f t="shared" si="18"/>
        <v>4.2666666666666702</v>
      </c>
      <c r="G37" s="14"/>
      <c r="H37" s="14"/>
      <c r="I37" s="13">
        <v>54.5</v>
      </c>
      <c r="J37" s="15">
        <f t="shared" ref="J37:J38" si="19">(I36-I37)/(D37-D36)</f>
        <v>3.0999999999999992</v>
      </c>
      <c r="K37" s="13">
        <v>40.299999999999997</v>
      </c>
      <c r="L37" s="15">
        <f t="shared" ref="L37:L38" si="20">I36-I37</f>
        <v>9.2999999999999972</v>
      </c>
      <c r="M37" s="14"/>
      <c r="N37" s="14"/>
      <c r="O37" s="14"/>
      <c r="P37" s="14"/>
      <c r="Q37" s="14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3.2">
      <c r="A38" s="14"/>
      <c r="B38" s="5">
        <v>7</v>
      </c>
      <c r="C38" s="5">
        <f t="shared" si="1"/>
        <v>55</v>
      </c>
      <c r="D38" s="20">
        <v>43054</v>
      </c>
      <c r="E38" s="11">
        <v>287.10000000000002</v>
      </c>
      <c r="F38" s="12">
        <f t="shared" si="18"/>
        <v>4.9499999999999886</v>
      </c>
      <c r="G38" s="14"/>
      <c r="H38" s="14"/>
      <c r="I38" s="13">
        <v>48.6</v>
      </c>
      <c r="J38" s="15">
        <f t="shared" si="19"/>
        <v>2.9499999999999993</v>
      </c>
      <c r="K38" s="13">
        <v>41</v>
      </c>
      <c r="L38" s="15">
        <f t="shared" si="20"/>
        <v>5.8999999999999986</v>
      </c>
      <c r="M38" s="14"/>
      <c r="N38" s="14"/>
      <c r="O38" s="14"/>
      <c r="P38" s="14"/>
      <c r="Q38" s="14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3.2">
      <c r="A39" s="14"/>
      <c r="B39" s="5">
        <v>8</v>
      </c>
      <c r="C39" s="5">
        <f t="shared" si="1"/>
        <v>56</v>
      </c>
      <c r="D39" s="20">
        <v>43055</v>
      </c>
      <c r="E39" s="11">
        <v>372.3</v>
      </c>
      <c r="F39" s="12"/>
      <c r="G39" s="14"/>
      <c r="H39" s="14"/>
      <c r="I39" s="15"/>
      <c r="J39" s="14"/>
      <c r="K39" s="15"/>
      <c r="L39" s="14"/>
      <c r="M39" s="14"/>
      <c r="N39" s="14"/>
      <c r="O39" s="14"/>
      <c r="P39" s="14"/>
      <c r="Q39" s="14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3.2">
      <c r="A40" s="14"/>
      <c r="B40" s="5">
        <v>8</v>
      </c>
      <c r="C40" s="5">
        <f t="shared" si="1"/>
        <v>57</v>
      </c>
      <c r="D40" s="20">
        <v>43056</v>
      </c>
      <c r="E40" s="11">
        <v>360.8</v>
      </c>
      <c r="F40" s="12">
        <f t="shared" ref="F40:F41" si="21">(E39-E40)/(D40-D39)</f>
        <v>11.5</v>
      </c>
      <c r="G40" s="14"/>
      <c r="H40" s="14"/>
      <c r="I40" s="13">
        <v>42.9</v>
      </c>
      <c r="J40" s="15">
        <f>(I38-I40)/(D40-D38)</f>
        <v>2.8500000000000014</v>
      </c>
      <c r="K40" s="13">
        <v>41.2</v>
      </c>
      <c r="L40" s="15">
        <f>I38-I40</f>
        <v>5.7000000000000028</v>
      </c>
      <c r="M40" s="14"/>
      <c r="N40" s="14"/>
      <c r="O40" s="14"/>
      <c r="P40" s="14"/>
      <c r="Q40" s="14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3.2">
      <c r="A41" s="14"/>
      <c r="B41" s="5">
        <v>8</v>
      </c>
      <c r="C41" s="5">
        <f t="shared" si="1"/>
        <v>60</v>
      </c>
      <c r="D41" s="20">
        <v>43059</v>
      </c>
      <c r="E41" s="11">
        <v>347</v>
      </c>
      <c r="F41" s="12">
        <f t="shared" si="21"/>
        <v>4.6000000000000041</v>
      </c>
      <c r="G41" s="14"/>
      <c r="H41" s="14"/>
      <c r="I41" s="13">
        <v>34.799999999999997</v>
      </c>
      <c r="J41" s="15">
        <f>(I40-I41)/(D41-D40)</f>
        <v>2.7000000000000006</v>
      </c>
      <c r="K41" s="13">
        <v>42.3</v>
      </c>
      <c r="L41" s="15">
        <f>I40-I41</f>
        <v>8.1000000000000014</v>
      </c>
      <c r="M41" s="14"/>
      <c r="N41" s="14"/>
      <c r="O41" s="14"/>
      <c r="P41" s="14"/>
      <c r="Q41" s="14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3.2">
      <c r="A42" s="14"/>
      <c r="B42" s="5">
        <v>8</v>
      </c>
      <c r="C42" s="5">
        <f t="shared" si="1"/>
        <v>61</v>
      </c>
      <c r="D42" s="20">
        <v>43060</v>
      </c>
      <c r="E42" s="11">
        <v>361.2</v>
      </c>
      <c r="F42" s="12"/>
      <c r="G42" s="14"/>
      <c r="H42" s="14"/>
      <c r="I42" s="15"/>
      <c r="J42" s="14"/>
      <c r="K42" s="15"/>
      <c r="L42" s="14"/>
      <c r="M42" s="14"/>
      <c r="N42" s="14"/>
      <c r="O42" s="14"/>
      <c r="P42" s="14"/>
      <c r="Q42" s="14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3.2">
      <c r="A43" s="14"/>
      <c r="B43" s="5">
        <v>8</v>
      </c>
      <c r="C43" s="5">
        <f t="shared" si="1"/>
        <v>62</v>
      </c>
      <c r="D43" s="20">
        <v>43061</v>
      </c>
      <c r="E43" s="11">
        <v>352.1</v>
      </c>
      <c r="F43" s="12">
        <f>(E42-E43)/(D43-D42)</f>
        <v>9.0999999999999659</v>
      </c>
      <c r="G43" s="14"/>
      <c r="H43" s="14"/>
      <c r="I43" s="13">
        <v>81.3</v>
      </c>
      <c r="J43" s="14">
        <f>(88.4-I43)/(D43-D42)</f>
        <v>7.1000000000000085</v>
      </c>
      <c r="K43" s="13">
        <v>43.5</v>
      </c>
      <c r="L43" s="15">
        <f>88.4-I43</f>
        <v>7.1000000000000085</v>
      </c>
      <c r="M43" s="14"/>
      <c r="N43" s="14"/>
      <c r="O43" s="14"/>
      <c r="P43" s="14"/>
      <c r="Q43" s="14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3.2">
      <c r="A44" s="14"/>
      <c r="B44" s="5">
        <v>9</v>
      </c>
      <c r="C44" s="5">
        <f t="shared" si="1"/>
        <v>63</v>
      </c>
      <c r="D44" s="20">
        <v>43062</v>
      </c>
      <c r="E44" s="11"/>
      <c r="F44" s="12"/>
      <c r="G44" s="14"/>
      <c r="H44" s="14"/>
      <c r="I44" s="13"/>
      <c r="J44" s="15"/>
      <c r="K44" s="13"/>
      <c r="L44" s="14"/>
      <c r="M44" s="14"/>
      <c r="N44" s="14"/>
      <c r="O44" s="14"/>
      <c r="P44" s="14"/>
      <c r="Q44" s="14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3.2">
      <c r="A45" s="14"/>
      <c r="B45" s="5">
        <v>9</v>
      </c>
      <c r="C45" s="5">
        <f t="shared" si="1"/>
        <v>64</v>
      </c>
      <c r="D45" s="20">
        <v>43063</v>
      </c>
      <c r="E45" s="11">
        <v>342.7</v>
      </c>
      <c r="F45" s="12">
        <f>(E43-E45)/(D45-D43)</f>
        <v>4.7000000000000171</v>
      </c>
      <c r="G45" s="14"/>
      <c r="H45" s="14"/>
      <c r="I45" s="13">
        <v>74.900000000000006</v>
      </c>
      <c r="J45" s="15">
        <f>(I43-I45)/(D45-D43)</f>
        <v>3.1999999999999957</v>
      </c>
      <c r="K45" s="13">
        <v>44.3</v>
      </c>
      <c r="L45" s="15">
        <f>I43-I45</f>
        <v>6.3999999999999915</v>
      </c>
      <c r="M45" s="14"/>
      <c r="N45" s="14"/>
      <c r="O45" s="14"/>
      <c r="P45" s="14"/>
      <c r="Q45" s="14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3.2">
      <c r="A46" s="14"/>
      <c r="B46" s="5">
        <v>9</v>
      </c>
      <c r="C46" s="5">
        <f t="shared" si="1"/>
        <v>67</v>
      </c>
      <c r="D46" s="20">
        <v>43066</v>
      </c>
      <c r="E46" s="11">
        <v>330.5</v>
      </c>
      <c r="F46" s="12">
        <f t="shared" ref="F46:F47" si="22">(E45-E46)/(D46-D45)</f>
        <v>4.0666666666666629</v>
      </c>
      <c r="G46" s="14"/>
      <c r="H46" s="14"/>
      <c r="I46" s="13">
        <v>65.8</v>
      </c>
      <c r="J46" s="15">
        <f t="shared" ref="J46:J47" si="23">(I45-I46)/(D46-D45)</f>
        <v>3.0333333333333363</v>
      </c>
      <c r="K46" s="13">
        <v>45.2</v>
      </c>
      <c r="L46" s="15">
        <f t="shared" ref="L46:L47" si="24">I45-I46</f>
        <v>9.1000000000000085</v>
      </c>
      <c r="M46" s="14"/>
      <c r="N46" s="14"/>
      <c r="O46" s="14"/>
      <c r="P46" s="14"/>
      <c r="Q46" s="14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3.2">
      <c r="A47" s="14"/>
      <c r="B47" s="5">
        <v>9</v>
      </c>
      <c r="C47" s="5">
        <f t="shared" si="1"/>
        <v>69</v>
      </c>
      <c r="D47" s="20">
        <v>43068</v>
      </c>
      <c r="E47" s="11">
        <v>319.3</v>
      </c>
      <c r="F47" s="12">
        <f t="shared" si="22"/>
        <v>5.5999999999999943</v>
      </c>
      <c r="G47" s="14"/>
      <c r="H47" s="14"/>
      <c r="I47" s="13">
        <v>59.9</v>
      </c>
      <c r="J47" s="15">
        <f t="shared" si="23"/>
        <v>2.9499999999999993</v>
      </c>
      <c r="K47" s="13">
        <v>46.2</v>
      </c>
      <c r="L47" s="15">
        <f t="shared" si="24"/>
        <v>5.8999999999999986</v>
      </c>
      <c r="M47" s="14"/>
      <c r="N47" s="14"/>
      <c r="O47" s="14"/>
      <c r="P47" s="14"/>
      <c r="Q47" s="14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3.2">
      <c r="A48" s="14"/>
      <c r="B48" s="5">
        <v>10</v>
      </c>
      <c r="C48" s="5">
        <f t="shared" si="1"/>
        <v>70</v>
      </c>
      <c r="D48" s="20">
        <v>43069</v>
      </c>
      <c r="E48" s="11">
        <v>334.7</v>
      </c>
      <c r="F48" s="12"/>
      <c r="G48" s="14"/>
      <c r="H48" s="14"/>
      <c r="I48" s="15"/>
      <c r="J48" s="14"/>
      <c r="K48" s="15"/>
      <c r="L48" s="14"/>
      <c r="M48" s="14"/>
      <c r="N48" s="14"/>
      <c r="O48" s="14"/>
      <c r="P48" s="14"/>
      <c r="Q48" s="14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3.2">
      <c r="A49" s="14"/>
      <c r="B49" s="5">
        <v>10</v>
      </c>
      <c r="C49" s="5">
        <f t="shared" si="1"/>
        <v>71</v>
      </c>
      <c r="D49" s="20">
        <v>43070</v>
      </c>
      <c r="E49" s="11">
        <v>327.7</v>
      </c>
      <c r="F49" s="12">
        <f t="shared" ref="F49:F51" si="25">(E48-E49)/(D49-D48)</f>
        <v>7</v>
      </c>
      <c r="G49" s="14"/>
      <c r="H49" s="14"/>
      <c r="I49" s="13">
        <v>54.1</v>
      </c>
      <c r="J49" s="15">
        <f>(I47-I49)/(D49-D47)</f>
        <v>2.8999999999999986</v>
      </c>
      <c r="K49" s="13">
        <v>45.6</v>
      </c>
      <c r="L49" s="15">
        <f>I47-I49</f>
        <v>5.7999999999999972</v>
      </c>
      <c r="M49" s="14"/>
      <c r="N49" s="14"/>
      <c r="O49" s="14"/>
      <c r="P49" s="14"/>
      <c r="Q49" s="14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3.2">
      <c r="A50" s="14"/>
      <c r="B50" s="5">
        <v>10</v>
      </c>
      <c r="C50" s="5">
        <f t="shared" si="1"/>
        <v>74</v>
      </c>
      <c r="D50" s="20">
        <v>43073</v>
      </c>
      <c r="E50" s="11">
        <v>315.8</v>
      </c>
      <c r="F50" s="12">
        <f t="shared" si="25"/>
        <v>3.9666666666666592</v>
      </c>
      <c r="G50" s="14"/>
      <c r="H50" s="14"/>
      <c r="I50" s="13">
        <v>45.5</v>
      </c>
      <c r="J50" s="15">
        <f t="shared" ref="J50:J51" si="26">(I49-I50)/(D50-D49)</f>
        <v>2.8666666666666671</v>
      </c>
      <c r="K50" s="13">
        <v>46.4</v>
      </c>
      <c r="L50" s="15">
        <f t="shared" ref="L50:L51" si="27">I49-I50</f>
        <v>8.6000000000000014</v>
      </c>
      <c r="M50" s="14"/>
      <c r="N50" s="14"/>
      <c r="O50" s="14"/>
      <c r="P50" s="14"/>
      <c r="Q50" s="14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3.2">
      <c r="A51" s="14"/>
      <c r="B51" s="5">
        <v>10</v>
      </c>
      <c r="C51" s="5">
        <f t="shared" si="1"/>
        <v>76</v>
      </c>
      <c r="D51" s="20">
        <v>43075</v>
      </c>
      <c r="E51" s="11">
        <v>302.7</v>
      </c>
      <c r="F51" s="12">
        <f t="shared" si="25"/>
        <v>6.5500000000000114</v>
      </c>
      <c r="G51" s="14"/>
      <c r="H51" s="14"/>
      <c r="I51" s="13">
        <v>39.700000000000003</v>
      </c>
      <c r="J51" s="15">
        <f t="shared" si="26"/>
        <v>2.8999999999999986</v>
      </c>
      <c r="K51" s="13">
        <v>47.4</v>
      </c>
      <c r="L51" s="15">
        <f t="shared" si="27"/>
        <v>5.7999999999999972</v>
      </c>
      <c r="M51" s="14"/>
      <c r="N51" s="14"/>
      <c r="O51" s="14"/>
      <c r="P51" s="14"/>
      <c r="Q51" s="14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3.2">
      <c r="A52" s="14"/>
      <c r="B52" s="5">
        <v>11</v>
      </c>
      <c r="C52" s="5">
        <f t="shared" si="1"/>
        <v>77</v>
      </c>
      <c r="D52" s="24">
        <v>43076</v>
      </c>
      <c r="E52" s="11">
        <v>361.3</v>
      </c>
      <c r="F52" s="12"/>
      <c r="G52" s="14"/>
      <c r="H52" s="14"/>
      <c r="I52" s="15"/>
      <c r="J52" s="14"/>
      <c r="K52" s="15"/>
      <c r="L52" s="14"/>
      <c r="M52" s="14"/>
      <c r="N52" s="14"/>
      <c r="O52" s="14"/>
      <c r="P52" s="14"/>
      <c r="Q52" s="14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3.2">
      <c r="A53" s="14"/>
      <c r="B53" s="5">
        <v>11</v>
      </c>
      <c r="C53" s="5">
        <f t="shared" si="1"/>
        <v>78</v>
      </c>
      <c r="D53" s="24">
        <v>43077</v>
      </c>
      <c r="E53" s="11">
        <v>357.6</v>
      </c>
      <c r="F53" s="12">
        <f t="shared" ref="F53:F55" si="28">(E52-E53)/(D53-D52)</f>
        <v>3.6999999999999886</v>
      </c>
      <c r="G53" s="14"/>
      <c r="H53" s="14"/>
      <c r="I53" s="13">
        <v>33.5</v>
      </c>
      <c r="J53" s="14"/>
      <c r="K53" s="13">
        <v>47.4</v>
      </c>
      <c r="L53" s="15">
        <f>I51-I53</f>
        <v>6.2000000000000028</v>
      </c>
      <c r="M53" s="14"/>
      <c r="N53" s="14"/>
      <c r="O53" s="14"/>
      <c r="P53" s="14"/>
      <c r="Q53" s="14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3.2">
      <c r="A54" s="14"/>
      <c r="B54" s="5">
        <v>11</v>
      </c>
      <c r="C54" s="5">
        <f t="shared" si="1"/>
        <v>81</v>
      </c>
      <c r="D54" s="24">
        <v>43080</v>
      </c>
      <c r="E54" s="11">
        <v>345.7</v>
      </c>
      <c r="F54" s="12">
        <f t="shared" si="28"/>
        <v>3.9666666666666779</v>
      </c>
      <c r="G54" s="14"/>
      <c r="H54" s="14"/>
      <c r="I54" s="13">
        <v>24.9</v>
      </c>
      <c r="J54" s="14"/>
      <c r="K54" s="13">
        <v>48.8</v>
      </c>
      <c r="L54" s="15">
        <f t="shared" ref="L54:L55" si="29">I53-I54</f>
        <v>8.6000000000000014</v>
      </c>
      <c r="M54" s="14"/>
      <c r="N54" s="14"/>
      <c r="O54" s="14"/>
      <c r="P54" s="14"/>
      <c r="Q54" s="14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3.2">
      <c r="A55" s="14"/>
      <c r="B55" s="5">
        <v>11</v>
      </c>
      <c r="C55" s="5">
        <f t="shared" si="1"/>
        <v>83</v>
      </c>
      <c r="D55" s="25">
        <v>43082</v>
      </c>
      <c r="E55" s="11">
        <v>334</v>
      </c>
      <c r="F55" s="12">
        <f t="shared" si="28"/>
        <v>5.8499999999999943</v>
      </c>
      <c r="G55" s="14"/>
      <c r="H55" s="14"/>
      <c r="I55" s="13">
        <v>19.3</v>
      </c>
      <c r="J55" s="14"/>
      <c r="K55" s="13">
        <v>48.8</v>
      </c>
      <c r="L55" s="15">
        <f t="shared" si="29"/>
        <v>5.5999999999999979</v>
      </c>
      <c r="M55" s="14"/>
      <c r="N55" s="14"/>
      <c r="O55" s="14"/>
      <c r="P55" s="14"/>
      <c r="Q55" s="14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3.2">
      <c r="A56" s="14"/>
      <c r="B56" s="5">
        <v>12</v>
      </c>
      <c r="C56" s="5">
        <f t="shared" si="1"/>
        <v>84</v>
      </c>
      <c r="D56" s="24">
        <v>43083</v>
      </c>
      <c r="E56" s="12"/>
      <c r="F56" s="12"/>
      <c r="G56" s="14"/>
      <c r="H56" s="14"/>
      <c r="I56" s="15"/>
      <c r="J56" s="14"/>
      <c r="K56" s="13"/>
      <c r="L56" s="14"/>
      <c r="M56" s="14"/>
      <c r="N56" s="14"/>
      <c r="O56" s="14"/>
      <c r="P56" s="14"/>
      <c r="Q56" s="14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3.2">
      <c r="A57" s="174"/>
      <c r="B57" s="170">
        <v>12</v>
      </c>
      <c r="C57" s="170">
        <f t="shared" si="1"/>
        <v>85</v>
      </c>
      <c r="D57" s="178">
        <v>43084</v>
      </c>
      <c r="E57" s="175"/>
      <c r="F57" s="175"/>
      <c r="G57" s="174"/>
      <c r="H57" s="174"/>
      <c r="I57" s="179"/>
      <c r="J57" s="174"/>
      <c r="K57" s="176">
        <v>47.8</v>
      </c>
      <c r="L57" s="174"/>
      <c r="M57" s="174"/>
      <c r="N57" s="174"/>
      <c r="O57" s="14"/>
      <c r="P57" s="14"/>
      <c r="Q57" s="14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3.2">
      <c r="A58" s="14"/>
      <c r="B58" s="5">
        <v>12</v>
      </c>
      <c r="C58" s="5">
        <f t="shared" si="1"/>
        <v>98</v>
      </c>
      <c r="D58" s="32">
        <v>43097</v>
      </c>
      <c r="E58" s="12"/>
      <c r="F58" s="12"/>
      <c r="G58" s="14"/>
      <c r="H58" s="14"/>
      <c r="I58" s="33">
        <v>62.5</v>
      </c>
      <c r="J58" s="14"/>
      <c r="K58" s="33">
        <v>49.5</v>
      </c>
      <c r="L58" s="14"/>
      <c r="M58" s="14"/>
      <c r="N58" s="14"/>
      <c r="O58" s="14"/>
      <c r="P58" s="14"/>
      <c r="Q58" s="14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3.2">
      <c r="A59" s="14"/>
      <c r="B59" s="180">
        <v>12</v>
      </c>
      <c r="C59" s="180">
        <f t="shared" si="1"/>
        <v>105</v>
      </c>
      <c r="D59" s="181">
        <v>43104</v>
      </c>
      <c r="E59" s="182"/>
      <c r="F59" s="182"/>
      <c r="G59" s="183"/>
      <c r="H59" s="183"/>
      <c r="I59" s="184">
        <v>41.4</v>
      </c>
      <c r="J59" s="183"/>
      <c r="K59" s="184">
        <v>50.4</v>
      </c>
      <c r="L59" s="185">
        <f>I58-I59</f>
        <v>21.1</v>
      </c>
      <c r="M59" s="14"/>
      <c r="N59" s="14"/>
      <c r="O59" s="14"/>
      <c r="P59" s="14"/>
      <c r="Q59" s="14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3.2">
      <c r="A60" s="14"/>
      <c r="B60" s="5"/>
      <c r="C60" s="5">
        <f t="shared" si="1"/>
        <v>112</v>
      </c>
      <c r="D60" s="32">
        <v>43111</v>
      </c>
      <c r="E60" s="12"/>
      <c r="F60" s="12"/>
      <c r="G60" s="14"/>
      <c r="H60" s="14"/>
      <c r="I60" s="33">
        <v>23.7</v>
      </c>
      <c r="J60" s="14"/>
      <c r="K60" s="33">
        <v>47.6</v>
      </c>
      <c r="L60" s="14"/>
      <c r="M60" s="14"/>
      <c r="N60" s="14"/>
      <c r="O60" s="14"/>
      <c r="P60" s="14"/>
      <c r="Q60" s="14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3.2">
      <c r="A61" s="14"/>
      <c r="B61" s="14"/>
      <c r="C61" s="5">
        <f t="shared" si="1"/>
        <v>116</v>
      </c>
      <c r="D61" s="34">
        <v>43115</v>
      </c>
      <c r="E61" s="12"/>
      <c r="F61" s="12"/>
      <c r="G61" s="14"/>
      <c r="H61" s="14"/>
      <c r="I61" s="33"/>
      <c r="J61" s="14"/>
      <c r="K61" s="33"/>
      <c r="L61" s="14"/>
      <c r="M61" s="14"/>
      <c r="N61" s="14"/>
      <c r="O61" s="14"/>
      <c r="P61" s="14"/>
      <c r="Q61" s="14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3.2">
      <c r="A62" s="14"/>
      <c r="B62" s="14"/>
      <c r="C62" s="5">
        <f t="shared" si="1"/>
        <v>117</v>
      </c>
      <c r="D62" s="20">
        <v>43116</v>
      </c>
      <c r="E62" s="12"/>
      <c r="F62" s="12"/>
      <c r="G62" s="14"/>
      <c r="H62" s="14"/>
      <c r="I62" s="33">
        <v>24.4</v>
      </c>
      <c r="J62" s="14"/>
      <c r="K62" s="33">
        <v>46.6</v>
      </c>
      <c r="L62" s="14"/>
      <c r="M62" s="14"/>
      <c r="N62" s="14"/>
      <c r="O62" s="14"/>
      <c r="P62" s="14"/>
      <c r="Q62" s="14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3.2">
      <c r="A63" s="14"/>
      <c r="B63" s="14"/>
      <c r="C63" s="5">
        <f t="shared" si="1"/>
        <v>124</v>
      </c>
      <c r="D63" s="20">
        <v>43123</v>
      </c>
      <c r="E63" s="12"/>
      <c r="F63" s="12"/>
      <c r="G63" s="14"/>
      <c r="H63" s="14"/>
      <c r="I63" s="33">
        <v>39.799999999999997</v>
      </c>
      <c r="J63" s="14"/>
      <c r="K63" s="33">
        <v>45.3</v>
      </c>
      <c r="L63" s="14"/>
      <c r="M63" s="14"/>
      <c r="N63" s="14"/>
      <c r="O63" s="14"/>
      <c r="P63" s="14"/>
      <c r="Q63" s="14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3.2">
      <c r="A64" s="14"/>
      <c r="B64" s="14"/>
      <c r="C64" s="5">
        <v>131</v>
      </c>
      <c r="D64" s="20">
        <v>43130</v>
      </c>
      <c r="E64" s="12"/>
      <c r="F64" s="12"/>
      <c r="G64" s="14"/>
      <c r="H64" s="14"/>
      <c r="I64" s="36">
        <v>55.6</v>
      </c>
      <c r="J64" s="14"/>
      <c r="K64" s="36">
        <v>44.4</v>
      </c>
      <c r="L64" s="14"/>
      <c r="M64" s="14"/>
      <c r="N64" s="14"/>
      <c r="O64" s="14"/>
      <c r="P64" s="14"/>
      <c r="Q64" s="14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3.2">
      <c r="A65" s="14"/>
      <c r="B65" s="14"/>
      <c r="C65" s="5">
        <v>138</v>
      </c>
      <c r="D65" s="20">
        <v>43137</v>
      </c>
      <c r="E65" s="12"/>
      <c r="F65" s="12"/>
      <c r="G65" s="14"/>
      <c r="H65" s="14"/>
      <c r="I65" s="33">
        <v>34.200000000000003</v>
      </c>
      <c r="J65" s="37"/>
      <c r="K65" s="33">
        <v>42.4</v>
      </c>
      <c r="L65" s="14"/>
      <c r="M65" s="14"/>
      <c r="N65" s="14"/>
      <c r="O65" s="14"/>
      <c r="P65" s="14"/>
      <c r="Q65" s="14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3.2">
      <c r="A66" s="14"/>
      <c r="B66" s="14"/>
      <c r="C66" s="5">
        <v>145</v>
      </c>
      <c r="D66" s="20">
        <v>43144</v>
      </c>
      <c r="E66" s="12"/>
      <c r="F66" s="12"/>
      <c r="G66" s="14"/>
      <c r="H66" s="14"/>
      <c r="I66" s="13">
        <v>53.5</v>
      </c>
      <c r="J66" s="14"/>
      <c r="K66" s="13">
        <v>43.4</v>
      </c>
      <c r="L66" s="14"/>
      <c r="M66" s="14"/>
      <c r="N66" s="14"/>
      <c r="O66" s="14"/>
      <c r="P66" s="14"/>
      <c r="Q66" s="14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3.2">
      <c r="A67" s="14"/>
      <c r="B67" s="14"/>
      <c r="C67" s="5">
        <v>152</v>
      </c>
      <c r="D67" s="20">
        <v>43151</v>
      </c>
      <c r="E67" s="12"/>
      <c r="F67" s="12"/>
      <c r="G67" s="14"/>
      <c r="H67" s="14"/>
      <c r="I67" s="13">
        <v>28.3</v>
      </c>
      <c r="J67" s="14"/>
      <c r="K67" s="13">
        <v>44.2</v>
      </c>
      <c r="L67" s="14"/>
      <c r="M67" s="14"/>
      <c r="N67" s="14"/>
      <c r="O67" s="14"/>
      <c r="P67" s="14"/>
      <c r="Q67" s="14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3.2">
      <c r="A68" s="14"/>
      <c r="B68" s="14"/>
      <c r="C68" s="5">
        <v>159</v>
      </c>
      <c r="D68" s="20">
        <v>43158</v>
      </c>
      <c r="E68" s="12"/>
      <c r="F68" s="12"/>
      <c r="G68" s="14"/>
      <c r="H68" s="14"/>
      <c r="I68" s="13">
        <v>48.9</v>
      </c>
      <c r="J68" s="14"/>
      <c r="K68" s="13">
        <v>44.8</v>
      </c>
      <c r="L68" s="14"/>
      <c r="M68" s="14"/>
      <c r="N68" s="14"/>
      <c r="O68" s="14"/>
      <c r="P68" s="14"/>
      <c r="Q68" s="14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3.2">
      <c r="A69" s="14"/>
      <c r="B69" s="14"/>
      <c r="C69" s="5">
        <v>166</v>
      </c>
      <c r="D69" s="20">
        <v>43165</v>
      </c>
      <c r="E69" s="12"/>
      <c r="F69" s="12"/>
      <c r="G69" s="14"/>
      <c r="H69" s="14"/>
      <c r="I69" s="13">
        <v>24.4</v>
      </c>
      <c r="J69" s="14"/>
      <c r="K69" s="13">
        <v>43.1</v>
      </c>
      <c r="L69" s="14"/>
      <c r="M69" s="14"/>
      <c r="N69" s="14"/>
      <c r="O69" s="14"/>
      <c r="P69" s="14"/>
      <c r="Q69" s="14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3.2">
      <c r="A70" s="14"/>
      <c r="B70" s="14"/>
      <c r="C70" s="5">
        <v>173</v>
      </c>
      <c r="D70" s="20">
        <v>43172</v>
      </c>
      <c r="E70" s="12"/>
      <c r="F70" s="12"/>
      <c r="G70" s="14"/>
      <c r="H70" s="14"/>
      <c r="I70" s="13">
        <v>10.7</v>
      </c>
      <c r="J70" s="14"/>
      <c r="K70" s="13">
        <v>39.299999999999997</v>
      </c>
      <c r="L70" s="14"/>
      <c r="M70" s="14"/>
      <c r="N70" s="14"/>
      <c r="O70" s="14"/>
      <c r="P70" s="14"/>
      <c r="Q70" s="14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3.2">
      <c r="A71" s="14"/>
      <c r="B71" s="14"/>
      <c r="C71" s="14"/>
      <c r="D71" s="14"/>
      <c r="E71" s="12"/>
      <c r="F71" s="12"/>
      <c r="G71" s="14"/>
      <c r="H71" s="14"/>
      <c r="I71" s="15"/>
      <c r="J71" s="14"/>
      <c r="K71" s="15"/>
      <c r="L71" s="14"/>
      <c r="M71" s="14"/>
      <c r="N71" s="14"/>
      <c r="O71" s="14"/>
      <c r="P71" s="14"/>
      <c r="Q71" s="14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3.2">
      <c r="A72" s="14"/>
      <c r="B72" s="14"/>
      <c r="C72" s="14"/>
      <c r="D72" s="14"/>
      <c r="E72" s="12"/>
      <c r="F72" s="12"/>
      <c r="G72" s="14"/>
      <c r="H72" s="14"/>
      <c r="I72" s="15"/>
      <c r="J72" s="14"/>
      <c r="K72" s="15"/>
      <c r="L72" s="14"/>
      <c r="M72" s="14"/>
      <c r="N72" s="14"/>
      <c r="O72" s="14"/>
      <c r="P72" s="14"/>
      <c r="Q72" s="14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3.2">
      <c r="A73" s="14"/>
      <c r="B73" s="14"/>
      <c r="C73" s="14"/>
      <c r="D73" s="14"/>
      <c r="E73" s="12"/>
      <c r="F73" s="12"/>
      <c r="G73" s="14"/>
      <c r="H73" s="14"/>
      <c r="I73" s="15"/>
      <c r="J73" s="14"/>
      <c r="K73" s="15"/>
      <c r="L73" s="14"/>
      <c r="M73" s="14"/>
      <c r="N73" s="14"/>
      <c r="O73" s="14"/>
      <c r="P73" s="14"/>
      <c r="Q73" s="14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3.2">
      <c r="A74" s="14"/>
      <c r="B74" s="14"/>
      <c r="C74" s="14"/>
      <c r="D74" s="14"/>
      <c r="E74" s="12"/>
      <c r="F74" s="12"/>
      <c r="G74" s="14"/>
      <c r="H74" s="14"/>
      <c r="I74" s="15"/>
      <c r="J74" s="14"/>
      <c r="K74" s="15"/>
      <c r="L74" s="14"/>
      <c r="M74" s="14"/>
      <c r="N74" s="14"/>
      <c r="O74" s="14"/>
      <c r="P74" s="14"/>
      <c r="Q74" s="14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3.2">
      <c r="A75" s="14"/>
      <c r="B75" s="14"/>
      <c r="C75" s="14"/>
      <c r="D75" s="14"/>
      <c r="E75" s="12"/>
      <c r="F75" s="12"/>
      <c r="G75" s="14"/>
      <c r="H75" s="14"/>
      <c r="I75" s="15"/>
      <c r="J75" s="14"/>
      <c r="K75" s="15"/>
      <c r="L75" s="14"/>
      <c r="M75" s="14"/>
      <c r="N75" s="14"/>
      <c r="O75" s="14"/>
      <c r="P75" s="14"/>
      <c r="Q75" s="14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3.2">
      <c r="A76" s="14"/>
      <c r="B76" s="14"/>
      <c r="C76" s="14"/>
      <c r="D76" s="14"/>
      <c r="E76" s="12"/>
      <c r="F76" s="12"/>
      <c r="G76" s="14"/>
      <c r="H76" s="14"/>
      <c r="I76" s="15"/>
      <c r="J76" s="14"/>
      <c r="K76" s="15"/>
      <c r="L76" s="14"/>
      <c r="M76" s="14"/>
      <c r="N76" s="14"/>
      <c r="O76" s="14"/>
      <c r="P76" s="14"/>
      <c r="Q76" s="14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3.2">
      <c r="A77" s="14"/>
      <c r="B77" s="14"/>
      <c r="C77" s="14"/>
      <c r="D77" s="14"/>
      <c r="E77" s="12"/>
      <c r="F77" s="12"/>
      <c r="G77" s="14"/>
      <c r="H77" s="14"/>
      <c r="I77" s="15"/>
      <c r="J77" s="14"/>
      <c r="K77" s="15"/>
      <c r="L77" s="14"/>
      <c r="M77" s="14"/>
      <c r="N77" s="14"/>
      <c r="O77" s="14"/>
      <c r="P77" s="14"/>
      <c r="Q77" s="14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3.2">
      <c r="A78" s="14"/>
      <c r="B78" s="14"/>
      <c r="C78" s="14"/>
      <c r="D78" s="14"/>
      <c r="E78" s="12"/>
      <c r="F78" s="12"/>
      <c r="G78" s="14"/>
      <c r="H78" s="14"/>
      <c r="I78" s="15"/>
      <c r="J78" s="14"/>
      <c r="K78" s="15"/>
      <c r="L78" s="14"/>
      <c r="M78" s="14"/>
      <c r="N78" s="14"/>
      <c r="O78" s="14"/>
      <c r="P78" s="14"/>
      <c r="Q78" s="14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3.2">
      <c r="A79" s="14"/>
      <c r="B79" s="14"/>
      <c r="C79" s="14"/>
      <c r="D79" s="14"/>
      <c r="E79" s="12"/>
      <c r="F79" s="12"/>
      <c r="G79" s="14"/>
      <c r="H79" s="14"/>
      <c r="I79" s="15"/>
      <c r="J79" s="14"/>
      <c r="K79" s="15"/>
      <c r="L79" s="14"/>
      <c r="M79" s="14"/>
      <c r="N79" s="14"/>
      <c r="O79" s="14"/>
      <c r="P79" s="14"/>
      <c r="Q79" s="14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3.2">
      <c r="A80" s="14"/>
      <c r="B80" s="14"/>
      <c r="C80" s="14"/>
      <c r="D80" s="14"/>
      <c r="E80" s="12"/>
      <c r="F80" s="12"/>
      <c r="G80" s="14"/>
      <c r="H80" s="14"/>
      <c r="I80" s="15"/>
      <c r="J80" s="14"/>
      <c r="K80" s="15"/>
      <c r="L80" s="14"/>
      <c r="M80" s="14"/>
      <c r="N80" s="14"/>
      <c r="O80" s="14"/>
      <c r="P80" s="14"/>
      <c r="Q80" s="14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3.2">
      <c r="A81" s="14"/>
      <c r="B81" s="14"/>
      <c r="C81" s="14"/>
      <c r="D81" s="14"/>
      <c r="E81" s="12"/>
      <c r="F81" s="12"/>
      <c r="G81" s="14"/>
      <c r="H81" s="14"/>
      <c r="I81" s="15"/>
      <c r="J81" s="14"/>
      <c r="K81" s="15"/>
      <c r="L81" s="14"/>
      <c r="M81" s="14"/>
      <c r="N81" s="14"/>
      <c r="O81" s="14"/>
      <c r="P81" s="14"/>
      <c r="Q81" s="14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3.2">
      <c r="A82" s="14"/>
      <c r="B82" s="14"/>
      <c r="C82" s="14"/>
      <c r="D82" s="14"/>
      <c r="E82" s="12"/>
      <c r="F82" s="12"/>
      <c r="G82" s="14"/>
      <c r="H82" s="14"/>
      <c r="I82" s="15"/>
      <c r="J82" s="14"/>
      <c r="K82" s="15"/>
      <c r="L82" s="14"/>
      <c r="M82" s="14"/>
      <c r="N82" s="14"/>
      <c r="O82" s="14"/>
      <c r="P82" s="14"/>
      <c r="Q82" s="14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3.2">
      <c r="A83" s="14"/>
      <c r="B83" s="14"/>
      <c r="C83" s="14"/>
      <c r="D83" s="14"/>
      <c r="E83" s="12"/>
      <c r="F83" s="12"/>
      <c r="G83" s="14"/>
      <c r="H83" s="14"/>
      <c r="I83" s="15"/>
      <c r="J83" s="14"/>
      <c r="K83" s="15"/>
      <c r="L83" s="14"/>
      <c r="M83" s="14"/>
      <c r="N83" s="14"/>
      <c r="O83" s="14"/>
      <c r="P83" s="14"/>
      <c r="Q83" s="14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3.2">
      <c r="A84" s="14"/>
      <c r="B84" s="14"/>
      <c r="C84" s="14"/>
      <c r="D84" s="14"/>
      <c r="E84" s="12"/>
      <c r="F84" s="12"/>
      <c r="G84" s="14"/>
      <c r="H84" s="14"/>
      <c r="I84" s="15"/>
      <c r="J84" s="14"/>
      <c r="K84" s="15"/>
      <c r="L84" s="14"/>
      <c r="M84" s="14"/>
      <c r="N84" s="14"/>
      <c r="O84" s="14"/>
      <c r="P84" s="14"/>
      <c r="Q84" s="14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3.2">
      <c r="A85" s="14"/>
      <c r="B85" s="14"/>
      <c r="C85" s="14"/>
      <c r="D85" s="14"/>
      <c r="E85" s="12"/>
      <c r="F85" s="12"/>
      <c r="G85" s="14"/>
      <c r="H85" s="14"/>
      <c r="I85" s="15"/>
      <c r="J85" s="14"/>
      <c r="K85" s="15"/>
      <c r="L85" s="14"/>
      <c r="M85" s="14"/>
      <c r="N85" s="14"/>
      <c r="O85" s="14"/>
      <c r="P85" s="14"/>
      <c r="Q85" s="14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3.2">
      <c r="A86" s="14"/>
      <c r="B86" s="14"/>
      <c r="C86" s="14"/>
      <c r="D86" s="14"/>
      <c r="E86" s="12"/>
      <c r="F86" s="12"/>
      <c r="G86" s="14"/>
      <c r="H86" s="14"/>
      <c r="I86" s="15"/>
      <c r="J86" s="14"/>
      <c r="K86" s="15"/>
      <c r="L86" s="14"/>
      <c r="M86" s="14"/>
      <c r="N86" s="14"/>
      <c r="O86" s="14"/>
      <c r="P86" s="14"/>
      <c r="Q86" s="14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3.2">
      <c r="A87" s="14"/>
      <c r="B87" s="14"/>
      <c r="C87" s="14"/>
      <c r="D87" s="14"/>
      <c r="E87" s="12"/>
      <c r="F87" s="12"/>
      <c r="G87" s="14"/>
      <c r="H87" s="14"/>
      <c r="I87" s="15"/>
      <c r="J87" s="14"/>
      <c r="K87" s="15"/>
      <c r="L87" s="14"/>
      <c r="M87" s="14"/>
      <c r="N87" s="14"/>
      <c r="O87" s="14"/>
      <c r="P87" s="14"/>
      <c r="Q87" s="14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3.2">
      <c r="A88" s="14"/>
      <c r="B88" s="14"/>
      <c r="C88" s="14"/>
      <c r="D88" s="14"/>
      <c r="E88" s="12"/>
      <c r="F88" s="12"/>
      <c r="G88" s="14"/>
      <c r="H88" s="14"/>
      <c r="I88" s="15"/>
      <c r="J88" s="14"/>
      <c r="K88" s="15"/>
      <c r="L88" s="14"/>
      <c r="M88" s="14"/>
      <c r="N88" s="14"/>
      <c r="O88" s="14"/>
      <c r="P88" s="14"/>
      <c r="Q88" s="14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3.2">
      <c r="A89" s="14"/>
      <c r="B89" s="14"/>
      <c r="C89" s="14"/>
      <c r="D89" s="14"/>
      <c r="E89" s="12"/>
      <c r="F89" s="12"/>
      <c r="G89" s="14"/>
      <c r="H89" s="14"/>
      <c r="I89" s="15"/>
      <c r="J89" s="14"/>
      <c r="K89" s="15"/>
      <c r="L89" s="14"/>
      <c r="M89" s="14"/>
      <c r="N89" s="14"/>
      <c r="O89" s="14"/>
      <c r="P89" s="14"/>
      <c r="Q89" s="14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3.2">
      <c r="A90" s="14"/>
      <c r="B90" s="14"/>
      <c r="C90" s="14"/>
      <c r="D90" s="14"/>
      <c r="E90" s="12"/>
      <c r="F90" s="12"/>
      <c r="G90" s="14"/>
      <c r="H90" s="14"/>
      <c r="I90" s="15"/>
      <c r="J90" s="14"/>
      <c r="K90" s="15"/>
      <c r="L90" s="14"/>
      <c r="M90" s="14"/>
      <c r="N90" s="14"/>
      <c r="O90" s="14"/>
      <c r="P90" s="14"/>
      <c r="Q90" s="14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3.2">
      <c r="A91" s="14"/>
      <c r="B91" s="14"/>
      <c r="C91" s="14"/>
      <c r="D91" s="14"/>
      <c r="E91" s="12"/>
      <c r="F91" s="12"/>
      <c r="G91" s="14"/>
      <c r="H91" s="14"/>
      <c r="I91" s="15"/>
      <c r="J91" s="14"/>
      <c r="K91" s="15"/>
      <c r="L91" s="14"/>
      <c r="M91" s="14"/>
      <c r="N91" s="14"/>
      <c r="O91" s="14"/>
      <c r="P91" s="14"/>
      <c r="Q91" s="14"/>
      <c r="R91" s="7"/>
      <c r="S91" s="7"/>
      <c r="T91" s="73">
        <f>I92-I96</f>
        <v>28.700000000000003</v>
      </c>
      <c r="U91" s="7"/>
      <c r="V91" s="7">
        <f>SUM(U91:U92)</f>
        <v>1284.3240000000001</v>
      </c>
      <c r="W91" s="7"/>
      <c r="X91" s="7"/>
      <c r="Y91" s="7"/>
      <c r="Z91" s="7"/>
      <c r="AA91" s="7"/>
    </row>
    <row r="92" spans="1:27" ht="13.2">
      <c r="A92" s="169" t="s">
        <v>125</v>
      </c>
      <c r="B92" s="5">
        <v>0</v>
      </c>
      <c r="C92" s="5">
        <v>0</v>
      </c>
      <c r="D92" s="9">
        <v>42992</v>
      </c>
      <c r="E92" s="10">
        <v>401.5</v>
      </c>
      <c r="F92" s="11"/>
      <c r="G92" s="12">
        <f>AVERAGE(F93,F94,F95,F100)</f>
        <v>3.8458333333333341</v>
      </c>
      <c r="H92" s="14"/>
      <c r="I92" s="13">
        <v>103.9</v>
      </c>
      <c r="J92" s="14">
        <f t="shared" ref="J92:J95" si="30">(I92-I93)/(D93-D92)</f>
        <v>4.3000000000000114</v>
      </c>
      <c r="K92" s="13">
        <v>24</v>
      </c>
      <c r="L92" s="15">
        <f t="shared" ref="L92:L99" si="31">I92-I93</f>
        <v>4.3000000000000114</v>
      </c>
      <c r="M92" s="14"/>
      <c r="N92" s="14"/>
      <c r="O92" s="14"/>
      <c r="P92" s="14"/>
      <c r="Q92" s="14">
        <f>SUM(P92:P104)-104.4</f>
        <v>267.5</v>
      </c>
      <c r="R92" s="7"/>
      <c r="S92" s="7"/>
      <c r="T92" s="73">
        <f>I97-I104</f>
        <v>37.299999999999997</v>
      </c>
      <c r="U92" s="7">
        <f>SUM(T92:T96)*5.24</f>
        <v>1284.3240000000001</v>
      </c>
      <c r="V92" s="7"/>
      <c r="W92" s="7"/>
      <c r="X92" s="7"/>
      <c r="Y92" s="7"/>
      <c r="Z92" s="7"/>
      <c r="AA92" s="7"/>
    </row>
    <row r="93" spans="1:27" ht="13.2">
      <c r="A93" s="5" t="s">
        <v>23</v>
      </c>
      <c r="B93" s="5">
        <v>0</v>
      </c>
      <c r="C93" s="5">
        <v>0</v>
      </c>
      <c r="D93" s="9">
        <v>42993</v>
      </c>
      <c r="E93" s="10">
        <v>398.4</v>
      </c>
      <c r="F93" s="12">
        <f>E92-E93</f>
        <v>3.1000000000000227</v>
      </c>
      <c r="G93" s="12">
        <f>AVERAGE(F93:F96)</f>
        <v>4.6083333333333369</v>
      </c>
      <c r="H93" s="14"/>
      <c r="I93" s="13">
        <v>99.6</v>
      </c>
      <c r="J93" s="14">
        <f t="shared" si="30"/>
        <v>4.2999999999999972</v>
      </c>
      <c r="K93" s="13">
        <v>23.6</v>
      </c>
      <c r="L93" s="15">
        <f t="shared" si="31"/>
        <v>12.899999999999991</v>
      </c>
      <c r="M93" s="14"/>
      <c r="N93" s="14"/>
      <c r="O93" s="14"/>
      <c r="P93" s="12">
        <f>E97-E100</f>
        <v>22.699999999999989</v>
      </c>
      <c r="Q93" s="14"/>
      <c r="R93" s="7"/>
      <c r="S93" s="7"/>
      <c r="T93" s="73">
        <f>I106-I111</f>
        <v>29.9</v>
      </c>
      <c r="U93" s="7"/>
      <c r="V93" s="7"/>
      <c r="W93" s="7"/>
      <c r="X93" s="7"/>
      <c r="Y93" s="7"/>
      <c r="Z93" s="7"/>
      <c r="AA93" s="7"/>
    </row>
    <row r="94" spans="1:27" ht="13.2">
      <c r="A94" s="14"/>
      <c r="B94" s="5">
        <v>0</v>
      </c>
      <c r="C94" s="5">
        <v>0</v>
      </c>
      <c r="D94" s="9">
        <v>42996</v>
      </c>
      <c r="E94" s="10">
        <v>382.7</v>
      </c>
      <c r="F94" s="12">
        <f t="shared" ref="F94:F96" si="32">(E93-E94)/(D94-D93)</f>
        <v>5.2333333333333298</v>
      </c>
      <c r="G94" s="14"/>
      <c r="H94" s="14"/>
      <c r="I94" s="13">
        <v>86.7</v>
      </c>
      <c r="J94" s="15">
        <f t="shared" si="30"/>
        <v>3.8500000000000014</v>
      </c>
      <c r="K94" s="13">
        <v>24</v>
      </c>
      <c r="L94" s="15">
        <f t="shared" si="31"/>
        <v>7.7000000000000028</v>
      </c>
      <c r="M94" s="14"/>
      <c r="N94" s="14"/>
      <c r="O94" s="14"/>
      <c r="P94" s="12">
        <f>E101-E104</f>
        <v>40.5</v>
      </c>
      <c r="Q94" s="14"/>
      <c r="R94" s="7"/>
      <c r="S94" s="7"/>
      <c r="T94" s="73">
        <f>92.3-I123</f>
        <v>63.699999999999996</v>
      </c>
      <c r="U94" s="7"/>
      <c r="V94" s="7"/>
      <c r="W94" s="7"/>
      <c r="X94" s="7"/>
      <c r="Y94" s="7"/>
      <c r="Z94" s="7"/>
      <c r="AA94" s="7"/>
    </row>
    <row r="95" spans="1:27" ht="13.2">
      <c r="A95" s="14"/>
      <c r="B95" s="5">
        <v>0</v>
      </c>
      <c r="C95" s="5">
        <v>0</v>
      </c>
      <c r="D95" s="9">
        <v>42998</v>
      </c>
      <c r="E95" s="10">
        <v>375.1</v>
      </c>
      <c r="F95" s="12">
        <f t="shared" si="32"/>
        <v>3.7999999999999829</v>
      </c>
      <c r="G95" s="14"/>
      <c r="H95" s="14"/>
      <c r="I95" s="13">
        <v>79</v>
      </c>
      <c r="J95" s="14">
        <f t="shared" si="30"/>
        <v>3.7999999999999972</v>
      </c>
      <c r="K95" s="13">
        <v>24.2</v>
      </c>
      <c r="L95" s="15">
        <f t="shared" si="31"/>
        <v>3.7999999999999972</v>
      </c>
      <c r="M95" s="14"/>
      <c r="N95" s="14"/>
      <c r="O95" s="14"/>
      <c r="P95" s="12">
        <f>E105-E108</f>
        <v>27.600000000000023</v>
      </c>
      <c r="Q95" s="14"/>
      <c r="R95" s="7"/>
      <c r="S95" s="7"/>
      <c r="T95" s="73">
        <f>90-I131</f>
        <v>48.4</v>
      </c>
      <c r="U95" s="7"/>
      <c r="V95" s="7"/>
      <c r="W95" s="7"/>
      <c r="X95" s="7"/>
      <c r="Y95" s="7"/>
      <c r="Z95" s="7"/>
      <c r="AA95" s="7"/>
    </row>
    <row r="96" spans="1:27" ht="13.2">
      <c r="A96" s="14"/>
      <c r="B96" s="5">
        <v>0</v>
      </c>
      <c r="C96" s="5">
        <v>0</v>
      </c>
      <c r="D96" s="17">
        <v>42999</v>
      </c>
      <c r="E96" s="10">
        <v>368.8</v>
      </c>
      <c r="F96" s="12">
        <f t="shared" si="32"/>
        <v>6.3000000000000114</v>
      </c>
      <c r="G96" s="14"/>
      <c r="H96" s="14"/>
      <c r="I96" s="13">
        <v>75.2</v>
      </c>
      <c r="J96" s="14">
        <f>(I95-I96)/(D96-D95)</f>
        <v>3.7999999999999972</v>
      </c>
      <c r="K96" s="13">
        <v>24.9</v>
      </c>
      <c r="L96" s="15">
        <f t="shared" si="31"/>
        <v>1.6000000000000085</v>
      </c>
      <c r="M96" s="14"/>
      <c r="N96" s="14"/>
      <c r="O96" s="14"/>
      <c r="P96" s="12">
        <f>E109-E112</f>
        <v>34.399999999999977</v>
      </c>
      <c r="Q96" s="14"/>
      <c r="R96" s="7"/>
      <c r="S96" s="7"/>
      <c r="T96" s="73">
        <f>85.4-I145</f>
        <v>65.800000000000011</v>
      </c>
      <c r="U96" s="7"/>
      <c r="V96" s="7"/>
      <c r="W96" s="7"/>
      <c r="X96" s="7"/>
      <c r="Y96" s="7"/>
      <c r="Z96" s="7"/>
      <c r="AA96" s="7"/>
    </row>
    <row r="97" spans="1:27" ht="13.2">
      <c r="A97" s="14"/>
      <c r="B97" s="5">
        <v>0.5</v>
      </c>
      <c r="C97" s="5">
        <v>0</v>
      </c>
      <c r="D97" s="17">
        <v>42999</v>
      </c>
      <c r="E97" s="10">
        <v>373.9</v>
      </c>
      <c r="F97" s="12"/>
      <c r="G97" s="12">
        <f>AVERAGE(F98:F100)</f>
        <v>3.5499999999999985</v>
      </c>
      <c r="H97" s="14"/>
      <c r="I97" s="13">
        <v>73.599999999999994</v>
      </c>
      <c r="J97" s="14"/>
      <c r="K97" s="13"/>
      <c r="L97" s="15">
        <f t="shared" si="31"/>
        <v>3.5999999999999943</v>
      </c>
      <c r="M97" s="14"/>
      <c r="N97" s="14"/>
      <c r="O97" s="14"/>
      <c r="P97" s="12">
        <f>E113-E116</f>
        <v>35.5</v>
      </c>
      <c r="Q97" s="14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3.2">
      <c r="A98" s="14"/>
      <c r="B98" s="5">
        <v>0.5</v>
      </c>
      <c r="C98" s="5">
        <f t="shared" ref="C98:C153" si="33">D98-$D$7</f>
        <v>1</v>
      </c>
      <c r="D98" s="17">
        <v>43000</v>
      </c>
      <c r="E98" s="10">
        <v>370.9</v>
      </c>
      <c r="F98" s="12">
        <f t="shared" ref="F98:F100" si="34">(E97-E98)/(D98-D97)</f>
        <v>3</v>
      </c>
      <c r="G98" s="14"/>
      <c r="H98" s="14"/>
      <c r="I98" s="13">
        <v>70</v>
      </c>
      <c r="J98" s="14">
        <f t="shared" ref="J98:J100" si="35">(I97-I98)/(D98-D97)</f>
        <v>3.5999999999999943</v>
      </c>
      <c r="K98" s="13">
        <v>25.2</v>
      </c>
      <c r="L98" s="15">
        <f t="shared" si="31"/>
        <v>9.1000000000000014</v>
      </c>
      <c r="M98" s="14"/>
      <c r="N98" s="14"/>
      <c r="O98" s="14"/>
      <c r="P98" s="12">
        <f>E117-E120</f>
        <v>35.199999999999989</v>
      </c>
      <c r="Q98" s="14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3.2">
      <c r="A99" s="14"/>
      <c r="B99" s="5">
        <v>0.5</v>
      </c>
      <c r="C99" s="5">
        <f t="shared" si="33"/>
        <v>4</v>
      </c>
      <c r="D99" s="9">
        <v>43003</v>
      </c>
      <c r="E99" s="10">
        <v>357.7</v>
      </c>
      <c r="F99" s="12">
        <f t="shared" si="34"/>
        <v>4.3999999999999959</v>
      </c>
      <c r="G99" s="14"/>
      <c r="H99" s="14"/>
      <c r="I99" s="13">
        <v>60.9</v>
      </c>
      <c r="J99" s="15">
        <f t="shared" si="35"/>
        <v>3.0333333333333337</v>
      </c>
      <c r="K99" s="13">
        <v>27.2</v>
      </c>
      <c r="L99" s="15">
        <f t="shared" si="31"/>
        <v>5.3999999999999986</v>
      </c>
      <c r="M99" s="14"/>
      <c r="N99" s="14"/>
      <c r="O99" s="14"/>
      <c r="P99" s="12">
        <f>E121-E124</f>
        <v>28.300000000000011</v>
      </c>
      <c r="Q99" s="14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3.2">
      <c r="A100" s="14"/>
      <c r="B100" s="5">
        <v>0.5</v>
      </c>
      <c r="C100" s="5">
        <f t="shared" si="33"/>
        <v>6</v>
      </c>
      <c r="D100" s="9">
        <v>43005</v>
      </c>
      <c r="E100" s="10">
        <v>351.2</v>
      </c>
      <c r="F100" s="12">
        <f t="shared" si="34"/>
        <v>3.25</v>
      </c>
      <c r="G100" s="14"/>
      <c r="H100" s="14"/>
      <c r="I100" s="13">
        <v>55.5</v>
      </c>
      <c r="J100" s="14">
        <f t="shared" si="35"/>
        <v>2.6999999999999993</v>
      </c>
      <c r="K100" s="13">
        <v>28</v>
      </c>
      <c r="L100" s="14"/>
      <c r="M100" s="14"/>
      <c r="N100" s="14"/>
      <c r="O100" s="14"/>
      <c r="P100" s="12">
        <f>E125-E128</f>
        <v>28.900000000000034</v>
      </c>
      <c r="Q100" s="14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3.2">
      <c r="A101" s="14"/>
      <c r="B101" s="170">
        <v>1</v>
      </c>
      <c r="C101" s="5">
        <f t="shared" si="33"/>
        <v>6</v>
      </c>
      <c r="D101" s="9">
        <v>43005</v>
      </c>
      <c r="E101" s="10">
        <v>338</v>
      </c>
      <c r="F101" s="11"/>
      <c r="G101" s="12">
        <f>AVERAGE(F102:F104)</f>
        <v>5.9611111111111086</v>
      </c>
      <c r="H101" s="14"/>
      <c r="I101" s="13" t="s">
        <v>318</v>
      </c>
      <c r="J101" s="14"/>
      <c r="K101" s="13"/>
      <c r="L101" s="14"/>
      <c r="M101" s="14"/>
      <c r="N101" s="14"/>
      <c r="O101" s="14"/>
      <c r="P101" s="12">
        <f>E129-E131</f>
        <v>22.400000000000034</v>
      </c>
      <c r="Q101" s="14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3.2">
      <c r="A102" s="14"/>
      <c r="B102" s="5">
        <v>1</v>
      </c>
      <c r="C102" s="5">
        <f t="shared" si="33"/>
        <v>8</v>
      </c>
      <c r="D102" s="9">
        <v>43007</v>
      </c>
      <c r="E102" s="10">
        <v>326.60000000000002</v>
      </c>
      <c r="F102" s="12">
        <f t="shared" ref="F102:F104" si="36">(E101-E102)/(D102-D101)</f>
        <v>5.6999999999999886</v>
      </c>
      <c r="G102" s="14"/>
      <c r="H102" s="14"/>
      <c r="I102" s="13">
        <v>50.2</v>
      </c>
      <c r="J102" s="14">
        <f>(I100-I102)/(D102-D100)</f>
        <v>2.6499999999999986</v>
      </c>
      <c r="K102" s="13">
        <v>28.4</v>
      </c>
      <c r="L102" s="15">
        <f>I100-I102</f>
        <v>5.2999999999999972</v>
      </c>
      <c r="M102" s="14"/>
      <c r="N102" s="14"/>
      <c r="O102" s="14"/>
      <c r="P102" s="12">
        <f>E132-E137</f>
        <v>42.699999999999989</v>
      </c>
      <c r="Q102" s="14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3.2">
      <c r="A103" s="14"/>
      <c r="B103" s="5">
        <v>1</v>
      </c>
      <c r="C103" s="5">
        <f t="shared" si="33"/>
        <v>11</v>
      </c>
      <c r="D103" s="19">
        <v>43010</v>
      </c>
      <c r="E103" s="11">
        <v>312.39999999999998</v>
      </c>
      <c r="F103" s="12">
        <f t="shared" si="36"/>
        <v>4.7333333333333485</v>
      </c>
      <c r="G103" s="14"/>
      <c r="H103" s="14"/>
      <c r="I103" s="13">
        <v>42.3</v>
      </c>
      <c r="J103" s="15">
        <f t="shared" ref="J103:J104" si="37">(I102-I103)/(D103-D102)</f>
        <v>2.6333333333333351</v>
      </c>
      <c r="K103" s="13">
        <v>28.8</v>
      </c>
      <c r="L103" s="15">
        <f t="shared" ref="L103:L104" si="38">I102-I103</f>
        <v>7.9000000000000057</v>
      </c>
      <c r="M103" s="14"/>
      <c r="N103" s="14"/>
      <c r="O103" s="14"/>
      <c r="P103" s="12">
        <f>E138-E141</f>
        <v>25</v>
      </c>
      <c r="Q103" s="14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3.2">
      <c r="A104" s="14"/>
      <c r="B104" s="5">
        <v>1</v>
      </c>
      <c r="C104" s="5">
        <f t="shared" si="33"/>
        <v>13</v>
      </c>
      <c r="D104" s="19">
        <v>43012</v>
      </c>
      <c r="E104" s="11">
        <v>297.5</v>
      </c>
      <c r="F104" s="12">
        <f t="shared" si="36"/>
        <v>7.4499999999999886</v>
      </c>
      <c r="G104" s="14"/>
      <c r="H104" s="14"/>
      <c r="I104" s="13">
        <v>36.299999999999997</v>
      </c>
      <c r="J104" s="14">
        <f t="shared" si="37"/>
        <v>3</v>
      </c>
      <c r="K104" s="13">
        <v>29.9</v>
      </c>
      <c r="L104" s="15">
        <f t="shared" si="38"/>
        <v>6</v>
      </c>
      <c r="M104" s="14"/>
      <c r="N104" s="14"/>
      <c r="O104" s="14"/>
      <c r="P104" s="12">
        <f>E142-E145</f>
        <v>28.699999999999989</v>
      </c>
      <c r="Q104" s="14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3.2">
      <c r="A105" s="14"/>
      <c r="B105" s="5">
        <v>2</v>
      </c>
      <c r="C105" s="5">
        <f t="shared" si="33"/>
        <v>14</v>
      </c>
      <c r="D105" s="20">
        <v>43013</v>
      </c>
      <c r="E105" s="11">
        <v>397.1</v>
      </c>
      <c r="F105" s="11"/>
      <c r="G105" s="12">
        <f>AVERAGE(F106:F108)</f>
        <v>4.8555555555555667</v>
      </c>
      <c r="H105" s="14"/>
      <c r="I105" s="13" t="s">
        <v>24</v>
      </c>
      <c r="J105" s="14"/>
      <c r="K105" s="13"/>
      <c r="L105" s="14"/>
      <c r="M105" s="14"/>
      <c r="N105" s="14"/>
      <c r="O105" s="14"/>
      <c r="P105" s="14"/>
      <c r="Q105" s="14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3.2">
      <c r="A106" s="14"/>
      <c r="B106" s="5">
        <v>2</v>
      </c>
      <c r="C106" s="5">
        <f t="shared" si="33"/>
        <v>15</v>
      </c>
      <c r="D106" s="20">
        <v>43014</v>
      </c>
      <c r="E106" s="11">
        <v>391.9</v>
      </c>
      <c r="F106" s="12">
        <f t="shared" ref="F106:F108" si="39">(E105-E106)/(D106-D105)</f>
        <v>5.2000000000000455</v>
      </c>
      <c r="G106" s="14"/>
      <c r="H106" s="14"/>
      <c r="I106" s="13">
        <v>67.5</v>
      </c>
      <c r="J106" s="14">
        <f>(73.9-I106)/(D106-D104)</f>
        <v>3.2000000000000028</v>
      </c>
      <c r="K106" s="13">
        <v>30.7</v>
      </c>
      <c r="L106" s="15">
        <f t="shared" ref="L106:L107" si="40">I106-I107</f>
        <v>8.8999999999999986</v>
      </c>
      <c r="M106" s="14"/>
      <c r="N106" s="14"/>
      <c r="O106" s="14"/>
      <c r="P106" s="14"/>
      <c r="Q106" s="14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3.2">
      <c r="A107" s="14"/>
      <c r="B107" s="5">
        <v>2</v>
      </c>
      <c r="C107" s="5">
        <f t="shared" si="33"/>
        <v>18</v>
      </c>
      <c r="D107" s="20">
        <v>43017</v>
      </c>
      <c r="E107" s="11">
        <v>380.9</v>
      </c>
      <c r="F107" s="12">
        <f t="shared" si="39"/>
        <v>3.6666666666666665</v>
      </c>
      <c r="G107" s="14"/>
      <c r="H107" s="14"/>
      <c r="I107" s="13">
        <v>58.6</v>
      </c>
      <c r="J107" s="15">
        <f t="shared" ref="J107:J108" si="41">(I106-I107)/(D107-D106)</f>
        <v>2.9666666666666663</v>
      </c>
      <c r="K107" s="13">
        <v>31.5</v>
      </c>
      <c r="L107" s="15">
        <f t="shared" si="40"/>
        <v>5.3999999999999986</v>
      </c>
      <c r="M107" s="14"/>
      <c r="N107" s="14"/>
      <c r="O107" s="14"/>
      <c r="P107" s="14"/>
      <c r="Q107" s="14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3.2">
      <c r="A108" s="14"/>
      <c r="B108" s="5">
        <v>2</v>
      </c>
      <c r="C108" s="5">
        <f t="shared" si="33"/>
        <v>20</v>
      </c>
      <c r="D108" s="20">
        <v>43019</v>
      </c>
      <c r="E108" s="11">
        <v>369.5</v>
      </c>
      <c r="F108" s="12">
        <f t="shared" si="39"/>
        <v>5.6999999999999886</v>
      </c>
      <c r="G108" s="14"/>
      <c r="H108" s="14"/>
      <c r="I108" s="13">
        <v>53.2</v>
      </c>
      <c r="J108" s="14">
        <f t="shared" si="41"/>
        <v>2.6999999999999993</v>
      </c>
      <c r="K108" s="13">
        <v>31.7</v>
      </c>
      <c r="L108" s="14"/>
      <c r="M108" s="14"/>
      <c r="N108" s="14"/>
      <c r="O108" s="14"/>
      <c r="P108" s="14"/>
      <c r="Q108" s="14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3.2">
      <c r="A109" s="14"/>
      <c r="B109" s="5">
        <v>3</v>
      </c>
      <c r="C109" s="5">
        <f t="shared" si="33"/>
        <v>21</v>
      </c>
      <c r="D109" s="20">
        <v>43020</v>
      </c>
      <c r="E109" s="11">
        <v>376.4</v>
      </c>
      <c r="F109" s="12"/>
      <c r="G109" s="14"/>
      <c r="H109" s="14"/>
      <c r="I109" s="13" t="s">
        <v>24</v>
      </c>
      <c r="J109" s="14"/>
      <c r="K109" s="13"/>
      <c r="L109" s="14"/>
      <c r="M109" s="14"/>
      <c r="N109" s="14"/>
      <c r="O109" s="14"/>
      <c r="P109" s="14"/>
      <c r="Q109" s="14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3.2">
      <c r="A110" s="14"/>
      <c r="B110" s="5">
        <v>3</v>
      </c>
      <c r="C110" s="5">
        <f t="shared" si="33"/>
        <v>22</v>
      </c>
      <c r="D110" s="20">
        <f>D108+2</f>
        <v>43021</v>
      </c>
      <c r="E110" s="11">
        <v>369.1</v>
      </c>
      <c r="F110" s="12">
        <f t="shared" ref="F110:F112" si="42">(E109-E110)/(D110-D109)</f>
        <v>7.2999999999999545</v>
      </c>
      <c r="G110" s="12">
        <f>AVERAGE(F110:F145)</f>
        <v>5.5969135802469161</v>
      </c>
      <c r="H110" s="14"/>
      <c r="I110" s="13">
        <v>47.1</v>
      </c>
      <c r="J110" s="14">
        <f>(I108-I110)/(D110-D108)</f>
        <v>3.0500000000000007</v>
      </c>
      <c r="K110" s="13">
        <v>32.799999999999997</v>
      </c>
      <c r="L110" s="15">
        <f>I108-I110</f>
        <v>6.1000000000000014</v>
      </c>
      <c r="M110" s="14"/>
      <c r="N110" s="14"/>
      <c r="O110" s="14"/>
      <c r="P110" s="14"/>
      <c r="Q110" s="14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3.2">
      <c r="A111" s="14"/>
      <c r="B111" s="5">
        <v>3</v>
      </c>
      <c r="C111" s="5">
        <f t="shared" si="33"/>
        <v>25</v>
      </c>
      <c r="D111" s="20">
        <f>D110+3</f>
        <v>43024</v>
      </c>
      <c r="E111" s="11">
        <v>353.5</v>
      </c>
      <c r="F111" s="12">
        <f t="shared" si="42"/>
        <v>5.2000000000000073</v>
      </c>
      <c r="G111" s="14"/>
      <c r="H111" s="14"/>
      <c r="I111" s="13">
        <v>37.6</v>
      </c>
      <c r="J111" s="16">
        <f>(I110-I111)/(D111-D110)</f>
        <v>3.1666666666666665</v>
      </c>
      <c r="K111" s="13">
        <v>43.3</v>
      </c>
      <c r="L111" s="15">
        <f>I110-I111</f>
        <v>9.5</v>
      </c>
      <c r="M111" s="14"/>
      <c r="N111" s="14"/>
      <c r="O111" s="14"/>
      <c r="P111" s="14"/>
      <c r="Q111" s="14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3.2">
      <c r="A112" s="14"/>
      <c r="B112" s="5">
        <v>3</v>
      </c>
      <c r="C112" s="5">
        <f t="shared" si="33"/>
        <v>27</v>
      </c>
      <c r="D112" s="20">
        <f>D111+2</f>
        <v>43026</v>
      </c>
      <c r="E112" s="11">
        <v>342</v>
      </c>
      <c r="F112" s="12">
        <f t="shared" si="42"/>
        <v>5.75</v>
      </c>
      <c r="G112" s="14"/>
      <c r="H112" s="14"/>
      <c r="I112" s="13">
        <v>84.6</v>
      </c>
      <c r="J112" s="14">
        <f>(92.3-I112)/(D112-D111)</f>
        <v>3.8500000000000014</v>
      </c>
      <c r="K112" s="13">
        <v>35.200000000000003</v>
      </c>
      <c r="L112" s="13">
        <f>92.3-I112</f>
        <v>7.7000000000000028</v>
      </c>
      <c r="M112" s="14"/>
      <c r="N112" s="14"/>
      <c r="O112" s="14"/>
      <c r="P112" s="14"/>
      <c r="Q112" s="14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3.2">
      <c r="A113" s="14"/>
      <c r="B113" s="5">
        <v>4</v>
      </c>
      <c r="C113" s="5">
        <f t="shared" si="33"/>
        <v>28</v>
      </c>
      <c r="D113" s="20">
        <v>43027</v>
      </c>
      <c r="E113" s="11">
        <v>382.8</v>
      </c>
      <c r="F113" s="12"/>
      <c r="G113" s="14"/>
      <c r="H113" s="14"/>
      <c r="I113" s="15"/>
      <c r="J113" s="14"/>
      <c r="K113" s="15"/>
      <c r="L113" s="14"/>
      <c r="M113" s="14"/>
      <c r="N113" s="14"/>
      <c r="O113" s="14"/>
      <c r="P113" s="14"/>
      <c r="Q113" s="14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3.2">
      <c r="A114" s="14"/>
      <c r="B114" s="5">
        <v>4</v>
      </c>
      <c r="C114" s="5">
        <f t="shared" si="33"/>
        <v>29</v>
      </c>
      <c r="D114" s="20">
        <f>D112+2</f>
        <v>43028</v>
      </c>
      <c r="E114" s="11">
        <v>373.2</v>
      </c>
      <c r="F114" s="12">
        <f t="shared" ref="F114:F116" si="43">(E113-E114)/(D114-D113)</f>
        <v>9.6000000000000227</v>
      </c>
      <c r="G114" s="14"/>
      <c r="H114" s="14"/>
      <c r="I114" s="13">
        <v>78</v>
      </c>
      <c r="J114" s="15">
        <f>(I112-I114)/(D114-D112)</f>
        <v>3.2999999999999972</v>
      </c>
      <c r="K114" s="13">
        <v>35.799999999999997</v>
      </c>
      <c r="L114" s="15">
        <f>I112-I114</f>
        <v>6.5999999999999943</v>
      </c>
      <c r="M114" s="14"/>
      <c r="N114" s="14"/>
      <c r="O114" s="14"/>
      <c r="P114" s="14"/>
      <c r="Q114" s="14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3.2">
      <c r="A115" s="14"/>
      <c r="B115" s="5">
        <v>4</v>
      </c>
      <c r="C115" s="5">
        <f t="shared" si="33"/>
        <v>32</v>
      </c>
      <c r="D115" s="20">
        <v>43031</v>
      </c>
      <c r="E115" s="11">
        <v>359.6</v>
      </c>
      <c r="F115" s="12">
        <f t="shared" si="43"/>
        <v>4.5333333333333217</v>
      </c>
      <c r="G115" s="14"/>
      <c r="H115" s="14"/>
      <c r="I115" s="13">
        <v>68.599999999999994</v>
      </c>
      <c r="J115" s="15">
        <f t="shared" ref="J115:J116" si="44">(I114-I115)/(D115-D114)</f>
        <v>3.1333333333333351</v>
      </c>
      <c r="K115" s="13">
        <v>37.200000000000003</v>
      </c>
      <c r="L115" s="15">
        <f t="shared" ref="L115:L116" si="45">I114-I115</f>
        <v>9.4000000000000057</v>
      </c>
      <c r="M115" s="14"/>
      <c r="N115" s="14"/>
      <c r="O115" s="14"/>
      <c r="P115" s="14"/>
      <c r="Q115" s="14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3.2">
      <c r="A116" s="14"/>
      <c r="B116" s="5">
        <v>4</v>
      </c>
      <c r="C116" s="5">
        <f t="shared" si="33"/>
        <v>34</v>
      </c>
      <c r="D116" s="20">
        <v>43033</v>
      </c>
      <c r="E116" s="11">
        <v>347.3</v>
      </c>
      <c r="F116" s="12">
        <f t="shared" si="43"/>
        <v>6.1500000000000057</v>
      </c>
      <c r="G116" s="14"/>
      <c r="H116" s="14"/>
      <c r="I116" s="13">
        <v>63</v>
      </c>
      <c r="J116" s="15">
        <f t="shared" si="44"/>
        <v>2.7999999999999972</v>
      </c>
      <c r="K116" s="13">
        <v>37.200000000000003</v>
      </c>
      <c r="L116" s="15">
        <f t="shared" si="45"/>
        <v>5.5999999999999943</v>
      </c>
      <c r="M116" s="14"/>
      <c r="N116" s="14"/>
      <c r="O116" s="14"/>
      <c r="P116" s="14"/>
      <c r="Q116" s="14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3.2">
      <c r="A117" s="14"/>
      <c r="B117" s="5">
        <v>5</v>
      </c>
      <c r="C117" s="5">
        <f t="shared" si="33"/>
        <v>35</v>
      </c>
      <c r="D117" s="20">
        <v>43034</v>
      </c>
      <c r="E117" s="11">
        <v>335</v>
      </c>
      <c r="F117" s="12"/>
      <c r="G117" s="14"/>
      <c r="H117" s="14"/>
      <c r="I117" s="15"/>
      <c r="J117" s="15"/>
      <c r="K117" s="15"/>
      <c r="L117" s="14"/>
      <c r="M117" s="14"/>
      <c r="N117" s="14"/>
      <c r="O117" s="14"/>
      <c r="P117" s="14"/>
      <c r="Q117" s="14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3.2">
      <c r="A118" s="14"/>
      <c r="B118" s="5">
        <v>5</v>
      </c>
      <c r="C118" s="5">
        <f t="shared" si="33"/>
        <v>36</v>
      </c>
      <c r="D118" s="20">
        <v>43035</v>
      </c>
      <c r="E118" s="11">
        <v>328</v>
      </c>
      <c r="F118" s="12">
        <f t="shared" ref="F118:F120" si="46">(E117-E118)/(D118-D117)</f>
        <v>7</v>
      </c>
      <c r="G118" s="14"/>
      <c r="H118" s="14"/>
      <c r="I118" s="13">
        <v>58.3</v>
      </c>
      <c r="J118" s="15">
        <f>(I116-I118)/(D118-D116)</f>
        <v>2.3500000000000014</v>
      </c>
      <c r="K118" s="13">
        <v>37.5</v>
      </c>
      <c r="L118" s="15">
        <f>I116-I118</f>
        <v>4.7000000000000028</v>
      </c>
      <c r="M118" s="14"/>
      <c r="N118" s="14"/>
      <c r="O118" s="14"/>
      <c r="P118" s="14"/>
      <c r="Q118" s="14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3.2">
      <c r="A119" s="14"/>
      <c r="B119" s="5">
        <v>5</v>
      </c>
      <c r="C119" s="5">
        <f t="shared" si="33"/>
        <v>39</v>
      </c>
      <c r="D119" s="20">
        <v>43038</v>
      </c>
      <c r="E119" s="11">
        <v>309.39999999999998</v>
      </c>
      <c r="F119" s="12">
        <f t="shared" si="46"/>
        <v>6.2000000000000073</v>
      </c>
      <c r="G119" s="14"/>
      <c r="H119" s="14"/>
      <c r="I119" s="13">
        <v>49.8</v>
      </c>
      <c r="J119" s="15">
        <f t="shared" ref="J119:J120" si="47">(I118-I119)/(D119-D118)</f>
        <v>2.8333333333333335</v>
      </c>
      <c r="K119" s="13">
        <v>38.5</v>
      </c>
      <c r="L119" s="15">
        <f t="shared" ref="L119:L120" si="48">I118-I119</f>
        <v>8.5</v>
      </c>
      <c r="M119" s="14"/>
      <c r="N119" s="14"/>
      <c r="O119" s="14"/>
      <c r="P119" s="14"/>
      <c r="Q119" s="14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3.2">
      <c r="A120" s="14"/>
      <c r="B120" s="5">
        <v>5</v>
      </c>
      <c r="C120" s="5">
        <f t="shared" si="33"/>
        <v>41</v>
      </c>
      <c r="D120" s="20">
        <v>43040</v>
      </c>
      <c r="E120" s="11">
        <v>299.8</v>
      </c>
      <c r="F120" s="12">
        <f t="shared" si="46"/>
        <v>4.7999999999999829</v>
      </c>
      <c r="G120" s="14"/>
      <c r="H120" s="14"/>
      <c r="I120" s="13">
        <v>43.6</v>
      </c>
      <c r="J120" s="15">
        <f t="shared" si="47"/>
        <v>3.0999999999999979</v>
      </c>
      <c r="K120" s="13">
        <v>39.1</v>
      </c>
      <c r="L120" s="15">
        <f t="shared" si="48"/>
        <v>6.1999999999999957</v>
      </c>
      <c r="M120" s="14"/>
      <c r="N120" s="14"/>
      <c r="O120" s="14"/>
      <c r="P120" s="14"/>
      <c r="Q120" s="14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3.2">
      <c r="A121" s="14"/>
      <c r="B121" s="5">
        <v>6</v>
      </c>
      <c r="C121" s="5">
        <f t="shared" si="33"/>
        <v>42</v>
      </c>
      <c r="D121" s="20">
        <v>43041</v>
      </c>
      <c r="E121" s="11">
        <v>351.8</v>
      </c>
      <c r="F121" s="12"/>
      <c r="G121" s="14"/>
      <c r="H121" s="14"/>
      <c r="I121" s="15"/>
      <c r="J121" s="14"/>
      <c r="K121" s="15"/>
      <c r="L121" s="14"/>
      <c r="M121" s="14"/>
      <c r="N121" s="14"/>
      <c r="O121" s="14"/>
      <c r="P121" s="14"/>
      <c r="Q121" s="14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3.2">
      <c r="A122" s="14"/>
      <c r="B122" s="5">
        <v>6</v>
      </c>
      <c r="C122" s="5">
        <f t="shared" si="33"/>
        <v>43</v>
      </c>
      <c r="D122" s="20">
        <v>43042</v>
      </c>
      <c r="E122" s="11">
        <v>348.1</v>
      </c>
      <c r="F122" s="12">
        <f t="shared" ref="F122:F124" si="49">(E121-E122)/(D122-D121)</f>
        <v>3.6999999999999886</v>
      </c>
      <c r="G122" s="14"/>
      <c r="H122" s="14"/>
      <c r="I122" s="13">
        <v>37.799999999999997</v>
      </c>
      <c r="J122" s="15">
        <f>(I120-I122)/(D122-D120)</f>
        <v>2.9000000000000021</v>
      </c>
      <c r="K122" s="13">
        <v>40.299999999999997</v>
      </c>
      <c r="L122" s="15">
        <f>I120-I122</f>
        <v>5.8000000000000043</v>
      </c>
      <c r="M122" s="14"/>
      <c r="N122" s="14"/>
      <c r="O122" s="14"/>
      <c r="P122" s="14"/>
      <c r="Q122" s="14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3.2">
      <c r="A123" s="14"/>
      <c r="B123" s="5">
        <v>6</v>
      </c>
      <c r="C123" s="5">
        <f t="shared" si="33"/>
        <v>46</v>
      </c>
      <c r="D123" s="20">
        <v>43045</v>
      </c>
      <c r="E123" s="11">
        <v>333.2</v>
      </c>
      <c r="F123" s="12">
        <f t="shared" si="49"/>
        <v>4.9666666666666783</v>
      </c>
      <c r="G123" s="14"/>
      <c r="H123" s="14"/>
      <c r="I123" s="13">
        <v>28.6</v>
      </c>
      <c r="J123" s="15">
        <f>(I122-I123)/(D123-D122)</f>
        <v>3.0666666666666651</v>
      </c>
      <c r="K123" s="13">
        <v>41</v>
      </c>
      <c r="L123" s="15">
        <f>I122-I123</f>
        <v>9.1999999999999957</v>
      </c>
      <c r="M123" s="14"/>
      <c r="N123" s="14"/>
      <c r="O123" s="14"/>
      <c r="P123" s="14"/>
      <c r="Q123" s="14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3.2">
      <c r="A124" s="14"/>
      <c r="B124" s="5">
        <v>6</v>
      </c>
      <c r="C124" s="5">
        <f t="shared" si="33"/>
        <v>48</v>
      </c>
      <c r="D124" s="20">
        <v>43047</v>
      </c>
      <c r="E124" s="11">
        <v>323.5</v>
      </c>
      <c r="F124" s="12">
        <f t="shared" si="49"/>
        <v>4.8499999999999943</v>
      </c>
      <c r="G124" s="14"/>
      <c r="H124" s="14"/>
      <c r="I124" s="13">
        <v>79.8</v>
      </c>
      <c r="J124" s="14">
        <f>(90-I124)/(D124-D123)</f>
        <v>5.1000000000000014</v>
      </c>
      <c r="K124" s="13">
        <v>42.3</v>
      </c>
      <c r="L124" s="15">
        <f>90-I124</f>
        <v>10.200000000000003</v>
      </c>
      <c r="M124" s="14"/>
      <c r="N124" s="14"/>
      <c r="O124" s="14"/>
      <c r="P124" s="14"/>
      <c r="Q124" s="14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3.2">
      <c r="A125" s="14"/>
      <c r="B125" s="5">
        <v>7</v>
      </c>
      <c r="C125" s="5">
        <f t="shared" si="33"/>
        <v>49</v>
      </c>
      <c r="D125" s="20">
        <v>43048</v>
      </c>
      <c r="E125" s="11">
        <v>356.1</v>
      </c>
      <c r="F125" s="12"/>
      <c r="G125" s="14"/>
      <c r="H125" s="14"/>
      <c r="I125" s="15"/>
      <c r="J125" s="14"/>
      <c r="K125" s="15"/>
      <c r="L125" s="14"/>
      <c r="M125" s="14"/>
      <c r="N125" s="14"/>
      <c r="O125" s="14"/>
      <c r="P125" s="14"/>
      <c r="Q125" s="14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3.2">
      <c r="A126" s="14"/>
      <c r="B126" s="5">
        <v>7</v>
      </c>
      <c r="C126" s="5">
        <f t="shared" si="33"/>
        <v>50</v>
      </c>
      <c r="D126" s="20">
        <v>43049</v>
      </c>
      <c r="E126" s="11">
        <v>349.4</v>
      </c>
      <c r="F126" s="12">
        <f t="shared" ref="F126:F128" si="50">(E125-E126)/(D126-D125)</f>
        <v>6.7000000000000455</v>
      </c>
      <c r="G126" s="14"/>
      <c r="H126" s="14"/>
      <c r="I126" s="13">
        <v>72.900000000000006</v>
      </c>
      <c r="J126" s="15">
        <f>(I124-I126)/(D126-D124)</f>
        <v>3.4499999999999957</v>
      </c>
      <c r="K126" s="13">
        <v>43.2</v>
      </c>
      <c r="L126" s="15">
        <f>I124-I126</f>
        <v>6.8999999999999915</v>
      </c>
      <c r="M126" s="14"/>
      <c r="N126" s="14"/>
      <c r="O126" s="14"/>
      <c r="P126" s="14"/>
      <c r="Q126" s="14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3.2">
      <c r="A127" s="14"/>
      <c r="B127" s="5">
        <v>7</v>
      </c>
      <c r="C127" s="5">
        <f t="shared" si="33"/>
        <v>53</v>
      </c>
      <c r="D127" s="20">
        <v>43052</v>
      </c>
      <c r="E127" s="11">
        <v>336.6</v>
      </c>
      <c r="F127" s="12">
        <f t="shared" si="50"/>
        <v>4.2666666666666515</v>
      </c>
      <c r="G127" s="14"/>
      <c r="H127" s="14"/>
      <c r="I127" s="13">
        <v>63.3</v>
      </c>
      <c r="J127" s="15">
        <f t="shared" ref="J127:J128" si="51">(I126-I127)/(D127-D126)</f>
        <v>3.2000000000000028</v>
      </c>
      <c r="K127" s="13">
        <v>44.6</v>
      </c>
      <c r="L127" s="15">
        <f t="shared" ref="L127:L128" si="52">I126-I127</f>
        <v>9.6000000000000085</v>
      </c>
      <c r="M127" s="14"/>
      <c r="N127" s="14"/>
      <c r="O127" s="14"/>
      <c r="P127" s="14"/>
      <c r="Q127" s="14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3.2">
      <c r="A128" s="14"/>
      <c r="B128" s="5">
        <v>7</v>
      </c>
      <c r="C128" s="5">
        <f t="shared" si="33"/>
        <v>55</v>
      </c>
      <c r="D128" s="20">
        <v>43054</v>
      </c>
      <c r="E128" s="11">
        <v>327.2</v>
      </c>
      <c r="F128" s="12">
        <f t="shared" si="50"/>
        <v>4.7000000000000171</v>
      </c>
      <c r="G128" s="14"/>
      <c r="H128" s="14"/>
      <c r="I128" s="13">
        <v>57.4</v>
      </c>
      <c r="J128" s="15">
        <f t="shared" si="51"/>
        <v>2.9499999999999993</v>
      </c>
      <c r="K128" s="13">
        <v>45.2</v>
      </c>
      <c r="L128" s="15">
        <f t="shared" si="52"/>
        <v>5.8999999999999986</v>
      </c>
      <c r="M128" s="14"/>
      <c r="N128" s="14"/>
      <c r="O128" s="14"/>
      <c r="P128" s="14"/>
      <c r="Q128" s="14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3.2">
      <c r="A129" s="14"/>
      <c r="B129" s="5">
        <v>8</v>
      </c>
      <c r="C129" s="5">
        <f t="shared" si="33"/>
        <v>56</v>
      </c>
      <c r="D129" s="20">
        <v>43055</v>
      </c>
      <c r="E129" s="11">
        <v>359.8</v>
      </c>
      <c r="F129" s="12"/>
      <c r="G129" s="14"/>
      <c r="H129" s="14"/>
      <c r="I129" s="15"/>
      <c r="J129" s="14"/>
      <c r="K129" s="15"/>
      <c r="L129" s="14"/>
      <c r="M129" s="14"/>
      <c r="N129" s="14"/>
      <c r="O129" s="14"/>
      <c r="P129" s="14"/>
      <c r="Q129" s="14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3.2">
      <c r="A130" s="14"/>
      <c r="B130" s="5">
        <v>8</v>
      </c>
      <c r="C130" s="5">
        <f t="shared" si="33"/>
        <v>57</v>
      </c>
      <c r="D130" s="20">
        <v>43056</v>
      </c>
      <c r="E130" s="11">
        <v>350.4</v>
      </c>
      <c r="F130" s="12">
        <f t="shared" ref="F130:F131" si="53">(E129-E130)/(D130-D129)</f>
        <v>9.4000000000000341</v>
      </c>
      <c r="G130" s="14"/>
      <c r="H130" s="14"/>
      <c r="I130" s="13">
        <v>49.6</v>
      </c>
      <c r="J130" s="15">
        <f>(I128-I130)/(D130-D128)</f>
        <v>3.8999999999999986</v>
      </c>
      <c r="K130" s="13">
        <v>44.8</v>
      </c>
      <c r="L130" s="15">
        <f>I128-I130</f>
        <v>7.7999999999999972</v>
      </c>
      <c r="M130" s="14"/>
      <c r="N130" s="14"/>
      <c r="O130" s="14"/>
      <c r="P130" s="14"/>
      <c r="Q130" s="14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3.2">
      <c r="A131" s="14"/>
      <c r="B131" s="5">
        <v>8</v>
      </c>
      <c r="C131" s="5">
        <f t="shared" si="33"/>
        <v>60</v>
      </c>
      <c r="D131" s="20">
        <v>43059</v>
      </c>
      <c r="E131" s="11">
        <v>337.4</v>
      </c>
      <c r="F131" s="12">
        <f t="shared" si="53"/>
        <v>4.333333333333333</v>
      </c>
      <c r="G131" s="14"/>
      <c r="H131" s="14"/>
      <c r="I131" s="13">
        <v>41.6</v>
      </c>
      <c r="J131" s="15">
        <f>(I130-I131)/(D131-D130)</f>
        <v>2.6666666666666665</v>
      </c>
      <c r="K131" s="13">
        <v>45.6</v>
      </c>
      <c r="L131" s="15">
        <f>I130-I131</f>
        <v>8</v>
      </c>
      <c r="M131" s="14"/>
      <c r="N131" s="14"/>
      <c r="O131" s="14"/>
      <c r="P131" s="14"/>
      <c r="Q131" s="14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3.2">
      <c r="A132" s="14"/>
      <c r="B132" s="5">
        <v>8</v>
      </c>
      <c r="C132" s="5">
        <f t="shared" si="33"/>
        <v>61</v>
      </c>
      <c r="D132" s="20">
        <v>43060</v>
      </c>
      <c r="E132" s="11">
        <v>351.3</v>
      </c>
      <c r="F132" s="12"/>
      <c r="G132" s="14"/>
      <c r="H132" s="14"/>
      <c r="I132" s="15"/>
      <c r="J132" s="14"/>
      <c r="K132" s="15"/>
      <c r="L132" s="14"/>
      <c r="M132" s="14"/>
      <c r="N132" s="14"/>
      <c r="O132" s="14"/>
      <c r="P132" s="14"/>
      <c r="Q132" s="14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3.2">
      <c r="A133" s="14"/>
      <c r="B133" s="5">
        <v>8</v>
      </c>
      <c r="C133" s="5">
        <f t="shared" si="33"/>
        <v>62</v>
      </c>
      <c r="D133" s="20">
        <v>43061</v>
      </c>
      <c r="E133" s="11">
        <v>341.1</v>
      </c>
      <c r="F133" s="12">
        <f>(E132-E133)/(D133-D132)</f>
        <v>10.199999999999989</v>
      </c>
      <c r="G133" s="14"/>
      <c r="H133" s="14"/>
      <c r="I133" s="13">
        <v>78.3</v>
      </c>
      <c r="J133" s="14">
        <f>(85.4-I133)/(D133-D132)</f>
        <v>7.1000000000000085</v>
      </c>
      <c r="K133" s="13">
        <v>47.1</v>
      </c>
      <c r="L133" s="15">
        <f>85.4-I133</f>
        <v>7.1000000000000085</v>
      </c>
      <c r="M133" s="14"/>
      <c r="N133" s="14"/>
      <c r="O133" s="14"/>
      <c r="P133" s="14"/>
      <c r="Q133" s="14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3.2">
      <c r="A134" s="14"/>
      <c r="B134" s="5">
        <v>9</v>
      </c>
      <c r="C134" s="5">
        <f t="shared" si="33"/>
        <v>63</v>
      </c>
      <c r="D134" s="20">
        <v>43062</v>
      </c>
      <c r="E134" s="11"/>
      <c r="F134" s="12"/>
      <c r="G134" s="14"/>
      <c r="H134" s="14"/>
      <c r="I134" s="13"/>
      <c r="J134" s="15"/>
      <c r="K134" s="13"/>
      <c r="L134" s="14"/>
      <c r="M134" s="14"/>
      <c r="N134" s="14"/>
      <c r="O134" s="14"/>
      <c r="P134" s="14"/>
      <c r="Q134" s="14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3.2">
      <c r="A135" s="14"/>
      <c r="B135" s="5">
        <v>9</v>
      </c>
      <c r="C135" s="5">
        <f t="shared" si="33"/>
        <v>64</v>
      </c>
      <c r="D135" s="20">
        <v>43063</v>
      </c>
      <c r="E135" s="11">
        <v>331.6</v>
      </c>
      <c r="F135" s="12">
        <f>(E133-E135)/(D135-D133)</f>
        <v>4.75</v>
      </c>
      <c r="G135" s="14"/>
      <c r="H135" s="14"/>
      <c r="I135" s="13">
        <v>72.599999999999994</v>
      </c>
      <c r="J135" s="15">
        <f>(I133-I135)/(D135-D133)</f>
        <v>2.8500000000000014</v>
      </c>
      <c r="K135" s="13">
        <v>47.7</v>
      </c>
      <c r="L135" s="15">
        <f>I133-I135</f>
        <v>5.7000000000000028</v>
      </c>
      <c r="M135" s="14"/>
      <c r="N135" s="14"/>
      <c r="O135" s="14"/>
      <c r="P135" s="14"/>
      <c r="Q135" s="14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3.2">
      <c r="A136" s="14"/>
      <c r="B136" s="5">
        <v>9</v>
      </c>
      <c r="C136" s="5">
        <f t="shared" si="33"/>
        <v>67</v>
      </c>
      <c r="D136" s="20">
        <v>43066</v>
      </c>
      <c r="E136" s="11">
        <v>319.10000000000002</v>
      </c>
      <c r="F136" s="12">
        <f t="shared" ref="F136:F137" si="54">(E135-E136)/(D136-D135)</f>
        <v>4.166666666666667</v>
      </c>
      <c r="G136" s="14"/>
      <c r="H136" s="14"/>
      <c r="I136" s="13">
        <v>63.7</v>
      </c>
      <c r="J136" s="15">
        <f t="shared" ref="J136:J137" si="55">(I135-I136)/(D136-D135)</f>
        <v>2.9666666666666637</v>
      </c>
      <c r="K136" s="13">
        <v>48.8</v>
      </c>
      <c r="L136" s="15">
        <f t="shared" ref="L136:L137" si="56">I135-I136</f>
        <v>8.8999999999999915</v>
      </c>
      <c r="M136" s="14"/>
      <c r="N136" s="14"/>
      <c r="O136" s="14"/>
      <c r="P136" s="14"/>
      <c r="Q136" s="14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3.2">
      <c r="A137" s="14"/>
      <c r="B137" s="5">
        <v>9</v>
      </c>
      <c r="C137" s="5">
        <f t="shared" si="33"/>
        <v>69</v>
      </c>
      <c r="D137" s="20">
        <v>43068</v>
      </c>
      <c r="E137" s="11">
        <v>308.60000000000002</v>
      </c>
      <c r="F137" s="12">
        <f t="shared" si="54"/>
        <v>5.25</v>
      </c>
      <c r="G137" s="14"/>
      <c r="H137" s="14"/>
      <c r="I137" s="13">
        <v>58.3</v>
      </c>
      <c r="J137" s="15">
        <f t="shared" si="55"/>
        <v>2.7000000000000028</v>
      </c>
      <c r="K137" s="13">
        <v>48.6</v>
      </c>
      <c r="L137" s="15">
        <f t="shared" si="56"/>
        <v>5.4000000000000057</v>
      </c>
      <c r="M137" s="14"/>
      <c r="N137" s="14"/>
      <c r="O137" s="14"/>
      <c r="P137" s="14"/>
      <c r="Q137" s="14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3.2">
      <c r="A138" s="14"/>
      <c r="B138" s="5">
        <v>10</v>
      </c>
      <c r="C138" s="5">
        <f t="shared" si="33"/>
        <v>70</v>
      </c>
      <c r="D138" s="20">
        <v>43069</v>
      </c>
      <c r="E138" s="11">
        <v>342.8</v>
      </c>
      <c r="F138" s="12"/>
      <c r="G138" s="14"/>
      <c r="H138" s="14"/>
      <c r="I138" s="15"/>
      <c r="J138" s="14"/>
      <c r="K138" s="126"/>
      <c r="L138" s="14"/>
      <c r="M138" s="14"/>
      <c r="N138" s="14"/>
      <c r="O138" s="14"/>
      <c r="P138" s="14"/>
      <c r="Q138" s="14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3.2">
      <c r="A139" s="14"/>
      <c r="B139" s="5">
        <v>10</v>
      </c>
      <c r="C139" s="5">
        <f t="shared" si="33"/>
        <v>71</v>
      </c>
      <c r="D139" s="20">
        <v>43070</v>
      </c>
      <c r="E139" s="11">
        <v>336.7</v>
      </c>
      <c r="F139" s="12">
        <f t="shared" ref="F139:F141" si="57">(E138-E139)/(D139-D138)</f>
        <v>6.1000000000000227</v>
      </c>
      <c r="G139" s="14"/>
      <c r="H139" s="14"/>
      <c r="I139" s="13">
        <v>52.5</v>
      </c>
      <c r="J139" s="15">
        <f>(I137-I139)/(D139-D137)</f>
        <v>2.8999999999999986</v>
      </c>
      <c r="K139" s="13">
        <v>49.3</v>
      </c>
      <c r="L139" s="15">
        <f>I137-I139</f>
        <v>5.7999999999999972</v>
      </c>
      <c r="M139" s="14"/>
      <c r="N139" s="14"/>
      <c r="O139" s="14"/>
      <c r="P139" s="14"/>
      <c r="Q139" s="14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3.2">
      <c r="A140" s="14"/>
      <c r="B140" s="5">
        <v>10</v>
      </c>
      <c r="C140" s="5">
        <f t="shared" si="33"/>
        <v>74</v>
      </c>
      <c r="D140" s="20">
        <v>43073</v>
      </c>
      <c r="E140" s="11">
        <v>327.60000000000002</v>
      </c>
      <c r="F140" s="12">
        <f t="shared" si="57"/>
        <v>3.0333333333333221</v>
      </c>
      <c r="G140" s="14"/>
      <c r="H140" s="14"/>
      <c r="I140" s="13">
        <v>43.9</v>
      </c>
      <c r="J140" s="15">
        <f t="shared" ref="J140:J141" si="58">(I139-I140)/(D140-D139)</f>
        <v>2.8666666666666671</v>
      </c>
      <c r="K140" s="13">
        <v>50.1</v>
      </c>
      <c r="L140" s="15">
        <f t="shared" ref="L140:L141" si="59">I139-I140</f>
        <v>8.6000000000000014</v>
      </c>
      <c r="M140" s="14"/>
      <c r="N140" s="14"/>
      <c r="O140" s="14"/>
      <c r="P140" s="14"/>
      <c r="Q140" s="14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3.2">
      <c r="A141" s="14"/>
      <c r="B141" s="5">
        <v>10</v>
      </c>
      <c r="C141" s="5">
        <f t="shared" si="33"/>
        <v>76</v>
      </c>
      <c r="D141" s="20">
        <v>43075</v>
      </c>
      <c r="E141" s="11">
        <v>317.8</v>
      </c>
      <c r="F141" s="12">
        <f t="shared" si="57"/>
        <v>4.9000000000000057</v>
      </c>
      <c r="G141" s="14"/>
      <c r="H141" s="14"/>
      <c r="I141" s="13">
        <v>38.5</v>
      </c>
      <c r="J141" s="15">
        <f t="shared" si="58"/>
        <v>2.6999999999999993</v>
      </c>
      <c r="K141" s="13">
        <v>50.2</v>
      </c>
      <c r="L141" s="15">
        <f t="shared" si="59"/>
        <v>5.3999999999999986</v>
      </c>
      <c r="M141" s="14"/>
      <c r="N141" s="14"/>
      <c r="O141" s="14"/>
      <c r="P141" s="14"/>
      <c r="Q141" s="14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3.2">
      <c r="A142" s="14"/>
      <c r="B142" s="5">
        <v>11</v>
      </c>
      <c r="C142" s="5">
        <f t="shared" si="33"/>
        <v>77</v>
      </c>
      <c r="D142" s="24">
        <v>43076</v>
      </c>
      <c r="E142" s="11">
        <v>342.7</v>
      </c>
      <c r="F142" s="12"/>
      <c r="G142" s="14"/>
      <c r="H142" s="14"/>
      <c r="K142" s="126"/>
      <c r="L142" s="14"/>
      <c r="M142" s="14"/>
      <c r="N142" s="14"/>
      <c r="O142" s="14"/>
      <c r="P142" s="14"/>
      <c r="Q142" s="14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3.2">
      <c r="A143" s="14"/>
      <c r="B143" s="5">
        <v>11</v>
      </c>
      <c r="C143" s="5">
        <f t="shared" si="33"/>
        <v>78</v>
      </c>
      <c r="D143" s="24">
        <v>43077</v>
      </c>
      <c r="E143" s="11">
        <v>337.7</v>
      </c>
      <c r="F143" s="12">
        <f t="shared" ref="F143:F145" si="60">(E142-E143)/(D143-D142)</f>
        <v>5</v>
      </c>
      <c r="G143" s="14"/>
      <c r="H143" s="14"/>
      <c r="I143" s="139">
        <v>33.200000000000003</v>
      </c>
      <c r="J143" s="187">
        <f>(I141-I143)/(D143-D141)</f>
        <v>2.6499999999999986</v>
      </c>
      <c r="K143" s="139">
        <v>50.6</v>
      </c>
      <c r="L143" s="15">
        <f>I141-I143</f>
        <v>5.2999999999999972</v>
      </c>
      <c r="M143" s="14"/>
      <c r="N143" s="14"/>
      <c r="O143" s="14"/>
      <c r="P143" s="14"/>
      <c r="Q143" s="14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3.2">
      <c r="A144" s="14"/>
      <c r="B144" s="5">
        <v>11</v>
      </c>
      <c r="C144" s="5">
        <f t="shared" si="33"/>
        <v>81</v>
      </c>
      <c r="D144" s="24">
        <v>43080</v>
      </c>
      <c r="E144" s="11">
        <v>316.2</v>
      </c>
      <c r="F144" s="12">
        <f t="shared" si="60"/>
        <v>7.166666666666667</v>
      </c>
      <c r="G144" s="14"/>
      <c r="H144" s="14"/>
      <c r="I144" s="13">
        <v>25.1</v>
      </c>
      <c r="J144" s="15">
        <f t="shared" ref="J144:J145" si="61">(I143-I144)/(D144-D143)</f>
        <v>2.7000000000000006</v>
      </c>
      <c r="K144" s="13">
        <v>50.6</v>
      </c>
      <c r="L144" s="15">
        <f t="shared" ref="L144:L145" si="62">I143-I144</f>
        <v>8.1000000000000014</v>
      </c>
      <c r="M144" s="14"/>
      <c r="N144" s="14"/>
      <c r="O144" s="14"/>
      <c r="P144" s="14"/>
      <c r="Q144" s="14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3.2">
      <c r="A145" s="14"/>
      <c r="B145" s="5">
        <v>11</v>
      </c>
      <c r="C145" s="5">
        <f t="shared" si="33"/>
        <v>83</v>
      </c>
      <c r="D145" s="25">
        <v>43082</v>
      </c>
      <c r="E145" s="11">
        <v>314</v>
      </c>
      <c r="F145" s="12">
        <f t="shared" si="60"/>
        <v>1.0999999999999943</v>
      </c>
      <c r="G145" s="14"/>
      <c r="H145" s="14"/>
      <c r="I145" s="13">
        <v>19.600000000000001</v>
      </c>
      <c r="J145" s="15">
        <f t="shared" si="61"/>
        <v>2.75</v>
      </c>
      <c r="K145" s="13">
        <v>50.8</v>
      </c>
      <c r="L145" s="15">
        <f t="shared" si="62"/>
        <v>5.5</v>
      </c>
      <c r="M145" s="14"/>
      <c r="N145" s="14"/>
      <c r="O145" s="14"/>
      <c r="P145" s="14"/>
      <c r="Q145" s="14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3.2">
      <c r="A146" s="14"/>
      <c r="B146" s="5">
        <v>12</v>
      </c>
      <c r="C146" s="5">
        <f t="shared" si="33"/>
        <v>84</v>
      </c>
      <c r="D146" s="24">
        <v>43083</v>
      </c>
      <c r="E146" s="12"/>
      <c r="F146" s="12"/>
      <c r="G146" s="14"/>
      <c r="H146" s="14"/>
      <c r="I146" s="15"/>
      <c r="J146" s="14"/>
      <c r="K146" s="13"/>
      <c r="L146" s="14"/>
      <c r="M146" s="14"/>
      <c r="N146" s="14"/>
      <c r="O146" s="14"/>
      <c r="P146" s="14"/>
      <c r="Q146" s="14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3.2">
      <c r="A147" s="174"/>
      <c r="B147" s="170">
        <v>12</v>
      </c>
      <c r="C147" s="170">
        <f t="shared" si="33"/>
        <v>85</v>
      </c>
      <c r="D147" s="178">
        <v>43084</v>
      </c>
      <c r="E147" s="175"/>
      <c r="F147" s="175"/>
      <c r="G147" s="174"/>
      <c r="H147" s="174"/>
      <c r="I147" s="179"/>
      <c r="J147" s="174"/>
      <c r="K147" s="176">
        <v>49.5</v>
      </c>
      <c r="L147" s="174"/>
      <c r="M147" s="174"/>
      <c r="N147" s="14"/>
      <c r="O147" s="14"/>
      <c r="P147" s="14"/>
      <c r="Q147" s="14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3.2">
      <c r="A148" s="14"/>
      <c r="B148" s="5">
        <v>12</v>
      </c>
      <c r="C148" s="5">
        <f t="shared" si="33"/>
        <v>98</v>
      </c>
      <c r="D148" s="32">
        <v>43097</v>
      </c>
      <c r="E148" s="12"/>
      <c r="F148" s="12"/>
      <c r="G148" s="14"/>
      <c r="H148" s="14"/>
      <c r="I148" s="33">
        <v>64.099999999999994</v>
      </c>
      <c r="J148" s="14"/>
      <c r="K148" s="33">
        <v>50.5</v>
      </c>
      <c r="L148" s="14"/>
      <c r="M148" s="14"/>
      <c r="N148" s="14"/>
      <c r="O148" s="14"/>
      <c r="P148" s="14"/>
      <c r="Q148" s="14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3.2">
      <c r="A149" s="14"/>
      <c r="B149" s="5">
        <v>12</v>
      </c>
      <c r="C149" s="5">
        <f t="shared" si="33"/>
        <v>105</v>
      </c>
      <c r="D149" s="32">
        <v>43104</v>
      </c>
      <c r="E149" s="12"/>
      <c r="F149" s="12"/>
      <c r="G149" s="14"/>
      <c r="H149" s="14"/>
      <c r="I149" s="33">
        <v>41.4</v>
      </c>
      <c r="J149" s="14"/>
      <c r="K149" s="33">
        <v>50.6</v>
      </c>
      <c r="L149" s="15">
        <f>I148-I149</f>
        <v>22.699999999999996</v>
      </c>
      <c r="M149" s="14"/>
      <c r="N149" s="14"/>
      <c r="O149" s="14"/>
      <c r="P149" s="14"/>
      <c r="Q149" s="14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3.2">
      <c r="A150" s="14"/>
      <c r="B150" s="5"/>
      <c r="C150" s="5">
        <f t="shared" si="33"/>
        <v>112</v>
      </c>
      <c r="D150" s="32">
        <v>43111</v>
      </c>
      <c r="E150" s="12"/>
      <c r="F150" s="12"/>
      <c r="G150" s="14"/>
      <c r="H150" s="14"/>
      <c r="I150" s="33">
        <v>23.4</v>
      </c>
      <c r="J150" s="14"/>
      <c r="K150" s="33">
        <v>51</v>
      </c>
      <c r="L150" s="14"/>
      <c r="M150" s="14"/>
      <c r="N150" s="14"/>
      <c r="O150" s="14"/>
      <c r="P150" s="14"/>
      <c r="Q150" s="14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3.2">
      <c r="A151" s="14"/>
      <c r="B151" s="14"/>
      <c r="C151" s="5">
        <f t="shared" si="33"/>
        <v>116</v>
      </c>
      <c r="D151" s="20">
        <v>43115</v>
      </c>
      <c r="E151" s="12"/>
      <c r="F151" s="12"/>
      <c r="G151" s="14"/>
      <c r="H151" s="14"/>
      <c r="I151" s="33"/>
      <c r="J151" s="14"/>
      <c r="K151" s="33"/>
      <c r="L151" s="14"/>
      <c r="M151" s="14"/>
      <c r="N151" s="14"/>
      <c r="O151" s="14"/>
      <c r="P151" s="14"/>
      <c r="Q151" s="14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3.2">
      <c r="A152" s="14"/>
      <c r="B152" s="14"/>
      <c r="C152" s="5">
        <f t="shared" si="33"/>
        <v>117</v>
      </c>
      <c r="D152" s="20">
        <v>43116</v>
      </c>
      <c r="E152" s="12"/>
      <c r="F152" s="12"/>
      <c r="G152" s="14"/>
      <c r="H152" s="14"/>
      <c r="I152" s="33">
        <v>38.9</v>
      </c>
      <c r="J152" s="14"/>
      <c r="K152" s="33">
        <v>51.8</v>
      </c>
      <c r="L152" s="14"/>
      <c r="M152" s="14"/>
      <c r="N152" s="14"/>
      <c r="O152" s="14"/>
      <c r="P152" s="14"/>
      <c r="Q152" s="14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3.2">
      <c r="A153" s="14"/>
      <c r="B153" s="14"/>
      <c r="C153" s="5">
        <f t="shared" si="33"/>
        <v>124</v>
      </c>
      <c r="D153" s="20">
        <v>43123</v>
      </c>
      <c r="E153" s="12"/>
      <c r="F153" s="12"/>
      <c r="G153" s="14"/>
      <c r="H153" s="14"/>
      <c r="I153" s="33">
        <v>33.1</v>
      </c>
      <c r="J153" s="14"/>
      <c r="K153" s="33">
        <v>53.3</v>
      </c>
      <c r="L153" s="14"/>
      <c r="M153" s="14"/>
      <c r="N153" s="14"/>
      <c r="O153" s="14"/>
      <c r="P153" s="14"/>
      <c r="Q153" s="14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3.2">
      <c r="A154" s="14"/>
      <c r="B154" s="14"/>
      <c r="C154" s="5">
        <v>131</v>
      </c>
      <c r="D154" s="20">
        <v>43130</v>
      </c>
      <c r="E154" s="12"/>
      <c r="F154" s="12"/>
      <c r="G154" s="14"/>
      <c r="H154" s="14"/>
      <c r="I154" s="36">
        <v>58.9</v>
      </c>
      <c r="J154" s="14"/>
      <c r="K154" s="36">
        <v>53.7</v>
      </c>
      <c r="L154" s="14"/>
      <c r="M154" s="14"/>
      <c r="N154" s="14"/>
      <c r="O154" s="14"/>
      <c r="P154" s="14"/>
      <c r="Q154" s="14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3.2">
      <c r="A155" s="14"/>
      <c r="B155" s="14"/>
      <c r="C155" s="5">
        <v>138</v>
      </c>
      <c r="D155" s="20">
        <v>43137</v>
      </c>
      <c r="E155" s="12"/>
      <c r="F155" s="12"/>
      <c r="G155" s="14"/>
      <c r="H155" s="14"/>
      <c r="I155" s="33">
        <v>36.799999999999997</v>
      </c>
      <c r="J155" s="37"/>
      <c r="K155" s="33">
        <v>55</v>
      </c>
      <c r="L155" s="14"/>
      <c r="M155" s="14"/>
      <c r="N155" s="14"/>
      <c r="O155" s="14"/>
      <c r="P155" s="14"/>
      <c r="Q155" s="14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3.2">
      <c r="A156" s="14"/>
      <c r="B156" s="14"/>
      <c r="C156" s="5">
        <v>145</v>
      </c>
      <c r="D156" s="20">
        <v>43144</v>
      </c>
      <c r="E156" s="12"/>
      <c r="F156" s="12"/>
      <c r="G156" s="14"/>
      <c r="H156" s="14"/>
      <c r="I156" s="13">
        <v>77.599999999999994</v>
      </c>
      <c r="J156" s="14"/>
      <c r="K156" s="13">
        <v>56.2</v>
      </c>
      <c r="L156" s="14"/>
      <c r="M156" s="14"/>
      <c r="N156" s="14"/>
      <c r="O156" s="14"/>
      <c r="P156" s="14"/>
      <c r="Q156" s="14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3.2">
      <c r="A157" s="14"/>
      <c r="B157" s="14"/>
      <c r="C157" s="5">
        <v>152</v>
      </c>
      <c r="D157" s="20">
        <v>43151</v>
      </c>
      <c r="E157" s="12"/>
      <c r="F157" s="12"/>
      <c r="G157" s="14"/>
      <c r="H157" s="14"/>
      <c r="I157" s="13">
        <v>55.3</v>
      </c>
      <c r="J157" s="14"/>
      <c r="K157" s="13">
        <v>57.4</v>
      </c>
      <c r="L157" s="14"/>
      <c r="M157" s="14"/>
      <c r="N157" s="14"/>
      <c r="O157" s="14"/>
      <c r="P157" s="14"/>
      <c r="Q157" s="14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3.2">
      <c r="A158" s="14"/>
      <c r="B158" s="14"/>
      <c r="C158" s="5">
        <v>159</v>
      </c>
      <c r="D158" s="20">
        <v>43158</v>
      </c>
      <c r="E158" s="12"/>
      <c r="F158" s="12"/>
      <c r="G158" s="14"/>
      <c r="H158" s="14"/>
      <c r="I158" s="13">
        <v>33.299999999999997</v>
      </c>
      <c r="J158" s="14"/>
      <c r="K158" s="13">
        <v>58.5</v>
      </c>
      <c r="L158" s="14"/>
      <c r="M158" s="14"/>
      <c r="N158" s="14"/>
      <c r="O158" s="14"/>
      <c r="P158" s="14"/>
      <c r="Q158" s="14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3.2">
      <c r="A159" s="14"/>
      <c r="B159" s="14"/>
      <c r="C159" s="5">
        <v>166</v>
      </c>
      <c r="D159" s="20">
        <v>43165</v>
      </c>
      <c r="E159" s="12"/>
      <c r="F159" s="12"/>
      <c r="G159" s="14"/>
      <c r="H159" s="14"/>
      <c r="I159" s="13">
        <v>60.4</v>
      </c>
      <c r="J159" s="14"/>
      <c r="K159" s="13">
        <v>59</v>
      </c>
      <c r="L159" s="14"/>
      <c r="M159" s="14"/>
      <c r="N159" s="14"/>
      <c r="O159" s="14"/>
      <c r="P159" s="14"/>
      <c r="Q159" s="14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3.2">
      <c r="A160" s="14"/>
      <c r="B160" s="14"/>
      <c r="C160" s="5">
        <v>173</v>
      </c>
      <c r="D160" s="20">
        <v>43172</v>
      </c>
      <c r="E160" s="12"/>
      <c r="F160" s="12"/>
      <c r="G160" s="14"/>
      <c r="H160" s="14"/>
      <c r="I160" s="13">
        <v>38.6</v>
      </c>
      <c r="J160" s="14"/>
      <c r="K160" s="13">
        <v>59.9</v>
      </c>
      <c r="L160" s="14"/>
      <c r="M160" s="14"/>
      <c r="N160" s="14"/>
      <c r="O160" s="14"/>
      <c r="P160" s="14"/>
      <c r="Q160" s="14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3.2">
      <c r="A161" s="14"/>
      <c r="B161" s="14"/>
      <c r="C161" s="14"/>
      <c r="D161" s="14"/>
      <c r="E161" s="12"/>
      <c r="F161" s="12"/>
      <c r="G161" s="14"/>
      <c r="H161" s="14"/>
      <c r="I161" s="15"/>
      <c r="J161" s="14"/>
      <c r="K161" s="15"/>
      <c r="L161" s="14"/>
      <c r="M161" s="14"/>
      <c r="N161" s="14"/>
      <c r="O161" s="14"/>
      <c r="P161" s="14"/>
      <c r="Q161" s="14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39.6">
      <c r="A162" s="14"/>
      <c r="B162" s="5" t="s">
        <v>60</v>
      </c>
      <c r="C162" s="97">
        <f t="shared" ref="C162:C189" si="63">1+C161</f>
        <v>1</v>
      </c>
      <c r="D162" s="98">
        <v>43192</v>
      </c>
      <c r="E162" s="12"/>
      <c r="F162" s="12"/>
      <c r="G162" s="14"/>
      <c r="H162" s="14"/>
      <c r="I162" s="15"/>
      <c r="J162" s="14"/>
      <c r="K162" s="105">
        <v>50.7</v>
      </c>
      <c r="L162" s="14"/>
      <c r="M162" s="14"/>
      <c r="N162" s="14"/>
      <c r="O162" s="14"/>
      <c r="P162" s="14"/>
      <c r="Q162" s="14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3.2">
      <c r="A163" s="14"/>
      <c r="B163" s="14"/>
      <c r="C163" s="97">
        <f t="shared" si="63"/>
        <v>2</v>
      </c>
      <c r="D163" s="98">
        <v>43193</v>
      </c>
      <c r="E163" s="12"/>
      <c r="F163" s="12"/>
      <c r="G163" s="14"/>
      <c r="H163" s="14"/>
      <c r="I163" s="15"/>
      <c r="J163" s="14"/>
      <c r="K163" s="105">
        <v>49</v>
      </c>
      <c r="L163" s="14"/>
      <c r="M163" s="14"/>
      <c r="N163" s="14"/>
      <c r="O163" s="14"/>
      <c r="P163" s="14"/>
      <c r="Q163" s="14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3.2">
      <c r="A164" s="14"/>
      <c r="B164" s="14"/>
      <c r="C164" s="97">
        <f t="shared" si="63"/>
        <v>3</v>
      </c>
      <c r="D164" s="98">
        <v>43194</v>
      </c>
      <c r="E164" s="12"/>
      <c r="F164" s="12"/>
      <c r="G164" s="14"/>
      <c r="H164" s="14"/>
      <c r="I164" s="15"/>
      <c r="J164" s="14"/>
      <c r="K164" s="105">
        <v>47.7</v>
      </c>
      <c r="L164" s="14"/>
      <c r="M164" s="14"/>
      <c r="N164" s="14"/>
      <c r="O164" s="14"/>
      <c r="P164" s="14"/>
      <c r="Q164" s="14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3.2">
      <c r="A165" s="14"/>
      <c r="B165" s="14"/>
      <c r="C165" s="97">
        <f t="shared" si="63"/>
        <v>4</v>
      </c>
      <c r="D165" s="98">
        <v>43195</v>
      </c>
      <c r="E165" s="12"/>
      <c r="F165" s="12"/>
      <c r="G165" s="14"/>
      <c r="H165" s="14"/>
      <c r="I165" s="15"/>
      <c r="J165" s="14"/>
      <c r="K165" s="105">
        <v>46.5</v>
      </c>
      <c r="L165" s="14"/>
      <c r="M165" s="14"/>
      <c r="N165" s="14"/>
      <c r="O165" s="14"/>
      <c r="P165" s="14"/>
      <c r="Q165" s="14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3.2">
      <c r="A166" s="14"/>
      <c r="B166" s="14"/>
      <c r="C166" s="97">
        <f t="shared" si="63"/>
        <v>5</v>
      </c>
      <c r="D166" s="98">
        <v>43196</v>
      </c>
      <c r="E166" s="12"/>
      <c r="F166" s="12"/>
      <c r="G166" s="14"/>
      <c r="H166" s="14"/>
      <c r="I166" s="15"/>
      <c r="J166" s="14"/>
      <c r="K166" s="105">
        <v>45.4</v>
      </c>
      <c r="L166" s="14"/>
      <c r="M166" s="14"/>
      <c r="N166" s="14"/>
      <c r="O166" s="14"/>
      <c r="P166" s="14"/>
      <c r="Q166" s="14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3.2">
      <c r="A167" s="14"/>
      <c r="B167" s="14"/>
      <c r="C167" s="97">
        <f t="shared" si="63"/>
        <v>6</v>
      </c>
      <c r="D167" s="98">
        <v>43197</v>
      </c>
      <c r="E167" s="12"/>
      <c r="F167" s="12"/>
      <c r="G167" s="14"/>
      <c r="H167" s="14"/>
      <c r="I167" s="15"/>
      <c r="J167" s="14"/>
      <c r="K167" s="105">
        <v>44.6</v>
      </c>
      <c r="L167" s="14"/>
      <c r="M167" s="14"/>
      <c r="N167" s="14"/>
      <c r="O167" s="14"/>
      <c r="P167" s="14"/>
      <c r="Q167" s="14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3.2">
      <c r="A168" s="14"/>
      <c r="B168" s="14"/>
      <c r="C168" s="97">
        <f t="shared" si="63"/>
        <v>7</v>
      </c>
      <c r="D168" s="98">
        <v>43198</v>
      </c>
      <c r="E168" s="12"/>
      <c r="F168" s="12"/>
      <c r="G168" s="14"/>
      <c r="H168" s="14"/>
      <c r="I168" s="15"/>
      <c r="J168" s="14"/>
      <c r="K168" s="105">
        <v>43.6</v>
      </c>
      <c r="L168" s="14"/>
      <c r="M168" s="14"/>
      <c r="N168" s="14"/>
      <c r="O168" s="14"/>
      <c r="P168" s="14"/>
      <c r="Q168" s="14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3.2">
      <c r="A169" s="14"/>
      <c r="B169" s="14"/>
      <c r="C169" s="97">
        <f t="shared" si="63"/>
        <v>8</v>
      </c>
      <c r="D169" s="98">
        <v>43199</v>
      </c>
      <c r="E169" s="12"/>
      <c r="F169" s="12"/>
      <c r="G169" s="14"/>
      <c r="H169" s="14"/>
      <c r="I169" s="15"/>
      <c r="J169" s="14"/>
      <c r="K169" s="105">
        <v>42.3</v>
      </c>
      <c r="L169" s="14"/>
      <c r="M169" s="14"/>
      <c r="N169" s="14"/>
      <c r="O169" s="14"/>
      <c r="P169" s="14"/>
      <c r="Q169" s="14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3.2">
      <c r="A170" s="14"/>
      <c r="B170" s="14"/>
      <c r="C170" s="97">
        <f t="shared" si="63"/>
        <v>9</v>
      </c>
      <c r="D170" s="98">
        <v>43200</v>
      </c>
      <c r="E170" s="12"/>
      <c r="F170" s="12"/>
      <c r="G170" s="14"/>
      <c r="H170" s="14"/>
      <c r="I170" s="15"/>
      <c r="J170" s="14"/>
      <c r="K170" s="105">
        <v>41.6</v>
      </c>
      <c r="L170" s="14"/>
      <c r="M170" s="14"/>
      <c r="N170" s="14"/>
      <c r="O170" s="14"/>
      <c r="P170" s="14"/>
      <c r="Q170" s="14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3.2">
      <c r="A171" s="14"/>
      <c r="B171" s="14"/>
      <c r="C171" s="97">
        <f t="shared" si="63"/>
        <v>10</v>
      </c>
      <c r="D171" s="98">
        <v>43201</v>
      </c>
      <c r="E171" s="12"/>
      <c r="F171" s="12"/>
      <c r="G171" s="14"/>
      <c r="H171" s="14"/>
      <c r="I171" s="15"/>
      <c r="J171" s="14"/>
      <c r="K171" s="105">
        <v>40.9</v>
      </c>
      <c r="L171" s="14"/>
      <c r="M171" s="14"/>
      <c r="N171" s="14"/>
      <c r="O171" s="14"/>
      <c r="P171" s="14"/>
      <c r="Q171" s="14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3.2">
      <c r="A172" s="14"/>
      <c r="B172" s="14"/>
      <c r="C172" s="97">
        <f t="shared" si="63"/>
        <v>11</v>
      </c>
      <c r="D172" s="98">
        <v>43202</v>
      </c>
      <c r="E172" s="12"/>
      <c r="F172" s="12"/>
      <c r="G172" s="14"/>
      <c r="H172" s="14"/>
      <c r="I172" s="15"/>
      <c r="J172" s="14"/>
      <c r="K172" s="105">
        <v>39.6</v>
      </c>
      <c r="L172" s="14"/>
      <c r="M172" s="14"/>
      <c r="N172" s="14"/>
      <c r="O172" s="14"/>
      <c r="P172" s="14"/>
      <c r="Q172" s="14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3.2">
      <c r="A173" s="14"/>
      <c r="B173" s="14"/>
      <c r="C173" s="97">
        <f t="shared" si="63"/>
        <v>12</v>
      </c>
      <c r="D173" s="98">
        <v>43203</v>
      </c>
      <c r="E173" s="12"/>
      <c r="F173" s="12"/>
      <c r="G173" s="14"/>
      <c r="H173" s="14"/>
      <c r="I173" s="15"/>
      <c r="J173" s="14"/>
      <c r="K173" s="105">
        <v>38.700000000000003</v>
      </c>
      <c r="L173" s="14"/>
      <c r="M173" s="14"/>
      <c r="N173" s="14"/>
      <c r="O173" s="14"/>
      <c r="P173" s="14"/>
      <c r="Q173" s="14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3.2">
      <c r="A174" s="14"/>
      <c r="B174" s="14"/>
      <c r="C174" s="97">
        <f t="shared" si="63"/>
        <v>13</v>
      </c>
      <c r="D174" s="98">
        <v>43204</v>
      </c>
      <c r="E174" s="12"/>
      <c r="F174" s="12"/>
      <c r="G174" s="14"/>
      <c r="H174" s="14"/>
      <c r="I174" s="15"/>
      <c r="J174" s="14"/>
      <c r="K174" s="105">
        <v>37.700000000000003</v>
      </c>
      <c r="L174" s="14"/>
      <c r="M174" s="14"/>
      <c r="N174" s="14"/>
      <c r="O174" s="14"/>
      <c r="P174" s="14"/>
      <c r="Q174" s="14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3.2">
      <c r="A175" s="14"/>
      <c r="B175" s="14"/>
      <c r="C175" s="97">
        <f t="shared" si="63"/>
        <v>14</v>
      </c>
      <c r="D175" s="98">
        <v>43205</v>
      </c>
      <c r="E175" s="12"/>
      <c r="F175" s="12"/>
      <c r="G175" s="14"/>
      <c r="H175" s="14"/>
      <c r="I175" s="15"/>
      <c r="J175" s="14"/>
      <c r="K175" s="105">
        <v>36.799999999999997</v>
      </c>
      <c r="L175" s="14"/>
      <c r="M175" s="14"/>
      <c r="N175" s="14"/>
      <c r="O175" s="14"/>
      <c r="P175" s="14"/>
      <c r="Q175" s="14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3.2">
      <c r="A176" s="14"/>
      <c r="B176" s="14"/>
      <c r="C176" s="97">
        <f t="shared" si="63"/>
        <v>15</v>
      </c>
      <c r="D176" s="98">
        <v>43206</v>
      </c>
      <c r="E176" s="12"/>
      <c r="F176" s="12"/>
      <c r="G176" s="14"/>
      <c r="H176" s="14"/>
      <c r="I176" s="15"/>
      <c r="J176" s="14"/>
      <c r="K176" s="105">
        <v>35.6</v>
      </c>
      <c r="L176" s="14"/>
      <c r="M176" s="14"/>
      <c r="N176" s="14"/>
      <c r="O176" s="14"/>
      <c r="P176" s="14"/>
      <c r="Q176" s="14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3.2">
      <c r="A177" s="14"/>
      <c r="B177" s="14"/>
      <c r="C177" s="97">
        <f t="shared" si="63"/>
        <v>16</v>
      </c>
      <c r="D177" s="98">
        <v>43207</v>
      </c>
      <c r="E177" s="12"/>
      <c r="F177" s="12"/>
      <c r="G177" s="14"/>
      <c r="H177" s="14"/>
      <c r="I177" s="15"/>
      <c r="J177" s="14"/>
      <c r="K177" s="105">
        <v>35.1</v>
      </c>
      <c r="L177" s="14"/>
      <c r="M177" s="14"/>
      <c r="N177" s="14"/>
      <c r="O177" s="14"/>
      <c r="P177" s="14"/>
      <c r="Q177" s="14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3.2">
      <c r="A178" s="14"/>
      <c r="B178" s="14"/>
      <c r="C178" s="97">
        <f t="shared" si="63"/>
        <v>17</v>
      </c>
      <c r="D178" s="98">
        <v>43208</v>
      </c>
      <c r="E178" s="12"/>
      <c r="F178" s="12"/>
      <c r="G178" s="14"/>
      <c r="H178" s="14"/>
      <c r="I178" s="15"/>
      <c r="J178" s="14"/>
      <c r="K178" s="105">
        <v>34.1</v>
      </c>
      <c r="L178" s="14"/>
      <c r="M178" s="14"/>
      <c r="N178" s="14"/>
      <c r="O178" s="14"/>
      <c r="P178" s="14"/>
      <c r="Q178" s="14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3.2">
      <c r="A179" s="14"/>
      <c r="B179" s="14"/>
      <c r="C179" s="97">
        <f t="shared" si="63"/>
        <v>18</v>
      </c>
      <c r="D179" s="98">
        <v>43209</v>
      </c>
      <c r="E179" s="12"/>
      <c r="F179" s="12"/>
      <c r="G179" s="14"/>
      <c r="H179" s="14"/>
      <c r="I179" s="15"/>
      <c r="J179" s="14"/>
      <c r="K179" s="105">
        <v>33.700000000000003</v>
      </c>
      <c r="L179" s="14"/>
      <c r="M179" s="14"/>
      <c r="N179" s="14"/>
      <c r="O179" s="14"/>
      <c r="P179" s="14"/>
      <c r="Q179" s="14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3.2">
      <c r="A180" s="14"/>
      <c r="B180" s="14"/>
      <c r="C180" s="97">
        <f t="shared" si="63"/>
        <v>19</v>
      </c>
      <c r="D180" s="98">
        <v>43210</v>
      </c>
      <c r="E180" s="12"/>
      <c r="F180" s="12"/>
      <c r="G180" s="14"/>
      <c r="H180" s="14"/>
      <c r="I180" s="15"/>
      <c r="J180" s="14"/>
      <c r="K180" s="105">
        <v>32.700000000000003</v>
      </c>
      <c r="L180" s="14"/>
      <c r="M180" s="14"/>
      <c r="N180" s="14"/>
      <c r="O180" s="14"/>
      <c r="P180" s="14"/>
      <c r="Q180" s="14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3.2">
      <c r="A181" s="14"/>
      <c r="B181" s="14"/>
      <c r="C181" s="97">
        <f t="shared" si="63"/>
        <v>20</v>
      </c>
      <c r="D181" s="98">
        <v>43211</v>
      </c>
      <c r="E181" s="12"/>
      <c r="F181" s="12"/>
      <c r="G181" s="14"/>
      <c r="H181" s="14"/>
      <c r="I181" s="15"/>
      <c r="J181" s="14"/>
      <c r="K181" s="105">
        <v>31.7</v>
      </c>
      <c r="L181" s="14"/>
      <c r="M181" s="14"/>
      <c r="N181" s="14"/>
      <c r="O181" s="14"/>
      <c r="P181" s="14"/>
      <c r="Q181" s="14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3.2">
      <c r="A182" s="14"/>
      <c r="B182" s="14"/>
      <c r="C182" s="97">
        <f t="shared" si="63"/>
        <v>21</v>
      </c>
      <c r="D182" s="98">
        <v>43212</v>
      </c>
      <c r="E182" s="12"/>
      <c r="F182" s="12"/>
      <c r="G182" s="14"/>
      <c r="H182" s="14"/>
      <c r="I182" s="15"/>
      <c r="J182" s="14"/>
      <c r="K182" s="105">
        <v>31.2</v>
      </c>
      <c r="L182" s="14"/>
      <c r="M182" s="14"/>
      <c r="N182" s="14"/>
      <c r="O182" s="14"/>
      <c r="P182" s="14"/>
      <c r="Q182" s="14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3.2">
      <c r="A183" s="14"/>
      <c r="B183" s="14"/>
      <c r="C183" s="97">
        <f t="shared" si="63"/>
        <v>22</v>
      </c>
      <c r="D183" s="98">
        <v>43213</v>
      </c>
      <c r="E183" s="12"/>
      <c r="F183" s="12"/>
      <c r="G183" s="14"/>
      <c r="H183" s="14"/>
      <c r="I183" s="15"/>
      <c r="J183" s="14"/>
      <c r="K183" s="105">
        <v>30.6</v>
      </c>
      <c r="L183" s="14"/>
      <c r="M183" s="14"/>
      <c r="N183" s="14"/>
      <c r="O183" s="14"/>
      <c r="P183" s="14"/>
      <c r="Q183" s="14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3.2">
      <c r="A184" s="14"/>
      <c r="B184" s="14"/>
      <c r="C184" s="97">
        <f t="shared" si="63"/>
        <v>23</v>
      </c>
      <c r="D184" s="98">
        <v>43214</v>
      </c>
      <c r="E184" s="12"/>
      <c r="F184" s="12"/>
      <c r="G184" s="14"/>
      <c r="H184" s="14"/>
      <c r="I184" s="15"/>
      <c r="J184" s="14"/>
      <c r="K184" s="105">
        <v>29.7</v>
      </c>
      <c r="L184" s="14"/>
      <c r="M184" s="14"/>
      <c r="N184" s="14"/>
      <c r="O184" s="14"/>
      <c r="P184" s="14"/>
      <c r="Q184" s="14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3.2">
      <c r="A185" s="14"/>
      <c r="B185" s="14"/>
      <c r="C185" s="97">
        <f t="shared" si="63"/>
        <v>24</v>
      </c>
      <c r="D185" s="98">
        <v>43215</v>
      </c>
      <c r="E185" s="12"/>
      <c r="F185" s="12"/>
      <c r="G185" s="14"/>
      <c r="H185" s="14"/>
      <c r="I185" s="15"/>
      <c r="J185" s="14"/>
      <c r="K185" s="105">
        <v>29.1</v>
      </c>
      <c r="L185" s="14"/>
      <c r="M185" s="14"/>
      <c r="N185" s="14"/>
      <c r="O185" s="14"/>
      <c r="P185" s="14"/>
      <c r="Q185" s="14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3.2">
      <c r="A186" s="14"/>
      <c r="B186" s="14"/>
      <c r="C186" s="97">
        <f t="shared" si="63"/>
        <v>25</v>
      </c>
      <c r="D186" s="98">
        <v>43216</v>
      </c>
      <c r="E186" s="12"/>
      <c r="F186" s="12"/>
      <c r="G186" s="14"/>
      <c r="H186" s="14"/>
      <c r="I186" s="15"/>
      <c r="J186" s="14"/>
      <c r="K186" s="105" t="s">
        <v>75</v>
      </c>
      <c r="L186" s="14"/>
      <c r="M186" s="14"/>
      <c r="N186" s="14"/>
      <c r="O186" s="14"/>
      <c r="P186" s="14"/>
      <c r="Q186" s="14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3.2">
      <c r="A187" s="14"/>
      <c r="B187" s="14"/>
      <c r="C187" s="97">
        <f t="shared" si="63"/>
        <v>26</v>
      </c>
      <c r="D187" s="98">
        <v>43217</v>
      </c>
      <c r="E187" s="12"/>
      <c r="F187" s="12"/>
      <c r="G187" s="14"/>
      <c r="H187" s="14"/>
      <c r="I187" s="15"/>
      <c r="J187" s="14"/>
      <c r="K187" s="105">
        <v>27.4</v>
      </c>
      <c r="L187" s="14"/>
      <c r="M187" s="14"/>
      <c r="N187" s="14"/>
      <c r="O187" s="14"/>
      <c r="P187" s="14"/>
      <c r="Q187" s="14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3.2">
      <c r="A188" s="14"/>
      <c r="B188" s="14"/>
      <c r="C188" s="97">
        <f t="shared" si="63"/>
        <v>27</v>
      </c>
      <c r="D188" s="98">
        <v>43218</v>
      </c>
      <c r="E188" s="12"/>
      <c r="F188" s="12"/>
      <c r="G188" s="14"/>
      <c r="H188" s="14"/>
      <c r="I188" s="15"/>
      <c r="J188" s="14"/>
      <c r="K188" s="105">
        <v>35.299999999999997</v>
      </c>
      <c r="L188" s="14"/>
      <c r="M188" s="14"/>
      <c r="N188" s="14"/>
      <c r="O188" s="14"/>
      <c r="P188" s="14"/>
      <c r="Q188" s="14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3.2">
      <c r="A189" s="14"/>
      <c r="B189" s="14"/>
      <c r="C189" s="97">
        <f t="shared" si="63"/>
        <v>28</v>
      </c>
      <c r="D189" s="98">
        <v>43219</v>
      </c>
      <c r="E189" s="12"/>
      <c r="F189" s="12"/>
      <c r="G189" s="14"/>
      <c r="H189" s="14"/>
      <c r="I189" s="15"/>
      <c r="J189" s="14"/>
      <c r="K189" s="105" t="s">
        <v>63</v>
      </c>
      <c r="L189" s="14"/>
      <c r="M189" s="14"/>
      <c r="N189" s="14"/>
      <c r="O189" s="14"/>
      <c r="P189" s="14"/>
      <c r="Q189" s="14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3.2">
      <c r="A190" s="14"/>
      <c r="B190" s="14"/>
      <c r="C190" s="14"/>
      <c r="D190" s="14"/>
      <c r="E190" s="12"/>
      <c r="F190" s="12"/>
      <c r="G190" s="14"/>
      <c r="H190" s="14"/>
      <c r="I190" s="15"/>
      <c r="J190" s="14"/>
      <c r="K190" s="15"/>
      <c r="L190" s="14"/>
      <c r="M190" s="14"/>
      <c r="N190" s="14"/>
      <c r="O190" s="14"/>
      <c r="P190" s="14"/>
      <c r="Q190" s="14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3.2">
      <c r="A191" s="14"/>
      <c r="B191" s="14"/>
      <c r="C191" s="14"/>
      <c r="D191" s="14"/>
      <c r="E191" s="12"/>
      <c r="F191" s="12"/>
      <c r="G191" s="14"/>
      <c r="H191" s="14"/>
      <c r="I191" s="15"/>
      <c r="J191" s="14"/>
      <c r="K191" s="15"/>
      <c r="L191" s="14"/>
      <c r="M191" s="14"/>
      <c r="N191" s="14"/>
      <c r="O191" s="14"/>
      <c r="P191" s="14"/>
      <c r="Q191" s="14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3.2">
      <c r="A192" s="14"/>
      <c r="B192" s="14"/>
      <c r="C192" s="14"/>
      <c r="D192" s="14"/>
      <c r="E192" s="12"/>
      <c r="F192" s="12"/>
      <c r="G192" s="14"/>
      <c r="H192" s="14"/>
      <c r="I192" s="15"/>
      <c r="J192" s="14"/>
      <c r="K192" s="15"/>
      <c r="L192" s="14"/>
      <c r="M192" s="14"/>
      <c r="N192" s="14"/>
      <c r="O192" s="14"/>
      <c r="P192" s="14"/>
      <c r="Q192" s="14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3.2">
      <c r="A193" s="14"/>
      <c r="B193" s="14"/>
      <c r="C193" s="14"/>
      <c r="D193" s="14"/>
      <c r="E193" s="12"/>
      <c r="F193" s="12"/>
      <c r="G193" s="14"/>
      <c r="H193" s="14"/>
      <c r="I193" s="15"/>
      <c r="J193" s="14"/>
      <c r="K193" s="15"/>
      <c r="L193" s="14"/>
      <c r="M193" s="14"/>
      <c r="N193" s="14"/>
      <c r="O193" s="14"/>
      <c r="P193" s="14"/>
      <c r="Q193" s="14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3.2">
      <c r="A194" s="14"/>
      <c r="B194" s="14"/>
      <c r="C194" s="14"/>
      <c r="D194" s="14"/>
      <c r="E194" s="12"/>
      <c r="F194" s="12"/>
      <c r="G194" s="14"/>
      <c r="H194" s="14"/>
      <c r="I194" s="15"/>
      <c r="J194" s="14"/>
      <c r="K194" s="15"/>
      <c r="L194" s="14"/>
      <c r="M194" s="14"/>
      <c r="N194" s="14"/>
      <c r="O194" s="14"/>
      <c r="P194" s="14"/>
      <c r="Q194" s="14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3.2">
      <c r="A195" s="14"/>
      <c r="B195" s="14"/>
      <c r="C195" s="14"/>
      <c r="D195" s="14"/>
      <c r="E195" s="12"/>
      <c r="F195" s="12"/>
      <c r="G195" s="14"/>
      <c r="H195" s="14"/>
      <c r="I195" s="15"/>
      <c r="J195" s="14"/>
      <c r="K195" s="15"/>
      <c r="L195" s="14"/>
      <c r="M195" s="14"/>
      <c r="N195" s="14"/>
      <c r="O195" s="14"/>
      <c r="P195" s="14"/>
      <c r="Q195" s="14"/>
      <c r="R195" s="7"/>
      <c r="S195" s="7"/>
      <c r="T195" s="7"/>
      <c r="U195" s="7"/>
      <c r="V195" s="7">
        <f>SUM(U195:U196)</f>
        <v>1186.8600000000001</v>
      </c>
      <c r="W195" s="7"/>
      <c r="X195" s="7"/>
      <c r="Y195" s="7"/>
      <c r="Z195" s="7"/>
      <c r="AA195" s="7"/>
    </row>
    <row r="196" spans="1:27" ht="26.4">
      <c r="A196" s="169" t="s">
        <v>127</v>
      </c>
      <c r="B196" s="5">
        <v>0</v>
      </c>
      <c r="C196" s="5">
        <v>0</v>
      </c>
      <c r="D196" s="9">
        <v>42992</v>
      </c>
      <c r="E196" s="10">
        <v>380</v>
      </c>
      <c r="F196" s="11" t="s">
        <v>21</v>
      </c>
      <c r="G196" s="12">
        <f>AVERAGE(F197,F198,F199,F204)</f>
        <v>6.5041666666666655</v>
      </c>
      <c r="H196" s="14"/>
      <c r="I196" s="13">
        <v>117.5</v>
      </c>
      <c r="J196" s="14">
        <f t="shared" ref="J196:J199" si="64">(I196-I197)/(D197-D196)</f>
        <v>4.9000000000000057</v>
      </c>
      <c r="K196" s="13">
        <v>23.5</v>
      </c>
      <c r="L196" s="15">
        <f t="shared" ref="L196:L203" si="65">I196-I197</f>
        <v>4.9000000000000057</v>
      </c>
      <c r="M196" s="14"/>
      <c r="N196" s="14"/>
      <c r="O196" s="14"/>
      <c r="P196" s="14"/>
      <c r="Q196" s="14">
        <f>SUM(P196:P208)-104.4</f>
        <v>365.59999999999991</v>
      </c>
      <c r="R196" s="7"/>
      <c r="S196" s="7"/>
      <c r="T196" s="73">
        <f>I201-I208</f>
        <v>35.600000000000009</v>
      </c>
      <c r="U196" s="7">
        <f>SUM(T196:T202)*5.24</f>
        <v>1186.8600000000001</v>
      </c>
      <c r="V196" s="7"/>
      <c r="W196" s="7"/>
      <c r="X196" s="7"/>
      <c r="Y196" s="7"/>
      <c r="Z196" s="7"/>
      <c r="AA196" s="7"/>
    </row>
    <row r="197" spans="1:27" ht="13.2">
      <c r="A197" s="5" t="s">
        <v>23</v>
      </c>
      <c r="B197" s="5">
        <v>0</v>
      </c>
      <c r="C197" s="5">
        <v>0</v>
      </c>
      <c r="D197" s="9">
        <v>42993</v>
      </c>
      <c r="E197" s="10">
        <v>373.6</v>
      </c>
      <c r="F197" s="12">
        <f>E196-E197</f>
        <v>6.3999999999999773</v>
      </c>
      <c r="G197" s="14"/>
      <c r="H197" s="14"/>
      <c r="I197" s="13">
        <v>112.6</v>
      </c>
      <c r="J197" s="15">
        <f t="shared" si="64"/>
        <v>4.6333333333333302</v>
      </c>
      <c r="K197" s="13">
        <v>23.7</v>
      </c>
      <c r="L197" s="15">
        <f t="shared" si="65"/>
        <v>13.899999999999991</v>
      </c>
      <c r="M197" s="14"/>
      <c r="N197" s="14"/>
      <c r="O197" s="14"/>
      <c r="P197" s="12">
        <f>E201-E204</f>
        <v>37.5</v>
      </c>
      <c r="Q197" s="14"/>
      <c r="R197" s="7"/>
      <c r="S197" s="7"/>
      <c r="T197" s="73">
        <f>I210-I212</f>
        <v>11.900000000000002</v>
      </c>
      <c r="U197" s="7"/>
      <c r="V197" s="7"/>
      <c r="W197" s="7"/>
      <c r="X197" s="7"/>
      <c r="Y197" s="7"/>
      <c r="Z197" s="7"/>
      <c r="AA197" s="7"/>
    </row>
    <row r="198" spans="1:27" ht="13.2">
      <c r="A198" s="14"/>
      <c r="B198" s="5">
        <v>0</v>
      </c>
      <c r="C198" s="5">
        <v>0</v>
      </c>
      <c r="D198" s="9">
        <v>42996</v>
      </c>
      <c r="E198" s="10">
        <v>350.6</v>
      </c>
      <c r="F198" s="12">
        <f t="shared" ref="F198:F200" si="66">(E197-E198)/(D198-D197)</f>
        <v>7.666666666666667</v>
      </c>
      <c r="G198" s="14"/>
      <c r="H198" s="14"/>
      <c r="I198" s="13">
        <v>98.7</v>
      </c>
      <c r="J198" s="15">
        <f t="shared" si="64"/>
        <v>4.6499999999999986</v>
      </c>
      <c r="K198" s="13">
        <v>23.8</v>
      </c>
      <c r="L198" s="15">
        <f t="shared" si="65"/>
        <v>9.2999999999999972</v>
      </c>
      <c r="M198" s="14"/>
      <c r="N198" s="14"/>
      <c r="O198" s="14"/>
      <c r="P198" s="12">
        <f>E205-E208</f>
        <v>50.900000000000034</v>
      </c>
      <c r="Q198" s="14"/>
      <c r="R198" s="7"/>
      <c r="S198" s="7"/>
      <c r="T198" s="73">
        <f>I214-I215</f>
        <v>8.5</v>
      </c>
      <c r="U198" s="7"/>
      <c r="V198" s="7"/>
      <c r="W198" s="7"/>
      <c r="X198" s="7"/>
      <c r="Y198" s="7"/>
      <c r="Z198" s="7"/>
      <c r="AA198" s="7"/>
    </row>
    <row r="199" spans="1:27" ht="13.2">
      <c r="A199" s="14"/>
      <c r="B199" s="5">
        <v>0</v>
      </c>
      <c r="C199" s="5">
        <v>0</v>
      </c>
      <c r="D199" s="9">
        <v>42998</v>
      </c>
      <c r="E199" s="10">
        <v>337.9</v>
      </c>
      <c r="F199" s="12">
        <f t="shared" si="66"/>
        <v>6.3500000000000227</v>
      </c>
      <c r="G199" s="14"/>
      <c r="H199" s="14"/>
      <c r="I199" s="13">
        <v>89.4</v>
      </c>
      <c r="J199" s="14">
        <f t="shared" si="64"/>
        <v>4.5</v>
      </c>
      <c r="K199" s="13">
        <v>23.8</v>
      </c>
      <c r="L199" s="15">
        <f t="shared" si="65"/>
        <v>4.5</v>
      </c>
      <c r="M199" s="14"/>
      <c r="N199" s="14"/>
      <c r="O199" s="14"/>
      <c r="P199" s="12">
        <f>E209-E212</f>
        <v>39.5</v>
      </c>
      <c r="Q199" s="14"/>
      <c r="R199" s="7"/>
      <c r="S199" s="7"/>
      <c r="T199" s="73">
        <f>57.4-I215</f>
        <v>14.799999999999997</v>
      </c>
      <c r="U199" s="7"/>
      <c r="V199" s="7"/>
      <c r="W199" s="7"/>
      <c r="X199" s="7"/>
      <c r="Y199" s="7"/>
      <c r="Z199" s="7"/>
      <c r="AA199" s="7"/>
    </row>
    <row r="200" spans="1:27" ht="13.2">
      <c r="A200" s="14"/>
      <c r="B200" s="5">
        <v>0</v>
      </c>
      <c r="C200" s="5">
        <v>0</v>
      </c>
      <c r="D200" s="17">
        <v>42999</v>
      </c>
      <c r="E200" s="10">
        <v>329.9</v>
      </c>
      <c r="F200" s="12">
        <f t="shared" si="66"/>
        <v>8</v>
      </c>
      <c r="G200" s="14"/>
      <c r="H200" s="14"/>
      <c r="I200" s="13">
        <v>84.9</v>
      </c>
      <c r="J200" s="14">
        <f>(I199-I200)/(D200-D199)</f>
        <v>4.5</v>
      </c>
      <c r="K200" s="13">
        <v>24.5</v>
      </c>
      <c r="L200" s="15">
        <f t="shared" si="65"/>
        <v>13</v>
      </c>
      <c r="M200" s="14"/>
      <c r="N200" s="14"/>
      <c r="O200" s="14"/>
      <c r="P200" s="12">
        <f>E213-E216</f>
        <v>38.899999999999977</v>
      </c>
      <c r="Q200" s="14"/>
      <c r="R200" s="7"/>
      <c r="S200" s="7"/>
      <c r="T200" s="73">
        <f>I216-I223</f>
        <v>33.600000000000009</v>
      </c>
      <c r="U200" s="7"/>
      <c r="V200" s="7"/>
      <c r="W200" s="7"/>
      <c r="X200" s="7"/>
      <c r="Y200" s="7"/>
      <c r="Z200" s="7"/>
      <c r="AA200" s="7"/>
    </row>
    <row r="201" spans="1:27" ht="13.2">
      <c r="A201" s="14"/>
      <c r="B201" s="5">
        <v>0.5</v>
      </c>
      <c r="C201" s="5">
        <v>0</v>
      </c>
      <c r="D201" s="17">
        <v>42999</v>
      </c>
      <c r="E201" s="10">
        <v>376.1</v>
      </c>
      <c r="F201" s="12"/>
      <c r="G201" s="14"/>
      <c r="H201" s="14"/>
      <c r="I201" s="13">
        <v>71.900000000000006</v>
      </c>
      <c r="J201" s="14"/>
      <c r="K201" s="13"/>
      <c r="L201" s="15">
        <f t="shared" si="65"/>
        <v>4</v>
      </c>
      <c r="M201" s="14"/>
      <c r="N201" s="14"/>
      <c r="O201" s="14"/>
      <c r="P201" s="12">
        <f>E217-E220</f>
        <v>40.899999999999977</v>
      </c>
      <c r="Q201" s="14"/>
      <c r="R201" s="7"/>
      <c r="S201" s="7"/>
      <c r="T201" s="73">
        <f>I224-I236</f>
        <v>48.1</v>
      </c>
      <c r="U201" s="7"/>
      <c r="V201" s="7"/>
      <c r="W201" s="7"/>
      <c r="X201" s="7"/>
      <c r="Y201" s="7"/>
      <c r="Z201" s="7"/>
      <c r="AA201" s="7"/>
    </row>
    <row r="202" spans="1:27" ht="13.2">
      <c r="A202" s="14"/>
      <c r="B202" s="5">
        <v>0.5</v>
      </c>
      <c r="C202" s="5">
        <f t="shared" ref="C202:C257" si="67">D202-$D$7</f>
        <v>1</v>
      </c>
      <c r="D202" s="17">
        <v>43000</v>
      </c>
      <c r="E202" s="10">
        <v>369.6</v>
      </c>
      <c r="F202" s="12">
        <f t="shared" ref="F202:F204" si="68">(E201-E202)/(D202-D201)</f>
        <v>6.5</v>
      </c>
      <c r="G202" s="14"/>
      <c r="H202" s="14"/>
      <c r="I202" s="13">
        <v>67.900000000000006</v>
      </c>
      <c r="J202" s="14">
        <f t="shared" ref="J202:J204" si="69">(I201-I202)/(D202-D201)</f>
        <v>4</v>
      </c>
      <c r="K202" s="13">
        <v>25.1</v>
      </c>
      <c r="L202" s="15">
        <f t="shared" si="65"/>
        <v>8.6000000000000085</v>
      </c>
      <c r="M202" s="14"/>
      <c r="N202" s="14"/>
      <c r="O202" s="14"/>
      <c r="P202" s="12">
        <f>E221-E224</f>
        <v>42.599999999999966</v>
      </c>
      <c r="Q202" s="14"/>
      <c r="R202" s="7"/>
      <c r="S202" s="7"/>
      <c r="T202" s="73">
        <f>95.9-I249</f>
        <v>74</v>
      </c>
      <c r="U202" s="7"/>
      <c r="V202" s="7"/>
      <c r="W202" s="7"/>
      <c r="X202" s="7"/>
      <c r="Y202" s="7"/>
      <c r="Z202" s="7"/>
      <c r="AA202" s="7"/>
    </row>
    <row r="203" spans="1:27" ht="13.2">
      <c r="A203" s="14"/>
      <c r="B203" s="5">
        <v>0.5</v>
      </c>
      <c r="C203" s="5">
        <f t="shared" si="67"/>
        <v>4</v>
      </c>
      <c r="D203" s="9">
        <v>43003</v>
      </c>
      <c r="E203" s="10">
        <v>349.8</v>
      </c>
      <c r="F203" s="12">
        <f t="shared" si="68"/>
        <v>6.6000000000000041</v>
      </c>
      <c r="G203" s="14"/>
      <c r="H203" s="14"/>
      <c r="I203" s="13">
        <v>59.3</v>
      </c>
      <c r="J203" s="15">
        <f t="shared" si="69"/>
        <v>2.8666666666666694</v>
      </c>
      <c r="K203" s="13">
        <v>26.2</v>
      </c>
      <c r="L203" s="15">
        <f t="shared" si="65"/>
        <v>5.3999999999999986</v>
      </c>
      <c r="M203" s="14"/>
      <c r="N203" s="14"/>
      <c r="O203" s="14"/>
      <c r="P203" s="12">
        <f>E225-E228</f>
        <v>35.399999999999977</v>
      </c>
      <c r="Q203" s="14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3.2">
      <c r="A204" s="14"/>
      <c r="B204" s="5">
        <v>0.5</v>
      </c>
      <c r="C204" s="5">
        <f t="shared" si="67"/>
        <v>6</v>
      </c>
      <c r="D204" s="9">
        <v>43005</v>
      </c>
      <c r="E204" s="10">
        <v>338.6</v>
      </c>
      <c r="F204" s="12">
        <f t="shared" si="68"/>
        <v>5.5999999999999943</v>
      </c>
      <c r="G204" s="14"/>
      <c r="H204" s="14"/>
      <c r="I204" s="13">
        <v>53.9</v>
      </c>
      <c r="J204" s="14">
        <f t="shared" si="69"/>
        <v>2.6999999999999993</v>
      </c>
      <c r="K204" s="13">
        <v>27.3</v>
      </c>
      <c r="L204" s="14"/>
      <c r="M204" s="14"/>
      <c r="N204" s="14"/>
      <c r="O204" s="14"/>
      <c r="P204" s="12">
        <f>E229-E233</f>
        <v>33.800000000000011</v>
      </c>
      <c r="Q204" s="14"/>
      <c r="R204" s="7"/>
      <c r="S204" s="7"/>
      <c r="V204" s="7"/>
      <c r="W204" s="7"/>
      <c r="X204" s="7"/>
      <c r="Y204" s="7"/>
      <c r="Z204" s="7"/>
      <c r="AA204" s="7"/>
    </row>
    <row r="205" spans="1:27" ht="13.2">
      <c r="A205" s="14"/>
      <c r="B205" s="170">
        <v>1</v>
      </c>
      <c r="C205" s="5">
        <f t="shared" si="67"/>
        <v>6</v>
      </c>
      <c r="D205" s="9">
        <v>43005</v>
      </c>
      <c r="E205" s="10">
        <v>327.60000000000002</v>
      </c>
      <c r="F205" s="11"/>
      <c r="G205" s="14"/>
      <c r="H205" s="14"/>
      <c r="I205" s="13" t="s">
        <v>318</v>
      </c>
      <c r="J205" s="14"/>
      <c r="K205" s="13"/>
      <c r="L205" s="14"/>
      <c r="M205" s="14"/>
      <c r="N205" s="14"/>
      <c r="O205" s="14"/>
      <c r="P205" s="12">
        <f>E234-E236</f>
        <v>27.600000000000023</v>
      </c>
      <c r="Q205" s="14"/>
      <c r="R205" s="7"/>
      <c r="S205" s="7"/>
      <c r="U205" s="7"/>
      <c r="V205" s="7"/>
      <c r="W205" s="7"/>
      <c r="X205" s="7"/>
      <c r="Y205" s="7"/>
      <c r="Z205" s="7"/>
      <c r="AA205" s="7"/>
    </row>
    <row r="206" spans="1:27" ht="13.2">
      <c r="A206" s="14"/>
      <c r="B206" s="5">
        <v>1</v>
      </c>
      <c r="C206" s="5">
        <f t="shared" si="67"/>
        <v>8</v>
      </c>
      <c r="D206" s="9">
        <v>43007</v>
      </c>
      <c r="E206" s="10">
        <v>313.10000000000002</v>
      </c>
      <c r="F206" s="12">
        <f t="shared" ref="F206:F208" si="70">(E205-E206)/(D206-D205)</f>
        <v>7.25</v>
      </c>
      <c r="G206" s="14"/>
      <c r="H206" s="14"/>
      <c r="I206" s="13">
        <v>49.4</v>
      </c>
      <c r="J206" s="14">
        <f>(I204-I207)/(D206-D204)</f>
        <v>6.0999999999999979</v>
      </c>
      <c r="K206" s="13">
        <v>26.6</v>
      </c>
      <c r="L206" s="15">
        <f>I204-I206</f>
        <v>4.5</v>
      </c>
      <c r="M206" s="14"/>
      <c r="N206" s="14"/>
      <c r="O206" s="14"/>
      <c r="P206" s="12">
        <f>E237-E241</f>
        <v>52.299999999999955</v>
      </c>
      <c r="Q206" s="14"/>
      <c r="R206" s="7"/>
      <c r="S206" s="7"/>
      <c r="U206" s="7"/>
      <c r="V206" s="7"/>
      <c r="W206" s="7"/>
      <c r="X206" s="7"/>
      <c r="Y206" s="7"/>
      <c r="Z206" s="7"/>
      <c r="AA206" s="7"/>
    </row>
    <row r="207" spans="1:27" ht="13.2">
      <c r="A207" s="14"/>
      <c r="B207" s="5">
        <v>1</v>
      </c>
      <c r="C207" s="5">
        <f t="shared" si="67"/>
        <v>11</v>
      </c>
      <c r="D207" s="19">
        <v>43010</v>
      </c>
      <c r="E207" s="11">
        <v>294.60000000000002</v>
      </c>
      <c r="F207" s="12">
        <f t="shared" si="70"/>
        <v>6.166666666666667</v>
      </c>
      <c r="G207" s="14"/>
      <c r="H207" s="14"/>
      <c r="I207" s="13">
        <v>41.7</v>
      </c>
      <c r="J207" s="14">
        <f>(I207-I208)/(D207-D206)</f>
        <v>1.8000000000000018</v>
      </c>
      <c r="K207" s="13">
        <v>27.6</v>
      </c>
      <c r="L207" s="15">
        <f t="shared" ref="L207:L208" si="71">I206-I207</f>
        <v>7.6999999999999957</v>
      </c>
      <c r="M207" s="14"/>
      <c r="N207" s="14"/>
      <c r="O207" s="14"/>
      <c r="P207" s="12">
        <f>E242-E245</f>
        <v>35.099999999999966</v>
      </c>
      <c r="Q207" s="14"/>
      <c r="R207" s="7"/>
      <c r="S207" s="7"/>
      <c r="U207" s="7"/>
      <c r="V207" s="7"/>
      <c r="W207" s="7"/>
      <c r="X207" s="7"/>
      <c r="Y207" s="7"/>
      <c r="Z207" s="7"/>
      <c r="AA207" s="7"/>
    </row>
    <row r="208" spans="1:27" ht="13.2">
      <c r="A208" s="14"/>
      <c r="B208" s="5">
        <v>1</v>
      </c>
      <c r="C208" s="5">
        <f t="shared" si="67"/>
        <v>13</v>
      </c>
      <c r="D208" s="19">
        <v>43012</v>
      </c>
      <c r="E208" s="11">
        <v>276.7</v>
      </c>
      <c r="F208" s="12">
        <f t="shared" si="70"/>
        <v>8.9500000000000171</v>
      </c>
      <c r="G208" s="14"/>
      <c r="H208" s="14"/>
      <c r="I208" s="13">
        <v>36.299999999999997</v>
      </c>
      <c r="J208" s="14">
        <f>(I207-I208)/(D208-D207)</f>
        <v>2.7000000000000028</v>
      </c>
      <c r="K208" s="13">
        <v>28.3</v>
      </c>
      <c r="L208" s="15">
        <f t="shared" si="71"/>
        <v>5.4000000000000057</v>
      </c>
      <c r="M208" s="14"/>
      <c r="N208" s="14"/>
      <c r="O208" s="14"/>
      <c r="P208" s="12">
        <f>E246-E249</f>
        <v>35.5</v>
      </c>
      <c r="Q208" s="14"/>
      <c r="R208" s="7"/>
      <c r="S208" s="7"/>
      <c r="U208" s="7"/>
      <c r="V208" s="7"/>
      <c r="W208" s="7"/>
      <c r="X208" s="7"/>
      <c r="Y208" s="7"/>
      <c r="Z208" s="7"/>
      <c r="AA208" s="7"/>
    </row>
    <row r="209" spans="1:27" ht="13.2">
      <c r="A209" s="14"/>
      <c r="B209" s="5">
        <v>2</v>
      </c>
      <c r="C209" s="5">
        <f t="shared" si="67"/>
        <v>14</v>
      </c>
      <c r="D209" s="20">
        <v>43013</v>
      </c>
      <c r="E209" s="11">
        <v>368.8</v>
      </c>
      <c r="F209" s="11"/>
      <c r="G209" s="14"/>
      <c r="H209" s="14"/>
      <c r="I209" s="13" t="s">
        <v>24</v>
      </c>
      <c r="J209" s="14"/>
      <c r="K209" s="13"/>
      <c r="L209" s="14"/>
      <c r="M209" s="14"/>
      <c r="N209" s="14"/>
      <c r="O209" s="14"/>
      <c r="P209" s="14"/>
      <c r="Q209" s="14"/>
      <c r="R209" s="7"/>
      <c r="S209" s="7"/>
      <c r="U209" s="7"/>
      <c r="V209" s="7"/>
      <c r="W209" s="7"/>
      <c r="X209" s="7"/>
      <c r="Y209" s="7"/>
      <c r="Z209" s="7"/>
      <c r="AA209" s="7"/>
    </row>
    <row r="210" spans="1:27" ht="13.2">
      <c r="A210" s="14"/>
      <c r="B210" s="5">
        <v>2</v>
      </c>
      <c r="C210" s="5">
        <f t="shared" si="67"/>
        <v>15</v>
      </c>
      <c r="D210" s="20">
        <v>43014</v>
      </c>
      <c r="E210" s="11">
        <v>360.6</v>
      </c>
      <c r="F210" s="12">
        <f t="shared" ref="F210:F212" si="72">(E209-E210)/(D210-D209)</f>
        <v>8.1999999999999886</v>
      </c>
      <c r="G210" s="14"/>
      <c r="H210" s="14"/>
      <c r="I210" s="13">
        <v>39.6</v>
      </c>
      <c r="J210" s="14">
        <f>(45-I210)/(D210-D208)</f>
        <v>2.6999999999999993</v>
      </c>
      <c r="K210" s="13">
        <v>29.1</v>
      </c>
      <c r="L210" s="14"/>
      <c r="M210" s="14"/>
      <c r="N210" s="14"/>
      <c r="O210" s="14"/>
      <c r="P210" s="14"/>
      <c r="Q210" s="14"/>
      <c r="R210" s="7"/>
      <c r="S210" s="7"/>
      <c r="U210" s="7"/>
      <c r="V210" s="7"/>
      <c r="W210" s="7"/>
      <c r="X210" s="7"/>
      <c r="Y210" s="7"/>
      <c r="Z210" s="7"/>
      <c r="AA210" s="7"/>
    </row>
    <row r="211" spans="1:27" ht="13.2">
      <c r="A211" s="14"/>
      <c r="B211" s="5">
        <v>2</v>
      </c>
      <c r="C211" s="5">
        <f t="shared" si="67"/>
        <v>18</v>
      </c>
      <c r="D211" s="20">
        <v>43017</v>
      </c>
      <c r="E211" s="11">
        <v>345.6</v>
      </c>
      <c r="F211" s="12">
        <f t="shared" si="72"/>
        <v>5</v>
      </c>
      <c r="G211" s="14"/>
      <c r="H211" s="14"/>
      <c r="I211" s="13">
        <v>32.299999999999997</v>
      </c>
      <c r="J211" s="15">
        <f t="shared" ref="J211:J212" si="73">(I210-I211)/(D211-D210)</f>
        <v>2.4333333333333349</v>
      </c>
      <c r="K211" s="13">
        <v>29.9</v>
      </c>
      <c r="L211" s="15">
        <f t="shared" ref="L211:L212" si="74">I210-I211</f>
        <v>7.3000000000000043</v>
      </c>
      <c r="M211" s="14"/>
      <c r="N211" s="14"/>
      <c r="O211" s="14"/>
      <c r="P211" s="14"/>
      <c r="Q211" s="14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3.2">
      <c r="A212" s="14"/>
      <c r="B212" s="5">
        <v>2</v>
      </c>
      <c r="C212" s="5">
        <f t="shared" si="67"/>
        <v>20</v>
      </c>
      <c r="D212" s="20">
        <v>43019</v>
      </c>
      <c r="E212" s="11">
        <v>329.3</v>
      </c>
      <c r="F212" s="12">
        <f t="shared" si="72"/>
        <v>8.1500000000000057</v>
      </c>
      <c r="G212" s="14"/>
      <c r="H212" s="14"/>
      <c r="I212" s="13">
        <v>27.7</v>
      </c>
      <c r="J212" s="14">
        <f t="shared" si="73"/>
        <v>2.2999999999999989</v>
      </c>
      <c r="K212" s="13">
        <v>29.6</v>
      </c>
      <c r="L212" s="15">
        <f t="shared" si="74"/>
        <v>4.5999999999999979</v>
      </c>
      <c r="M212" s="14"/>
      <c r="N212" s="14"/>
      <c r="O212" s="14"/>
      <c r="P212" s="14"/>
      <c r="Q212" s="14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3.2">
      <c r="A213" s="14"/>
      <c r="B213" s="5">
        <v>3</v>
      </c>
      <c r="C213" s="5">
        <f t="shared" si="67"/>
        <v>21</v>
      </c>
      <c r="D213" s="20">
        <v>43020</v>
      </c>
      <c r="E213" s="11">
        <v>380</v>
      </c>
      <c r="F213" s="12"/>
      <c r="G213" s="14"/>
      <c r="H213" s="14"/>
      <c r="I213" s="13" t="s">
        <v>24</v>
      </c>
      <c r="J213" s="14"/>
      <c r="K213" s="13"/>
      <c r="L213" s="14"/>
      <c r="M213" s="14"/>
      <c r="N213" s="14"/>
      <c r="O213" s="14"/>
      <c r="P213" s="14"/>
      <c r="Q213" s="14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3.2">
      <c r="A214" s="14"/>
      <c r="B214" s="5">
        <v>3</v>
      </c>
      <c r="C214" s="5">
        <f t="shared" si="67"/>
        <v>22</v>
      </c>
      <c r="D214" s="20">
        <f>D212+2</f>
        <v>43021</v>
      </c>
      <c r="E214" s="11">
        <v>371.8</v>
      </c>
      <c r="F214" s="12">
        <f t="shared" ref="F214:F216" si="75">(E213-E214)/(D214-D213)</f>
        <v>8.1999999999999886</v>
      </c>
      <c r="G214" s="12">
        <f>AVERAGE(F202:F245)</f>
        <v>6.9338383838383821</v>
      </c>
      <c r="H214" s="14"/>
      <c r="I214" s="13">
        <v>51.1</v>
      </c>
      <c r="J214" s="14">
        <f t="shared" ref="J214:J215" si="76">(57.4-I214)/(D214-D212)</f>
        <v>3.1499999999999986</v>
      </c>
      <c r="K214" s="13">
        <v>30.3</v>
      </c>
      <c r="L214" s="14"/>
      <c r="M214" s="14"/>
      <c r="N214" s="14"/>
      <c r="O214" s="14"/>
      <c r="P214" s="14"/>
      <c r="Q214" s="14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3.2">
      <c r="A215" s="14"/>
      <c r="B215" s="5">
        <v>3</v>
      </c>
      <c r="C215" s="5">
        <f t="shared" si="67"/>
        <v>25</v>
      </c>
      <c r="D215" s="20">
        <f>D214+3</f>
        <v>43024</v>
      </c>
      <c r="E215" s="11">
        <v>354.1</v>
      </c>
      <c r="F215" s="12">
        <f t="shared" si="75"/>
        <v>5.8999999999999959</v>
      </c>
      <c r="G215" s="14"/>
      <c r="H215" s="14"/>
      <c r="I215" s="13">
        <v>42.6</v>
      </c>
      <c r="J215" s="14">
        <f t="shared" si="76"/>
        <v>3.6999999999999993</v>
      </c>
      <c r="K215" s="13">
        <v>31.9</v>
      </c>
      <c r="L215" s="15">
        <f>I214-I215</f>
        <v>8.5</v>
      </c>
      <c r="M215" s="14"/>
      <c r="N215" s="14"/>
      <c r="O215" s="14"/>
      <c r="P215" s="14"/>
      <c r="Q215" s="14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3.2">
      <c r="A216" s="14"/>
      <c r="B216" s="5">
        <v>3</v>
      </c>
      <c r="C216" s="5">
        <f t="shared" si="67"/>
        <v>27</v>
      </c>
      <c r="D216" s="20">
        <f>D215+2</f>
        <v>43026</v>
      </c>
      <c r="E216" s="11">
        <v>341.1</v>
      </c>
      <c r="F216" s="12">
        <f t="shared" si="75"/>
        <v>6.5</v>
      </c>
      <c r="G216" s="14"/>
      <c r="H216" s="14"/>
      <c r="I216" s="13">
        <v>71.900000000000006</v>
      </c>
      <c r="J216" s="14"/>
      <c r="K216" s="13">
        <v>33.4</v>
      </c>
      <c r="L216" s="14"/>
      <c r="M216" s="14"/>
      <c r="N216" s="14"/>
      <c r="O216" s="14"/>
      <c r="P216" s="14"/>
      <c r="Q216" s="14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3.2">
      <c r="A217" s="14"/>
      <c r="B217" s="5">
        <v>4</v>
      </c>
      <c r="C217" s="5">
        <f t="shared" si="67"/>
        <v>28</v>
      </c>
      <c r="D217" s="20">
        <v>43027</v>
      </c>
      <c r="E217" s="11">
        <v>388.4</v>
      </c>
      <c r="F217" s="12"/>
      <c r="G217" s="14"/>
      <c r="H217" s="14"/>
      <c r="I217" s="15"/>
      <c r="J217" s="14"/>
      <c r="K217" s="15"/>
      <c r="L217" s="14"/>
      <c r="M217" s="14"/>
      <c r="N217" s="14"/>
      <c r="O217" s="14"/>
      <c r="P217" s="14"/>
      <c r="Q217" s="14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3.2">
      <c r="A218" s="14"/>
      <c r="B218" s="5">
        <v>4</v>
      </c>
      <c r="C218" s="5">
        <f t="shared" si="67"/>
        <v>29</v>
      </c>
      <c r="D218" s="20">
        <f>D216+2</f>
        <v>43028</v>
      </c>
      <c r="E218" s="11">
        <v>377.4</v>
      </c>
      <c r="F218" s="12">
        <f t="shared" ref="F218:F220" si="77">(E217-E218)/(D218-D217)</f>
        <v>11</v>
      </c>
      <c r="G218" s="14"/>
      <c r="H218" s="14"/>
      <c r="I218" s="13">
        <v>65.3</v>
      </c>
      <c r="J218" s="15">
        <f>(I216-I218)/(D218-D216)</f>
        <v>3.3000000000000043</v>
      </c>
      <c r="K218" s="13">
        <v>34.4</v>
      </c>
      <c r="L218" s="15">
        <f>I216-I218</f>
        <v>6.6000000000000085</v>
      </c>
      <c r="M218" s="14"/>
      <c r="N218" s="14"/>
      <c r="O218" s="14"/>
      <c r="P218" s="14"/>
      <c r="Q218" s="14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3.2">
      <c r="A219" s="14"/>
      <c r="B219" s="5">
        <v>4</v>
      </c>
      <c r="C219" s="5">
        <f t="shared" si="67"/>
        <v>32</v>
      </c>
      <c r="D219" s="20">
        <v>43031</v>
      </c>
      <c r="E219" s="11">
        <v>361.5</v>
      </c>
      <c r="F219" s="12">
        <f t="shared" si="77"/>
        <v>5.2999999999999927</v>
      </c>
      <c r="G219" s="14"/>
      <c r="H219" s="14"/>
      <c r="I219" s="13">
        <v>56.6</v>
      </c>
      <c r="J219" s="15">
        <f t="shared" ref="J219:J220" si="78">(I218-I219)/(D219-D218)</f>
        <v>2.8999999999999986</v>
      </c>
      <c r="K219" s="13">
        <v>36</v>
      </c>
      <c r="L219" s="15">
        <f t="shared" ref="L219:L220" si="79">I218-I219</f>
        <v>8.6999999999999957</v>
      </c>
      <c r="M219" s="14"/>
      <c r="N219" s="14"/>
      <c r="O219" s="14"/>
      <c r="P219" s="14"/>
      <c r="Q219" s="14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3.2">
      <c r="A220" s="14"/>
      <c r="B220" s="5">
        <v>4</v>
      </c>
      <c r="C220" s="5">
        <f t="shared" si="67"/>
        <v>34</v>
      </c>
      <c r="D220" s="20">
        <v>43033</v>
      </c>
      <c r="E220" s="11">
        <v>347.5</v>
      </c>
      <c r="F220" s="12">
        <f t="shared" si="77"/>
        <v>7</v>
      </c>
      <c r="G220" s="14"/>
      <c r="H220" s="14"/>
      <c r="I220" s="13">
        <v>51.3</v>
      </c>
      <c r="J220" s="15">
        <f t="shared" si="78"/>
        <v>2.6500000000000021</v>
      </c>
      <c r="K220" s="13">
        <v>36.299999999999997</v>
      </c>
      <c r="L220" s="15">
        <f t="shared" si="79"/>
        <v>5.3000000000000043</v>
      </c>
      <c r="M220" s="14"/>
      <c r="N220" s="14"/>
      <c r="O220" s="14"/>
      <c r="P220" s="14"/>
      <c r="Q220" s="14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3.2">
      <c r="A221" s="14"/>
      <c r="B221" s="5">
        <v>5</v>
      </c>
      <c r="C221" s="5">
        <f t="shared" si="67"/>
        <v>35</v>
      </c>
      <c r="D221" s="20">
        <v>43034</v>
      </c>
      <c r="E221" s="11">
        <v>330.4</v>
      </c>
      <c r="F221" s="12"/>
      <c r="G221" s="14"/>
      <c r="H221" s="14"/>
      <c r="I221" s="15"/>
      <c r="J221" s="15"/>
      <c r="K221" s="15"/>
      <c r="L221" s="14"/>
      <c r="M221" s="14"/>
      <c r="N221" s="14"/>
      <c r="O221" s="14"/>
      <c r="P221" s="14"/>
      <c r="Q221" s="14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3.2">
      <c r="A222" s="14"/>
      <c r="B222" s="5">
        <v>5</v>
      </c>
      <c r="C222" s="5">
        <f t="shared" si="67"/>
        <v>36</v>
      </c>
      <c r="D222" s="20">
        <v>43035</v>
      </c>
      <c r="E222" s="11">
        <v>321.5</v>
      </c>
      <c r="F222" s="12">
        <f t="shared" ref="F222:F224" si="80">(E221-E222)/(D222-D221)</f>
        <v>8.8999999999999773</v>
      </c>
      <c r="G222" s="14"/>
      <c r="H222" s="14"/>
      <c r="I222" s="13">
        <v>46.2</v>
      </c>
      <c r="J222" s="15">
        <f>(I220-I222)/(D222-D220)</f>
        <v>2.5499999999999972</v>
      </c>
      <c r="K222" s="13">
        <v>36.4</v>
      </c>
      <c r="L222" s="15">
        <f>I220-I222</f>
        <v>5.0999999999999943</v>
      </c>
      <c r="M222" s="14"/>
      <c r="N222" s="14"/>
      <c r="O222" s="14"/>
      <c r="P222" s="14"/>
      <c r="Q222" s="14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3.2">
      <c r="A223" s="14"/>
      <c r="B223" s="5">
        <v>5</v>
      </c>
      <c r="C223" s="5">
        <f t="shared" si="67"/>
        <v>39</v>
      </c>
      <c r="D223" s="20">
        <v>43038</v>
      </c>
      <c r="E223" s="11">
        <v>300.10000000000002</v>
      </c>
      <c r="F223" s="12">
        <f t="shared" si="80"/>
        <v>7.1333333333333258</v>
      </c>
      <c r="G223" s="14"/>
      <c r="H223" s="14"/>
      <c r="I223" s="13">
        <v>38.299999999999997</v>
      </c>
      <c r="J223" s="15">
        <f>(I222-I223)/(D223-D222)</f>
        <v>2.6333333333333351</v>
      </c>
      <c r="K223" s="13">
        <v>37.4</v>
      </c>
      <c r="L223" s="15">
        <f>I222-I223</f>
        <v>7.9000000000000057</v>
      </c>
      <c r="M223" s="14"/>
      <c r="N223" s="14"/>
      <c r="O223" s="14"/>
      <c r="P223" s="14"/>
      <c r="Q223" s="14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3.2">
      <c r="A224" s="14"/>
      <c r="B224" s="5">
        <v>5</v>
      </c>
      <c r="C224" s="5">
        <f t="shared" si="67"/>
        <v>41</v>
      </c>
      <c r="D224" s="20">
        <v>43040</v>
      </c>
      <c r="E224" s="11">
        <v>287.8</v>
      </c>
      <c r="F224" s="12">
        <f t="shared" si="80"/>
        <v>6.1500000000000057</v>
      </c>
      <c r="G224" s="14"/>
      <c r="H224" s="14"/>
      <c r="I224" s="13">
        <v>77</v>
      </c>
      <c r="J224" s="15">
        <f>(83.1-I224)/(D224-D223)</f>
        <v>3.0499999999999972</v>
      </c>
      <c r="K224" s="13">
        <v>38.4</v>
      </c>
      <c r="L224" s="14"/>
      <c r="M224" s="14"/>
      <c r="N224" s="14"/>
      <c r="O224" s="14"/>
      <c r="P224" s="14"/>
      <c r="Q224" s="14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3.2">
      <c r="A225" s="14"/>
      <c r="B225" s="5">
        <v>6</v>
      </c>
      <c r="C225" s="5">
        <f t="shared" si="67"/>
        <v>42</v>
      </c>
      <c r="D225" s="20">
        <v>43041</v>
      </c>
      <c r="E225" s="11">
        <v>340.5</v>
      </c>
      <c r="F225" s="12"/>
      <c r="G225" s="14"/>
      <c r="H225" s="14"/>
      <c r="I225" s="15"/>
      <c r="J225" s="14"/>
      <c r="K225" s="15"/>
      <c r="L225" s="14"/>
      <c r="M225" s="14"/>
      <c r="N225" s="14"/>
      <c r="O225" s="14"/>
      <c r="P225" s="14"/>
      <c r="Q225" s="14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3.2">
      <c r="A226" s="14"/>
      <c r="B226" s="5">
        <v>6</v>
      </c>
      <c r="C226" s="5">
        <f t="shared" si="67"/>
        <v>43</v>
      </c>
      <c r="D226" s="20">
        <v>43042</v>
      </c>
      <c r="E226" s="11">
        <v>334</v>
      </c>
      <c r="F226" s="12">
        <f t="shared" ref="F226:F228" si="81">(E225-E226)/(D226-D225)</f>
        <v>6.5</v>
      </c>
      <c r="G226" s="14"/>
      <c r="H226" s="14"/>
      <c r="I226" s="13">
        <v>71.8</v>
      </c>
      <c r="J226" s="15">
        <f>(I224-I226)/(D226-D224)</f>
        <v>2.6000000000000014</v>
      </c>
      <c r="K226" s="13">
        <v>39</v>
      </c>
      <c r="L226" s="15">
        <f>I224-I226</f>
        <v>5.2000000000000028</v>
      </c>
      <c r="M226" s="14"/>
      <c r="N226" s="14"/>
      <c r="O226" s="14"/>
      <c r="P226" s="14"/>
      <c r="Q226" s="14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3.2">
      <c r="A227" s="14"/>
      <c r="B227" s="5">
        <v>6</v>
      </c>
      <c r="C227" s="5">
        <f t="shared" si="67"/>
        <v>46</v>
      </c>
      <c r="D227" s="20">
        <v>43045</v>
      </c>
      <c r="E227" s="11">
        <v>316.7</v>
      </c>
      <c r="F227" s="12">
        <f t="shared" si="81"/>
        <v>5.7666666666666702</v>
      </c>
      <c r="G227" s="14"/>
      <c r="H227" s="14"/>
      <c r="I227" s="13">
        <v>63.3</v>
      </c>
      <c r="J227" s="15">
        <f t="shared" ref="J227:J228" si="82">(I226-I227)/(D227-D226)</f>
        <v>2.8333333333333335</v>
      </c>
      <c r="K227" s="13">
        <v>40.5</v>
      </c>
      <c r="L227" s="15">
        <f t="shared" ref="L227:L228" si="83">I226-I227</f>
        <v>8.5</v>
      </c>
      <c r="M227" s="14"/>
      <c r="N227" s="14"/>
      <c r="O227" s="14"/>
      <c r="P227" s="14"/>
      <c r="Q227" s="14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3.2">
      <c r="A228" s="14"/>
      <c r="B228" s="5">
        <v>6</v>
      </c>
      <c r="C228" s="5">
        <f t="shared" si="67"/>
        <v>48</v>
      </c>
      <c r="D228" s="20">
        <v>43047</v>
      </c>
      <c r="E228" s="11">
        <v>305.10000000000002</v>
      </c>
      <c r="F228" s="12">
        <f t="shared" si="81"/>
        <v>5.7999999999999829</v>
      </c>
      <c r="G228" s="14"/>
      <c r="H228" s="14"/>
      <c r="I228" s="13">
        <v>58</v>
      </c>
      <c r="J228" s="15">
        <f t="shared" si="82"/>
        <v>2.6499999999999986</v>
      </c>
      <c r="K228" s="13">
        <v>41</v>
      </c>
      <c r="L228" s="15">
        <f t="shared" si="83"/>
        <v>5.2999999999999972</v>
      </c>
      <c r="M228" s="14"/>
      <c r="N228" s="14"/>
      <c r="O228" s="14"/>
      <c r="P228" s="14"/>
      <c r="Q228" s="14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3.2">
      <c r="A229" s="14"/>
      <c r="B229" s="5">
        <v>7</v>
      </c>
      <c r="C229" s="5">
        <f t="shared" si="67"/>
        <v>49</v>
      </c>
      <c r="D229" s="20">
        <v>43048</v>
      </c>
      <c r="E229" s="11">
        <v>344</v>
      </c>
      <c r="F229" s="12"/>
      <c r="G229" s="14"/>
      <c r="H229" s="14"/>
      <c r="I229" s="15"/>
      <c r="J229" s="14"/>
      <c r="K229" s="15"/>
      <c r="L229" s="14"/>
      <c r="M229" s="14"/>
      <c r="N229" s="14"/>
      <c r="O229" s="14"/>
      <c r="P229" s="14"/>
      <c r="Q229" s="14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3.2">
      <c r="A230" s="14"/>
      <c r="B230" s="5">
        <v>7</v>
      </c>
      <c r="C230" s="5">
        <f t="shared" si="67"/>
        <v>50</v>
      </c>
      <c r="D230" s="20">
        <v>43049</v>
      </c>
      <c r="E230" s="11">
        <v>337</v>
      </c>
      <c r="F230" s="12">
        <f t="shared" ref="F230:F231" si="84">(E229-E230)/(D230-D229)</f>
        <v>7</v>
      </c>
      <c r="G230" s="14"/>
      <c r="H230" s="14"/>
      <c r="I230" s="13">
        <v>53.1</v>
      </c>
      <c r="J230" s="15">
        <f>(I228-I230)/(D230-D228)</f>
        <v>2.4499999999999993</v>
      </c>
      <c r="K230" s="13">
        <v>40.799999999999997</v>
      </c>
      <c r="L230" s="15">
        <f>I228-I230</f>
        <v>4.8999999999999986</v>
      </c>
      <c r="M230" s="14"/>
      <c r="N230" s="14"/>
      <c r="O230" s="14"/>
      <c r="P230" s="14"/>
      <c r="Q230" s="14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3.2">
      <c r="A231" s="14"/>
      <c r="B231" s="5">
        <v>7</v>
      </c>
      <c r="C231" s="5">
        <f t="shared" si="67"/>
        <v>53</v>
      </c>
      <c r="D231" s="20">
        <v>43052</v>
      </c>
      <c r="E231" s="11">
        <v>321.8</v>
      </c>
      <c r="F231" s="12">
        <f t="shared" si="84"/>
        <v>5.0666666666666629</v>
      </c>
      <c r="G231" s="14"/>
      <c r="H231" s="14"/>
      <c r="I231" s="13">
        <v>44.8</v>
      </c>
      <c r="J231" s="15">
        <f>(I230-I231)/(D231-D230)</f>
        <v>2.7666666666666679</v>
      </c>
      <c r="K231" s="13">
        <v>42.1</v>
      </c>
      <c r="L231" s="15">
        <f>I230-I231</f>
        <v>8.3000000000000043</v>
      </c>
      <c r="M231" s="14"/>
      <c r="N231" s="14"/>
      <c r="O231" s="14"/>
      <c r="P231" s="14"/>
      <c r="Q231" s="14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3.2">
      <c r="A232" s="14"/>
      <c r="B232" s="5">
        <v>7</v>
      </c>
      <c r="C232" s="5">
        <f t="shared" si="67"/>
        <v>54</v>
      </c>
      <c r="D232" s="20">
        <v>43053</v>
      </c>
      <c r="E232" s="11"/>
      <c r="F232" s="12"/>
      <c r="G232" s="14"/>
      <c r="H232" s="14"/>
      <c r="I232" s="13"/>
      <c r="J232" s="15"/>
      <c r="K232" s="13"/>
      <c r="L232" s="14"/>
      <c r="M232" s="14"/>
      <c r="N232" s="14"/>
      <c r="O232" s="14"/>
      <c r="P232" s="14"/>
      <c r="Q232" s="14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3.2">
      <c r="A233" s="14"/>
      <c r="B233" s="5">
        <v>8</v>
      </c>
      <c r="C233" s="5">
        <f t="shared" si="67"/>
        <v>55</v>
      </c>
      <c r="D233" s="20">
        <v>43054</v>
      </c>
      <c r="E233" s="11">
        <v>310.2</v>
      </c>
      <c r="F233" s="12">
        <f>(E231-E233)/(D233-D231)</f>
        <v>5.8000000000000114</v>
      </c>
      <c r="G233" s="14"/>
      <c r="H233" s="14"/>
      <c r="I233" s="13">
        <v>39.700000000000003</v>
      </c>
      <c r="J233" s="15">
        <f>(I231-I233)/(D233-D231)</f>
        <v>2.5499999999999972</v>
      </c>
      <c r="K233" s="13">
        <v>42</v>
      </c>
      <c r="L233" s="15">
        <f>I231-I233</f>
        <v>5.0999999999999943</v>
      </c>
      <c r="M233" s="14"/>
      <c r="N233" s="14"/>
      <c r="O233" s="14"/>
      <c r="P233" s="14"/>
      <c r="Q233" s="14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3.2">
      <c r="A234" s="14"/>
      <c r="B234" s="5">
        <v>8</v>
      </c>
      <c r="C234" s="5">
        <f t="shared" si="67"/>
        <v>56</v>
      </c>
      <c r="D234" s="20">
        <v>43055</v>
      </c>
      <c r="E234" s="11">
        <v>331.6</v>
      </c>
      <c r="F234" s="12"/>
      <c r="G234" s="14"/>
      <c r="H234" s="14"/>
      <c r="I234" s="15"/>
      <c r="J234" s="14"/>
      <c r="K234" s="15"/>
      <c r="L234" s="14"/>
      <c r="M234" s="14"/>
      <c r="N234" s="14"/>
      <c r="O234" s="14"/>
      <c r="P234" s="14"/>
      <c r="Q234" s="14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3.2">
      <c r="A235" s="14"/>
      <c r="B235" s="5">
        <v>8</v>
      </c>
      <c r="C235" s="5">
        <f t="shared" si="67"/>
        <v>57</v>
      </c>
      <c r="D235" s="20">
        <v>43056</v>
      </c>
      <c r="E235" s="11">
        <v>319.10000000000002</v>
      </c>
      <c r="F235" s="12">
        <f t="shared" ref="F235:F236" si="85">(E234-E235)/(D235-D234)</f>
        <v>12.5</v>
      </c>
      <c r="G235" s="14"/>
      <c r="H235" s="14"/>
      <c r="I235" s="13">
        <v>34.9</v>
      </c>
      <c r="J235" s="15">
        <f>(I233-I235)/(D235-D233)</f>
        <v>2.4000000000000021</v>
      </c>
      <c r="K235" s="13">
        <v>41.8</v>
      </c>
      <c r="L235" s="15">
        <f>I233-I235</f>
        <v>4.8000000000000043</v>
      </c>
      <c r="M235" s="14"/>
      <c r="N235" s="14"/>
      <c r="O235" s="14"/>
      <c r="P235" s="14"/>
      <c r="Q235" s="14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3.2">
      <c r="A236" s="14"/>
      <c r="B236" s="5">
        <v>8</v>
      </c>
      <c r="C236" s="5">
        <f t="shared" si="67"/>
        <v>60</v>
      </c>
      <c r="D236" s="20">
        <v>43059</v>
      </c>
      <c r="E236" s="11">
        <v>304</v>
      </c>
      <c r="F236" s="12">
        <f t="shared" si="85"/>
        <v>5.0333333333333412</v>
      </c>
      <c r="G236" s="14"/>
      <c r="H236" s="14"/>
      <c r="I236" s="13">
        <v>28.9</v>
      </c>
      <c r="J236" s="15">
        <f>(I235-I236)/(D236-D235)</f>
        <v>2</v>
      </c>
      <c r="K236" s="13">
        <v>41.8</v>
      </c>
      <c r="L236" s="15">
        <f>I235-I236</f>
        <v>6</v>
      </c>
      <c r="M236" s="14"/>
      <c r="N236" s="14"/>
      <c r="O236" s="14"/>
      <c r="P236" s="14"/>
      <c r="Q236" s="14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3.2">
      <c r="A237" s="14"/>
      <c r="B237" s="5">
        <v>8</v>
      </c>
      <c r="C237" s="5">
        <f t="shared" si="67"/>
        <v>61</v>
      </c>
      <c r="D237" s="20">
        <v>43060</v>
      </c>
      <c r="E237" s="11">
        <v>346.9</v>
      </c>
      <c r="F237" s="12"/>
      <c r="G237" s="14"/>
      <c r="H237" s="14"/>
      <c r="I237" s="15"/>
      <c r="J237" s="14"/>
      <c r="K237" s="15"/>
      <c r="L237" s="14"/>
      <c r="M237" s="14"/>
      <c r="N237" s="14"/>
      <c r="O237" s="14"/>
      <c r="P237" s="14"/>
      <c r="Q237" s="14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3.2">
      <c r="A238" s="14"/>
      <c r="B238" s="5">
        <v>9</v>
      </c>
      <c r="C238" s="5">
        <f t="shared" si="67"/>
        <v>62</v>
      </c>
      <c r="D238" s="20">
        <v>43061</v>
      </c>
      <c r="E238" s="11">
        <v>337.7</v>
      </c>
      <c r="F238" s="12">
        <f t="shared" ref="F238:F241" si="86">(E237-E238)/(D238-D237)</f>
        <v>9.1999999999999886</v>
      </c>
      <c r="G238" s="14"/>
      <c r="H238" s="14"/>
      <c r="I238" s="13">
        <v>88.2</v>
      </c>
      <c r="J238" s="14">
        <f>(95.9-I238)/(D238-D237)</f>
        <v>7.7000000000000028</v>
      </c>
      <c r="K238" s="13">
        <v>43.4</v>
      </c>
      <c r="L238" s="14"/>
      <c r="M238" s="14"/>
      <c r="N238" s="14"/>
      <c r="O238" s="14"/>
      <c r="P238" s="14"/>
      <c r="Q238" s="14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3.2">
      <c r="A239" s="14"/>
      <c r="B239" s="5">
        <v>9</v>
      </c>
      <c r="C239" s="5">
        <f t="shared" si="67"/>
        <v>64</v>
      </c>
      <c r="D239" s="20">
        <v>43063</v>
      </c>
      <c r="E239" s="11">
        <v>324.8</v>
      </c>
      <c r="F239" s="12">
        <f t="shared" si="86"/>
        <v>6.4499999999999886</v>
      </c>
      <c r="G239" s="14"/>
      <c r="H239" s="14"/>
      <c r="I239" s="13">
        <v>81.599999999999994</v>
      </c>
      <c r="J239" s="15">
        <f t="shared" ref="J239:J241" si="87">(I238-I239)/(D239-D238)</f>
        <v>3.3000000000000043</v>
      </c>
      <c r="K239" s="13">
        <v>44.6</v>
      </c>
      <c r="L239" s="15">
        <f t="shared" ref="L239:L241" si="88">I238-I239</f>
        <v>6.6000000000000085</v>
      </c>
      <c r="M239" s="14"/>
      <c r="N239" s="14"/>
      <c r="O239" s="14"/>
      <c r="P239" s="14"/>
      <c r="Q239" s="14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3.2">
      <c r="A240" s="14"/>
      <c r="B240" s="5">
        <v>9</v>
      </c>
      <c r="C240" s="5">
        <f t="shared" si="67"/>
        <v>67</v>
      </c>
      <c r="D240" s="20">
        <v>43066</v>
      </c>
      <c r="E240" s="11">
        <v>306.60000000000002</v>
      </c>
      <c r="F240" s="12">
        <f t="shared" si="86"/>
        <v>6.0666666666666629</v>
      </c>
      <c r="G240" s="14"/>
      <c r="H240" s="14"/>
      <c r="I240" s="13">
        <v>71.5</v>
      </c>
      <c r="J240" s="15">
        <f t="shared" si="87"/>
        <v>3.3666666666666649</v>
      </c>
      <c r="K240" s="13">
        <v>46.5</v>
      </c>
      <c r="L240" s="15">
        <f t="shared" si="88"/>
        <v>10.099999999999994</v>
      </c>
      <c r="M240" s="14"/>
      <c r="N240" s="14"/>
      <c r="O240" s="14"/>
      <c r="P240" s="14"/>
      <c r="Q240" s="14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3.2">
      <c r="A241" s="14"/>
      <c r="B241" s="5">
        <v>9</v>
      </c>
      <c r="C241" s="5">
        <f t="shared" si="67"/>
        <v>69</v>
      </c>
      <c r="D241" s="20">
        <v>43068</v>
      </c>
      <c r="E241" s="11">
        <v>294.60000000000002</v>
      </c>
      <c r="F241" s="12">
        <f t="shared" si="86"/>
        <v>6</v>
      </c>
      <c r="G241" s="14"/>
      <c r="H241" s="14"/>
      <c r="I241" s="13">
        <v>65.2</v>
      </c>
      <c r="J241" s="15">
        <f t="shared" si="87"/>
        <v>3.1499999999999986</v>
      </c>
      <c r="K241" s="13">
        <v>47.2</v>
      </c>
      <c r="L241" s="15">
        <f t="shared" si="88"/>
        <v>6.2999999999999972</v>
      </c>
      <c r="M241" s="14"/>
      <c r="N241" s="14"/>
      <c r="O241" s="14"/>
      <c r="P241" s="14"/>
      <c r="Q241" s="14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3.2">
      <c r="A242" s="14"/>
      <c r="B242" s="5">
        <v>10</v>
      </c>
      <c r="C242" s="5">
        <f t="shared" si="67"/>
        <v>70</v>
      </c>
      <c r="D242" s="20">
        <v>43069</v>
      </c>
      <c r="E242" s="11">
        <v>368.9</v>
      </c>
      <c r="F242" s="12"/>
      <c r="G242" s="14"/>
      <c r="H242" s="14"/>
      <c r="I242" s="15"/>
      <c r="J242" s="14"/>
      <c r="K242" s="15"/>
      <c r="L242" s="14"/>
      <c r="M242" s="14"/>
      <c r="N242" s="14"/>
      <c r="O242" s="14"/>
      <c r="P242" s="14"/>
      <c r="Q242" s="14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3.2">
      <c r="A243" s="14"/>
      <c r="B243" s="5">
        <v>10</v>
      </c>
      <c r="C243" s="5">
        <f t="shared" si="67"/>
        <v>71</v>
      </c>
      <c r="D243" s="20">
        <v>43070</v>
      </c>
      <c r="E243" s="11">
        <v>360.9</v>
      </c>
      <c r="F243" s="12">
        <f t="shared" ref="F243:F245" si="89">(E242-E243)/(D243-D242)</f>
        <v>8</v>
      </c>
      <c r="G243" s="14"/>
      <c r="H243" s="14"/>
      <c r="I243" s="13">
        <v>58.3</v>
      </c>
      <c r="J243" s="15">
        <f>(I241-I243)/(D243-D241)</f>
        <v>3.4500000000000028</v>
      </c>
      <c r="K243" s="13">
        <v>48.5</v>
      </c>
      <c r="L243" s="15">
        <f>I241-I243</f>
        <v>6.9000000000000057</v>
      </c>
      <c r="M243" s="14"/>
      <c r="N243" s="14"/>
      <c r="O243" s="14"/>
      <c r="P243" s="14"/>
      <c r="Q243" s="14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3.2">
      <c r="A244" s="14"/>
      <c r="B244" s="5">
        <v>10</v>
      </c>
      <c r="C244" s="5">
        <f t="shared" si="67"/>
        <v>74</v>
      </c>
      <c r="D244" s="20">
        <v>43073</v>
      </c>
      <c r="E244" s="11">
        <v>346.4</v>
      </c>
      <c r="F244" s="12">
        <f t="shared" si="89"/>
        <v>4.833333333333333</v>
      </c>
      <c r="G244" s="14"/>
      <c r="H244" s="14"/>
      <c r="I244" s="13">
        <v>48.6</v>
      </c>
      <c r="J244" s="15">
        <f t="shared" ref="J244:J245" si="90">(I243-I244)/(D244-D243)</f>
        <v>3.2333333333333321</v>
      </c>
      <c r="K244" s="13">
        <v>49.7</v>
      </c>
      <c r="L244" s="15">
        <f t="shared" ref="L244:L245" si="91">I243-I244</f>
        <v>9.6999999999999957</v>
      </c>
      <c r="M244" s="14"/>
      <c r="N244" s="14"/>
      <c r="O244" s="14"/>
      <c r="P244" s="14"/>
      <c r="Q244" s="14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3.2">
      <c r="A245" s="14"/>
      <c r="B245" s="5">
        <v>10</v>
      </c>
      <c r="C245" s="5">
        <f t="shared" si="67"/>
        <v>76</v>
      </c>
      <c r="D245" s="20">
        <v>43075</v>
      </c>
      <c r="E245" s="11">
        <v>333.8</v>
      </c>
      <c r="F245" s="12">
        <f t="shared" si="89"/>
        <v>6.2999999999999829</v>
      </c>
      <c r="G245" s="14"/>
      <c r="H245" s="14"/>
      <c r="I245" s="13">
        <v>42.3</v>
      </c>
      <c r="J245" s="15">
        <f t="shared" si="90"/>
        <v>3.1500000000000021</v>
      </c>
      <c r="K245" s="13">
        <v>50.8</v>
      </c>
      <c r="L245" s="15">
        <f t="shared" si="91"/>
        <v>6.3000000000000043</v>
      </c>
      <c r="M245" s="14"/>
      <c r="N245" s="14"/>
      <c r="O245" s="14"/>
      <c r="P245" s="14"/>
      <c r="Q245" s="14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3.2">
      <c r="A246" s="14"/>
      <c r="B246" s="5">
        <v>11</v>
      </c>
      <c r="C246" s="5">
        <f t="shared" si="67"/>
        <v>77</v>
      </c>
      <c r="D246" s="24">
        <v>43076</v>
      </c>
      <c r="E246" s="11">
        <v>378.4</v>
      </c>
      <c r="F246" s="12"/>
      <c r="G246" s="14"/>
      <c r="H246" s="14"/>
      <c r="I246" s="15"/>
      <c r="J246" s="14"/>
      <c r="K246" s="15"/>
      <c r="L246" s="14"/>
      <c r="M246" s="14"/>
      <c r="N246" s="14"/>
      <c r="O246" s="14"/>
      <c r="P246" s="14"/>
      <c r="Q246" s="14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3.2">
      <c r="A247" s="14"/>
      <c r="B247" s="5">
        <v>11</v>
      </c>
      <c r="C247" s="5">
        <f t="shared" si="67"/>
        <v>78</v>
      </c>
      <c r="D247" s="24">
        <v>43077</v>
      </c>
      <c r="E247" s="11">
        <v>342.6</v>
      </c>
      <c r="F247" s="12"/>
      <c r="G247" s="14"/>
      <c r="H247" s="14"/>
      <c r="I247" s="13">
        <v>36</v>
      </c>
      <c r="J247" s="14">
        <f>(I245-I247)/(D247-D245)</f>
        <v>3.1499999999999986</v>
      </c>
      <c r="K247" s="13">
        <v>51.1</v>
      </c>
      <c r="L247" s="15">
        <f>I245-I247</f>
        <v>6.2999999999999972</v>
      </c>
      <c r="M247" s="14"/>
      <c r="N247" s="14"/>
      <c r="O247" s="14"/>
      <c r="P247" s="14"/>
      <c r="Q247" s="14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3.2">
      <c r="A248" s="14"/>
      <c r="B248" s="5">
        <v>11</v>
      </c>
      <c r="C248" s="5">
        <f t="shared" si="67"/>
        <v>81</v>
      </c>
      <c r="D248" s="24">
        <v>43080</v>
      </c>
      <c r="E248" s="11">
        <v>356.6</v>
      </c>
      <c r="F248" s="12"/>
      <c r="G248" s="14"/>
      <c r="H248" s="14"/>
      <c r="I248" s="13">
        <v>27.3</v>
      </c>
      <c r="J248" s="15">
        <f t="shared" ref="J248:J249" si="92">(I247-I248)/(D248-D247)</f>
        <v>2.9</v>
      </c>
      <c r="K248" s="13">
        <v>52.3</v>
      </c>
      <c r="L248" s="15">
        <f t="shared" ref="L248:L249" si="93">I247-I248</f>
        <v>8.6999999999999993</v>
      </c>
      <c r="M248" s="14"/>
      <c r="N248" s="14"/>
      <c r="O248" s="14"/>
      <c r="P248" s="14"/>
      <c r="Q248" s="14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3.2">
      <c r="A249" s="14"/>
      <c r="B249" s="5">
        <v>11</v>
      </c>
      <c r="C249" s="5">
        <f t="shared" si="67"/>
        <v>83</v>
      </c>
      <c r="D249" s="25">
        <v>43082</v>
      </c>
      <c r="E249" s="11">
        <v>342.9</v>
      </c>
      <c r="F249" s="12"/>
      <c r="G249" s="14"/>
      <c r="H249" s="14"/>
      <c r="I249" s="13">
        <v>21.9</v>
      </c>
      <c r="J249" s="15">
        <f t="shared" si="92"/>
        <v>2.7000000000000011</v>
      </c>
      <c r="K249" s="13">
        <v>53.8</v>
      </c>
      <c r="L249" s="15">
        <f t="shared" si="93"/>
        <v>5.4000000000000021</v>
      </c>
      <c r="M249" s="14"/>
      <c r="N249" s="14"/>
      <c r="O249" s="14"/>
      <c r="P249" s="14"/>
      <c r="Q249" s="14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3.2">
      <c r="A250" s="14"/>
      <c r="B250" s="5">
        <v>12</v>
      </c>
      <c r="C250" s="5">
        <f t="shared" si="67"/>
        <v>84</v>
      </c>
      <c r="D250" s="24">
        <v>43083</v>
      </c>
      <c r="E250" s="12"/>
      <c r="F250" s="12"/>
      <c r="G250" s="14"/>
      <c r="H250" s="14"/>
      <c r="I250" s="15"/>
      <c r="J250" s="14"/>
      <c r="K250" s="13"/>
      <c r="L250" s="14"/>
      <c r="M250" s="14"/>
      <c r="N250" s="14"/>
      <c r="O250" s="14"/>
      <c r="P250" s="14"/>
      <c r="Q250" s="14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26.4">
      <c r="A251" s="170" t="s">
        <v>333</v>
      </c>
      <c r="B251" s="170">
        <v>12</v>
      </c>
      <c r="C251" s="170">
        <f t="shared" si="67"/>
        <v>85</v>
      </c>
      <c r="D251" s="178">
        <v>43084</v>
      </c>
      <c r="E251" s="175"/>
      <c r="F251" s="175"/>
      <c r="G251" s="174"/>
      <c r="H251" s="174"/>
      <c r="I251" s="107">
        <v>63.5</v>
      </c>
      <c r="J251" s="174"/>
      <c r="K251" s="176">
        <v>50.3</v>
      </c>
      <c r="L251" s="174"/>
      <c r="M251" s="174"/>
      <c r="N251" s="14"/>
      <c r="O251" s="14"/>
      <c r="P251" s="14"/>
      <c r="Q251" s="14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3.2">
      <c r="A252" s="14"/>
      <c r="B252" s="5">
        <v>12</v>
      </c>
      <c r="C252" s="5">
        <f t="shared" si="67"/>
        <v>98</v>
      </c>
      <c r="D252" s="32">
        <v>43097</v>
      </c>
      <c r="E252" s="12"/>
      <c r="F252" s="12"/>
      <c r="G252" s="14"/>
      <c r="H252" s="14"/>
      <c r="I252" s="33">
        <v>40.799999999999997</v>
      </c>
      <c r="J252" s="14"/>
      <c r="K252" s="33">
        <v>51.7</v>
      </c>
      <c r="L252" s="15">
        <f>I251-I252</f>
        <v>22.700000000000003</v>
      </c>
      <c r="M252" s="14"/>
      <c r="N252" s="14"/>
      <c r="O252" s="14"/>
      <c r="P252" s="14"/>
      <c r="Q252" s="14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3.2">
      <c r="A253" s="14"/>
      <c r="B253" s="5">
        <v>12</v>
      </c>
      <c r="C253" s="5">
        <f t="shared" si="67"/>
        <v>105</v>
      </c>
      <c r="D253" s="32">
        <v>43104</v>
      </c>
      <c r="E253" s="12"/>
      <c r="F253" s="12"/>
      <c r="G253" s="14"/>
      <c r="H253" s="14"/>
      <c r="I253" s="33">
        <v>21.4</v>
      </c>
      <c r="J253" s="14"/>
      <c r="K253" s="33">
        <v>55.2</v>
      </c>
      <c r="L253" s="14"/>
      <c r="M253" s="14"/>
      <c r="N253" s="14"/>
      <c r="O253" s="14"/>
      <c r="P253" s="14"/>
      <c r="Q253" s="14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3.2">
      <c r="A254" s="14"/>
      <c r="B254" s="5"/>
      <c r="C254" s="5">
        <f t="shared" si="67"/>
        <v>112</v>
      </c>
      <c r="D254" s="32">
        <v>43111</v>
      </c>
      <c r="E254" s="12"/>
      <c r="F254" s="12"/>
      <c r="G254" s="14"/>
      <c r="H254" s="14"/>
      <c r="I254" s="33"/>
      <c r="J254" s="14"/>
      <c r="K254" s="33">
        <v>56.4</v>
      </c>
      <c r="L254" s="14"/>
      <c r="M254" s="14"/>
      <c r="N254" s="14"/>
      <c r="O254" s="14"/>
      <c r="P254" s="14"/>
      <c r="Q254" s="14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3.2">
      <c r="A255" s="14"/>
      <c r="B255" s="14"/>
      <c r="C255" s="5">
        <f t="shared" si="67"/>
        <v>116</v>
      </c>
      <c r="D255" s="20">
        <v>43115</v>
      </c>
      <c r="E255" s="12"/>
      <c r="F255" s="12"/>
      <c r="G255" s="14"/>
      <c r="H255" s="14"/>
      <c r="J255" s="14"/>
      <c r="K255" s="33"/>
      <c r="L255" s="14"/>
      <c r="M255" s="14"/>
      <c r="N255" s="14"/>
      <c r="O255" s="14"/>
      <c r="P255" s="14"/>
      <c r="Q255" s="14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3.2">
      <c r="A256" s="14"/>
      <c r="B256" s="14"/>
      <c r="C256" s="5">
        <f t="shared" si="67"/>
        <v>117</v>
      </c>
      <c r="D256" s="20">
        <v>43116</v>
      </c>
      <c r="E256" s="12"/>
      <c r="F256" s="12"/>
      <c r="G256" s="14"/>
      <c r="H256" s="14"/>
      <c r="I256" s="33">
        <v>34.700000000000003</v>
      </c>
      <c r="J256" s="14"/>
      <c r="K256" s="33">
        <v>57</v>
      </c>
      <c r="L256" s="14"/>
      <c r="M256" s="14"/>
      <c r="N256" s="14"/>
      <c r="O256" s="14"/>
      <c r="P256" s="14"/>
      <c r="Q256" s="14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3.2">
      <c r="A257" s="14"/>
      <c r="B257" s="14"/>
      <c r="C257" s="5">
        <f t="shared" si="67"/>
        <v>124</v>
      </c>
      <c r="D257" s="20">
        <v>43123</v>
      </c>
      <c r="E257" s="12"/>
      <c r="F257" s="12"/>
      <c r="G257" s="14"/>
      <c r="H257" s="14"/>
      <c r="I257" s="33">
        <v>46.9</v>
      </c>
      <c r="J257" s="14"/>
      <c r="K257" s="33">
        <v>57.4</v>
      </c>
      <c r="L257" s="14"/>
      <c r="M257" s="14"/>
      <c r="N257" s="14"/>
      <c r="O257" s="14"/>
      <c r="P257" s="14"/>
      <c r="Q257" s="14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3.2">
      <c r="A258" s="14"/>
      <c r="B258" s="14"/>
      <c r="C258" s="5">
        <v>131</v>
      </c>
      <c r="D258" s="20">
        <v>43130</v>
      </c>
      <c r="E258" s="12"/>
      <c r="F258" s="12"/>
      <c r="G258" s="14"/>
      <c r="H258" s="14"/>
      <c r="I258" s="36">
        <v>26.9</v>
      </c>
      <c r="J258" s="14"/>
      <c r="K258" s="36">
        <v>56.8</v>
      </c>
      <c r="L258" s="14"/>
      <c r="M258" s="14"/>
      <c r="N258" s="14"/>
      <c r="O258" s="14"/>
      <c r="P258" s="14"/>
      <c r="Q258" s="14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3.2">
      <c r="A259" s="14"/>
      <c r="B259" s="14"/>
      <c r="C259" s="5">
        <v>138</v>
      </c>
      <c r="D259" s="20">
        <v>43137</v>
      </c>
      <c r="E259" s="12"/>
      <c r="F259" s="12"/>
      <c r="G259" s="14"/>
      <c r="H259" s="14"/>
      <c r="I259" s="33">
        <v>84.8</v>
      </c>
      <c r="J259" s="37"/>
      <c r="K259" s="33">
        <v>58.5</v>
      </c>
      <c r="L259" s="14"/>
      <c r="M259" s="14"/>
      <c r="N259" s="14"/>
      <c r="O259" s="14"/>
      <c r="P259" s="14"/>
      <c r="Q259" s="14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3.2">
      <c r="A260" s="14"/>
      <c r="B260" s="14"/>
      <c r="C260" s="5">
        <v>145</v>
      </c>
      <c r="D260" s="20">
        <v>43144</v>
      </c>
      <c r="E260" s="12"/>
      <c r="F260" s="12"/>
      <c r="G260" s="14"/>
      <c r="H260" s="14"/>
      <c r="I260" s="13">
        <v>63.9</v>
      </c>
      <c r="J260" s="14"/>
      <c r="K260" s="13">
        <v>59.2</v>
      </c>
      <c r="L260" s="14"/>
      <c r="M260" s="14"/>
      <c r="N260" s="14"/>
      <c r="O260" s="14"/>
      <c r="P260" s="14"/>
      <c r="Q260" s="14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3.2">
      <c r="A261" s="14"/>
      <c r="B261" s="14"/>
      <c r="C261" s="5">
        <v>152</v>
      </c>
      <c r="D261" s="20">
        <v>43151</v>
      </c>
      <c r="E261" s="12"/>
      <c r="F261" s="12"/>
      <c r="G261" s="14"/>
      <c r="H261" s="14"/>
      <c r="I261" s="13">
        <v>42.7</v>
      </c>
      <c r="J261" s="14"/>
      <c r="K261" s="13">
        <v>59.9</v>
      </c>
      <c r="L261" s="14"/>
      <c r="M261" s="14"/>
      <c r="N261" s="14"/>
      <c r="O261" s="14"/>
      <c r="P261" s="14"/>
      <c r="Q261" s="14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3.2">
      <c r="A262" s="14"/>
      <c r="B262" s="14"/>
      <c r="C262" s="5">
        <v>159</v>
      </c>
      <c r="D262" s="20">
        <v>43158</v>
      </c>
      <c r="E262" s="12"/>
      <c r="F262" s="12"/>
      <c r="G262" s="14"/>
      <c r="H262" s="14"/>
      <c r="I262" s="13">
        <v>20.8</v>
      </c>
      <c r="J262" s="14"/>
      <c r="K262" s="13">
        <v>62.4</v>
      </c>
      <c r="L262" s="14"/>
      <c r="M262" s="14"/>
      <c r="N262" s="14"/>
      <c r="O262" s="14"/>
      <c r="P262" s="14"/>
      <c r="Q262" s="14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3.2">
      <c r="A263" s="14"/>
      <c r="B263" s="14"/>
      <c r="C263" s="5">
        <v>166</v>
      </c>
      <c r="D263" s="20">
        <v>43165</v>
      </c>
      <c r="E263" s="12"/>
      <c r="F263" s="12"/>
      <c r="G263" s="14"/>
      <c r="H263" s="14"/>
      <c r="I263" s="13">
        <v>70.8</v>
      </c>
      <c r="J263" s="14"/>
      <c r="K263" s="13">
        <v>63.4</v>
      </c>
      <c r="L263" s="14"/>
      <c r="M263" s="14"/>
      <c r="N263" s="14"/>
      <c r="O263" s="14"/>
      <c r="P263" s="14"/>
      <c r="Q263" s="14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3.2">
      <c r="A264" s="14"/>
      <c r="B264" s="14"/>
      <c r="C264" s="5">
        <v>173</v>
      </c>
      <c r="D264" s="20">
        <v>43172</v>
      </c>
      <c r="E264" s="12"/>
      <c r="F264" s="12"/>
      <c r="G264" s="14"/>
      <c r="H264" s="14"/>
      <c r="I264" s="13">
        <v>49.8</v>
      </c>
      <c r="J264" s="14"/>
      <c r="K264" s="13">
        <v>64</v>
      </c>
      <c r="L264" s="14"/>
      <c r="M264" s="14"/>
      <c r="N264" s="14"/>
      <c r="O264" s="14"/>
      <c r="P264" s="14"/>
      <c r="Q264" s="14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3.2">
      <c r="A265" s="14"/>
      <c r="B265" s="14"/>
      <c r="C265" s="14"/>
      <c r="D265" s="20"/>
      <c r="E265" s="12"/>
      <c r="F265" s="12"/>
      <c r="G265" s="14"/>
      <c r="H265" s="14"/>
      <c r="I265" s="15"/>
      <c r="J265" s="14"/>
      <c r="K265" s="15"/>
      <c r="L265" s="14"/>
      <c r="M265" s="14"/>
      <c r="N265" s="14"/>
      <c r="O265" s="14"/>
      <c r="P265" s="14"/>
      <c r="Q265" s="14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39.6">
      <c r="A266" s="14"/>
      <c r="B266" s="5" t="s">
        <v>60</v>
      </c>
      <c r="C266" s="97">
        <f t="shared" ref="C266:C293" si="94">1+C265</f>
        <v>1</v>
      </c>
      <c r="D266" s="98">
        <v>43192</v>
      </c>
      <c r="E266" s="12"/>
      <c r="F266" s="12"/>
      <c r="G266" s="14"/>
      <c r="H266" s="14"/>
      <c r="I266" s="15"/>
      <c r="J266" s="14"/>
      <c r="K266" s="105">
        <v>56.4</v>
      </c>
      <c r="L266" s="14"/>
      <c r="M266" s="14"/>
      <c r="N266" s="14"/>
      <c r="O266" s="14"/>
      <c r="P266" s="14"/>
      <c r="Q266" s="14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3.2">
      <c r="A267" s="14"/>
      <c r="B267" s="14"/>
      <c r="C267" s="97">
        <f t="shared" si="94"/>
        <v>2</v>
      </c>
      <c r="D267" s="98">
        <v>43193</v>
      </c>
      <c r="E267" s="12"/>
      <c r="F267" s="12"/>
      <c r="G267" s="14"/>
      <c r="H267" s="14"/>
      <c r="I267" s="15"/>
      <c r="J267" s="14"/>
      <c r="K267" s="105">
        <v>54.4</v>
      </c>
      <c r="L267" s="14"/>
      <c r="M267" s="14"/>
      <c r="N267" s="14"/>
      <c r="O267" s="14"/>
      <c r="P267" s="14"/>
      <c r="Q267" s="14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3.2">
      <c r="A268" s="14"/>
      <c r="B268" s="14"/>
      <c r="C268" s="97">
        <f t="shared" si="94"/>
        <v>3</v>
      </c>
      <c r="D268" s="98">
        <v>43194</v>
      </c>
      <c r="E268" s="12"/>
      <c r="F268" s="12"/>
      <c r="G268" s="14"/>
      <c r="H268" s="14"/>
      <c r="I268" s="15"/>
      <c r="J268" s="14"/>
      <c r="K268" s="105">
        <v>52.8</v>
      </c>
      <c r="L268" s="14"/>
      <c r="M268" s="14"/>
      <c r="N268" s="14"/>
      <c r="O268" s="14"/>
      <c r="P268" s="14"/>
      <c r="Q268" s="14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3.2">
      <c r="A269" s="14"/>
      <c r="B269" s="14"/>
      <c r="C269" s="97">
        <f t="shared" si="94"/>
        <v>4</v>
      </c>
      <c r="D269" s="98">
        <v>43195</v>
      </c>
      <c r="E269" s="12"/>
      <c r="F269" s="12"/>
      <c r="G269" s="14"/>
      <c r="H269" s="14"/>
      <c r="I269" s="15"/>
      <c r="J269" s="14"/>
      <c r="K269" s="105">
        <v>51.9</v>
      </c>
      <c r="L269" s="14"/>
      <c r="M269" s="14"/>
      <c r="N269" s="14"/>
      <c r="O269" s="14"/>
      <c r="P269" s="14"/>
      <c r="Q269" s="14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3.2">
      <c r="A270" s="14"/>
      <c r="B270" s="14"/>
      <c r="C270" s="97">
        <f t="shared" si="94"/>
        <v>5</v>
      </c>
      <c r="D270" s="98">
        <v>43196</v>
      </c>
      <c r="E270" s="12"/>
      <c r="F270" s="12"/>
      <c r="G270" s="14"/>
      <c r="H270" s="14"/>
      <c r="I270" s="15"/>
      <c r="J270" s="14"/>
      <c r="K270" s="105">
        <v>50.1</v>
      </c>
      <c r="L270" s="14"/>
      <c r="M270" s="14"/>
      <c r="N270" s="14"/>
      <c r="O270" s="14"/>
      <c r="P270" s="14"/>
      <c r="Q270" s="14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3.2">
      <c r="A271" s="14"/>
      <c r="B271" s="14"/>
      <c r="C271" s="97">
        <f t="shared" si="94"/>
        <v>6</v>
      </c>
      <c r="D271" s="98">
        <v>43197</v>
      </c>
      <c r="E271" s="12"/>
      <c r="F271" s="12"/>
      <c r="G271" s="14"/>
      <c r="H271" s="14"/>
      <c r="I271" s="15"/>
      <c r="J271" s="14"/>
      <c r="K271" s="105">
        <v>49.1</v>
      </c>
      <c r="L271" s="14"/>
      <c r="M271" s="14"/>
      <c r="N271" s="14"/>
      <c r="O271" s="14"/>
      <c r="P271" s="14"/>
      <c r="Q271" s="14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3.2">
      <c r="A272" s="14"/>
      <c r="B272" s="14"/>
      <c r="C272" s="97">
        <f t="shared" si="94"/>
        <v>7</v>
      </c>
      <c r="D272" s="98">
        <v>43198</v>
      </c>
      <c r="E272" s="12"/>
      <c r="F272" s="12"/>
      <c r="G272" s="14"/>
      <c r="H272" s="14"/>
      <c r="I272" s="15"/>
      <c r="J272" s="14"/>
      <c r="K272" s="105">
        <v>48.2</v>
      </c>
      <c r="L272" s="14"/>
      <c r="M272" s="14"/>
      <c r="N272" s="14"/>
      <c r="O272" s="14"/>
      <c r="P272" s="14"/>
      <c r="Q272" s="14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3.2">
      <c r="A273" s="14"/>
      <c r="B273" s="14"/>
      <c r="C273" s="97">
        <f t="shared" si="94"/>
        <v>8</v>
      </c>
      <c r="D273" s="98">
        <v>43199</v>
      </c>
      <c r="E273" s="12"/>
      <c r="F273" s="12"/>
      <c r="G273" s="14"/>
      <c r="H273" s="14"/>
      <c r="I273" s="15"/>
      <c r="J273" s="14"/>
      <c r="K273" s="105">
        <v>46.5</v>
      </c>
      <c r="L273" s="14"/>
      <c r="M273" s="14"/>
      <c r="N273" s="14"/>
      <c r="O273" s="14"/>
      <c r="P273" s="14"/>
      <c r="Q273" s="14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3.2">
      <c r="A274" s="14"/>
      <c r="B274" s="14"/>
      <c r="C274" s="97">
        <f t="shared" si="94"/>
        <v>9</v>
      </c>
      <c r="D274" s="98">
        <v>43200</v>
      </c>
      <c r="E274" s="12"/>
      <c r="F274" s="12"/>
      <c r="G274" s="14"/>
      <c r="H274" s="14"/>
      <c r="I274" s="15"/>
      <c r="J274" s="14"/>
      <c r="K274" s="105">
        <v>45.9</v>
      </c>
      <c r="L274" s="14"/>
      <c r="M274" s="14"/>
      <c r="N274" s="14"/>
      <c r="O274" s="14"/>
      <c r="P274" s="14"/>
      <c r="Q274" s="14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3.2">
      <c r="A275" s="14"/>
      <c r="B275" s="14"/>
      <c r="C275" s="97">
        <f t="shared" si="94"/>
        <v>10</v>
      </c>
      <c r="D275" s="98">
        <v>43201</v>
      </c>
      <c r="E275" s="12"/>
      <c r="F275" s="12"/>
      <c r="G275" s="14"/>
      <c r="H275" s="14"/>
      <c r="I275" s="15"/>
      <c r="J275" s="14"/>
      <c r="K275" s="105">
        <v>44</v>
      </c>
      <c r="L275" s="14"/>
      <c r="M275" s="14"/>
      <c r="N275" s="14"/>
      <c r="O275" s="14"/>
      <c r="P275" s="14"/>
      <c r="Q275" s="14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3.2">
      <c r="A276" s="14"/>
      <c r="B276" s="14"/>
      <c r="C276" s="97">
        <f t="shared" si="94"/>
        <v>11</v>
      </c>
      <c r="D276" s="98">
        <v>43202</v>
      </c>
      <c r="E276" s="12"/>
      <c r="F276" s="12"/>
      <c r="G276" s="14"/>
      <c r="H276" s="14"/>
      <c r="I276" s="15"/>
      <c r="J276" s="14"/>
      <c r="K276" s="105">
        <v>43.2</v>
      </c>
      <c r="L276" s="14"/>
      <c r="M276" s="14"/>
      <c r="N276" s="14"/>
      <c r="O276" s="14"/>
      <c r="P276" s="14"/>
      <c r="Q276" s="14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3.2">
      <c r="A277" s="14"/>
      <c r="B277" s="14"/>
      <c r="C277" s="97">
        <f t="shared" si="94"/>
        <v>12</v>
      </c>
      <c r="D277" s="98">
        <v>43203</v>
      </c>
      <c r="E277" s="12"/>
      <c r="F277" s="12"/>
      <c r="G277" s="14"/>
      <c r="H277" s="14"/>
      <c r="I277" s="15"/>
      <c r="J277" s="14"/>
      <c r="K277" s="105">
        <v>42.6</v>
      </c>
      <c r="L277" s="14"/>
      <c r="M277" s="14"/>
      <c r="N277" s="14"/>
      <c r="O277" s="14"/>
      <c r="P277" s="14"/>
      <c r="Q277" s="14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3.2">
      <c r="A278" s="14"/>
      <c r="B278" s="14"/>
      <c r="C278" s="97">
        <f t="shared" si="94"/>
        <v>13</v>
      </c>
      <c r="D278" s="98">
        <v>43204</v>
      </c>
      <c r="E278" s="12"/>
      <c r="F278" s="12"/>
      <c r="G278" s="14"/>
      <c r="H278" s="14"/>
      <c r="I278" s="15"/>
      <c r="J278" s="14"/>
      <c r="K278" s="105">
        <v>41.7</v>
      </c>
      <c r="L278" s="14"/>
      <c r="M278" s="14"/>
      <c r="N278" s="14"/>
      <c r="O278" s="14"/>
      <c r="P278" s="14"/>
      <c r="Q278" s="14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3.2">
      <c r="A279" s="14"/>
      <c r="B279" s="14"/>
      <c r="C279" s="97">
        <f t="shared" si="94"/>
        <v>14</v>
      </c>
      <c r="D279" s="98">
        <v>43205</v>
      </c>
      <c r="E279" s="12"/>
      <c r="F279" s="12"/>
      <c r="G279" s="14"/>
      <c r="H279" s="14"/>
      <c r="I279" s="15"/>
      <c r="J279" s="14"/>
      <c r="K279" s="105">
        <v>41</v>
      </c>
      <c r="L279" s="14"/>
      <c r="M279" s="14"/>
      <c r="N279" s="14"/>
      <c r="O279" s="14"/>
      <c r="P279" s="14"/>
      <c r="Q279" s="14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3.2">
      <c r="A280" s="14"/>
      <c r="B280" s="14"/>
      <c r="C280" s="97">
        <f t="shared" si="94"/>
        <v>15</v>
      </c>
      <c r="D280" s="98">
        <v>43206</v>
      </c>
      <c r="E280" s="12"/>
      <c r="F280" s="12"/>
      <c r="G280" s="14"/>
      <c r="H280" s="14"/>
      <c r="I280" s="15"/>
      <c r="J280" s="14"/>
      <c r="K280" s="105">
        <v>40.299999999999997</v>
      </c>
      <c r="L280" s="14"/>
      <c r="M280" s="14"/>
      <c r="N280" s="14"/>
      <c r="O280" s="14"/>
      <c r="P280" s="14"/>
      <c r="Q280" s="14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3.2">
      <c r="A281" s="14"/>
      <c r="B281" s="14"/>
      <c r="C281" s="97">
        <f t="shared" si="94"/>
        <v>16</v>
      </c>
      <c r="D281" s="98">
        <v>43207</v>
      </c>
      <c r="E281" s="12"/>
      <c r="F281" s="12"/>
      <c r="G281" s="14"/>
      <c r="H281" s="14"/>
      <c r="I281" s="15"/>
      <c r="J281" s="14"/>
      <c r="K281" s="105">
        <v>39.200000000000003</v>
      </c>
      <c r="L281" s="14"/>
      <c r="M281" s="14"/>
      <c r="N281" s="14"/>
      <c r="O281" s="14"/>
      <c r="P281" s="14"/>
      <c r="Q281" s="14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3.2">
      <c r="A282" s="14"/>
      <c r="B282" s="14"/>
      <c r="C282" s="97">
        <f t="shared" si="94"/>
        <v>17</v>
      </c>
      <c r="D282" s="98">
        <v>43208</v>
      </c>
      <c r="E282" s="12"/>
      <c r="F282" s="12"/>
      <c r="G282" s="14"/>
      <c r="H282" s="14"/>
      <c r="I282" s="15"/>
      <c r="J282" s="14"/>
      <c r="K282" s="105">
        <v>38.799999999999997</v>
      </c>
      <c r="L282" s="14"/>
      <c r="M282" s="14"/>
      <c r="N282" s="14"/>
      <c r="O282" s="14"/>
      <c r="P282" s="14"/>
      <c r="Q282" s="14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3.2">
      <c r="A283" s="14"/>
      <c r="B283" s="14"/>
      <c r="C283" s="97">
        <f t="shared" si="94"/>
        <v>18</v>
      </c>
      <c r="D283" s="98">
        <v>43209</v>
      </c>
      <c r="E283" s="12"/>
      <c r="F283" s="12"/>
      <c r="G283" s="14"/>
      <c r="H283" s="14"/>
      <c r="I283" s="15"/>
      <c r="J283" s="14"/>
      <c r="K283" s="105">
        <v>37.700000000000003</v>
      </c>
      <c r="L283" s="14"/>
      <c r="M283" s="14"/>
      <c r="N283" s="14"/>
      <c r="O283" s="14"/>
      <c r="P283" s="14"/>
      <c r="Q283" s="14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3.2">
      <c r="A284" s="14"/>
      <c r="B284" s="14"/>
      <c r="C284" s="97">
        <f t="shared" si="94"/>
        <v>19</v>
      </c>
      <c r="D284" s="98">
        <v>43210</v>
      </c>
      <c r="E284" s="12"/>
      <c r="F284" s="12"/>
      <c r="G284" s="14"/>
      <c r="H284" s="14"/>
      <c r="I284" s="15"/>
      <c r="J284" s="14"/>
      <c r="K284" s="105">
        <v>37</v>
      </c>
      <c r="L284" s="14"/>
      <c r="M284" s="14"/>
      <c r="N284" s="14"/>
      <c r="O284" s="14"/>
      <c r="P284" s="14"/>
      <c r="Q284" s="14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3.2">
      <c r="A285" s="14"/>
      <c r="B285" s="14"/>
      <c r="C285" s="97">
        <f t="shared" si="94"/>
        <v>20</v>
      </c>
      <c r="D285" s="98">
        <v>43211</v>
      </c>
      <c r="E285" s="12"/>
      <c r="F285" s="12"/>
      <c r="G285" s="14"/>
      <c r="H285" s="14"/>
      <c r="I285" s="15"/>
      <c r="J285" s="14"/>
      <c r="K285" s="105">
        <v>36.4</v>
      </c>
      <c r="L285" s="14"/>
      <c r="M285" s="14"/>
      <c r="N285" s="14"/>
      <c r="O285" s="14"/>
      <c r="P285" s="14"/>
      <c r="Q285" s="14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3.2">
      <c r="A286" s="14"/>
      <c r="B286" s="14"/>
      <c r="C286" s="97">
        <f t="shared" si="94"/>
        <v>21</v>
      </c>
      <c r="D286" s="98">
        <v>43212</v>
      </c>
      <c r="E286" s="12"/>
      <c r="F286" s="12"/>
      <c r="G286" s="14"/>
      <c r="H286" s="14"/>
      <c r="I286" s="15"/>
      <c r="J286" s="14"/>
      <c r="K286" s="105">
        <v>35.4</v>
      </c>
      <c r="L286" s="14"/>
      <c r="M286" s="14"/>
      <c r="N286" s="14"/>
      <c r="O286" s="14"/>
      <c r="P286" s="14"/>
      <c r="Q286" s="14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3.2">
      <c r="A287" s="14"/>
      <c r="B287" s="14"/>
      <c r="C287" s="97">
        <f t="shared" si="94"/>
        <v>22</v>
      </c>
      <c r="D287" s="98">
        <v>43213</v>
      </c>
      <c r="E287" s="12"/>
      <c r="F287" s="12"/>
      <c r="G287" s="14"/>
      <c r="H287" s="14"/>
      <c r="I287" s="15"/>
      <c r="J287" s="14"/>
      <c r="K287" s="105">
        <v>34.9</v>
      </c>
      <c r="L287" s="14"/>
      <c r="M287" s="14"/>
      <c r="N287" s="14"/>
      <c r="O287" s="14"/>
      <c r="P287" s="14"/>
      <c r="Q287" s="14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3.2">
      <c r="A288" s="14"/>
      <c r="B288" s="14"/>
      <c r="C288" s="97">
        <f t="shared" si="94"/>
        <v>23</v>
      </c>
      <c r="D288" s="98">
        <v>43214</v>
      </c>
      <c r="E288" s="12"/>
      <c r="F288" s="12"/>
      <c r="G288" s="14"/>
      <c r="H288" s="14"/>
      <c r="I288" s="15"/>
      <c r="J288" s="14"/>
      <c r="K288" s="105">
        <v>33.700000000000003</v>
      </c>
      <c r="L288" s="14"/>
      <c r="M288" s="14"/>
      <c r="N288" s="14"/>
      <c r="O288" s="14"/>
      <c r="P288" s="14"/>
      <c r="Q288" s="14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3.2">
      <c r="A289" s="14"/>
      <c r="B289" s="14"/>
      <c r="C289" s="97">
        <f t="shared" si="94"/>
        <v>24</v>
      </c>
      <c r="D289" s="98">
        <v>43215</v>
      </c>
      <c r="E289" s="12"/>
      <c r="F289" s="12"/>
      <c r="G289" s="14"/>
      <c r="H289" s="14"/>
      <c r="I289" s="15"/>
      <c r="J289" s="14"/>
      <c r="K289" s="105">
        <v>33.700000000000003</v>
      </c>
      <c r="L289" s="14"/>
      <c r="M289" s="14"/>
      <c r="N289" s="14"/>
      <c r="O289" s="14"/>
      <c r="P289" s="14"/>
      <c r="Q289" s="14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3.2">
      <c r="A290" s="14"/>
      <c r="B290" s="14"/>
      <c r="C290" s="97">
        <f t="shared" si="94"/>
        <v>25</v>
      </c>
      <c r="D290" s="98">
        <v>43216</v>
      </c>
      <c r="E290" s="12"/>
      <c r="F290" s="12"/>
      <c r="G290" s="14"/>
      <c r="H290" s="14"/>
      <c r="I290" s="15"/>
      <c r="J290" s="14"/>
      <c r="K290" s="105" t="s">
        <v>75</v>
      </c>
      <c r="L290" s="14"/>
      <c r="M290" s="14"/>
      <c r="N290" s="14"/>
      <c r="O290" s="14"/>
      <c r="P290" s="14"/>
      <c r="Q290" s="14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3.2">
      <c r="A291" s="14"/>
      <c r="B291" s="14"/>
      <c r="C291" s="97">
        <f t="shared" si="94"/>
        <v>26</v>
      </c>
      <c r="D291" s="98">
        <v>43217</v>
      </c>
      <c r="E291" s="12"/>
      <c r="F291" s="12"/>
      <c r="G291" s="14"/>
      <c r="H291" s="14"/>
      <c r="I291" s="15"/>
      <c r="J291" s="14"/>
      <c r="K291" s="105">
        <v>31.3</v>
      </c>
      <c r="L291" s="14"/>
      <c r="M291" s="14"/>
      <c r="N291" s="14"/>
      <c r="O291" s="14"/>
      <c r="P291" s="14"/>
      <c r="Q291" s="14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3.2">
      <c r="A292" s="14"/>
      <c r="B292" s="14"/>
      <c r="C292" s="97">
        <f t="shared" si="94"/>
        <v>27</v>
      </c>
      <c r="D292" s="98">
        <v>43218</v>
      </c>
      <c r="E292" s="12"/>
      <c r="F292" s="12"/>
      <c r="G292" s="14"/>
      <c r="H292" s="14"/>
      <c r="I292" s="15"/>
      <c r="J292" s="14"/>
      <c r="K292" s="105">
        <v>36.5</v>
      </c>
      <c r="L292" s="14"/>
      <c r="M292" s="14"/>
      <c r="N292" s="14"/>
      <c r="O292" s="14"/>
      <c r="P292" s="14"/>
      <c r="Q292" s="14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3.2">
      <c r="A293" s="14"/>
      <c r="B293" s="14"/>
      <c r="C293" s="97">
        <f t="shared" si="94"/>
        <v>28</v>
      </c>
      <c r="D293" s="98">
        <v>43219</v>
      </c>
      <c r="E293" s="12"/>
      <c r="F293" s="12"/>
      <c r="G293" s="14"/>
      <c r="H293" s="14"/>
      <c r="I293" s="15"/>
      <c r="J293" s="14"/>
      <c r="K293" s="105" t="s">
        <v>63</v>
      </c>
      <c r="L293" s="14"/>
      <c r="M293" s="14"/>
      <c r="N293" s="14"/>
      <c r="O293" s="14"/>
      <c r="P293" s="14"/>
      <c r="Q293" s="14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3.2">
      <c r="A294" s="14"/>
      <c r="B294" s="14"/>
      <c r="C294" s="14"/>
      <c r="D294" s="20"/>
      <c r="E294" s="12"/>
      <c r="F294" s="12"/>
      <c r="G294" s="14"/>
      <c r="H294" s="14"/>
      <c r="I294" s="15"/>
      <c r="J294" s="14"/>
      <c r="K294" s="15"/>
      <c r="L294" s="14"/>
      <c r="M294" s="14"/>
      <c r="N294" s="14"/>
      <c r="O294" s="14"/>
      <c r="P294" s="14"/>
      <c r="Q294" s="14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3.2">
      <c r="A295" s="14"/>
      <c r="B295" s="14"/>
      <c r="C295" s="14"/>
      <c r="D295" s="20"/>
      <c r="E295" s="12"/>
      <c r="F295" s="12"/>
      <c r="G295" s="14"/>
      <c r="H295" s="14"/>
      <c r="I295" s="15"/>
      <c r="J295" s="14"/>
      <c r="K295" s="15"/>
      <c r="L295" s="14"/>
      <c r="M295" s="14"/>
      <c r="N295" s="14"/>
      <c r="O295" s="14"/>
      <c r="P295" s="14"/>
      <c r="Q295" s="14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3.2">
      <c r="A296" s="14"/>
      <c r="B296" s="14"/>
      <c r="C296" s="14"/>
      <c r="D296" s="20"/>
      <c r="E296" s="12"/>
      <c r="F296" s="12"/>
      <c r="G296" s="14"/>
      <c r="H296" s="14"/>
      <c r="I296" s="15"/>
      <c r="J296" s="14"/>
      <c r="K296" s="15"/>
      <c r="L296" s="14"/>
      <c r="M296" s="14"/>
      <c r="N296" s="14"/>
      <c r="O296" s="14"/>
      <c r="P296" s="14"/>
      <c r="Q296" s="14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3.2">
      <c r="A297" s="14"/>
      <c r="B297" s="14"/>
      <c r="C297" s="14"/>
      <c r="D297" s="20"/>
      <c r="E297" s="12"/>
      <c r="F297" s="12"/>
      <c r="G297" s="14"/>
      <c r="H297" s="14"/>
      <c r="I297" s="15"/>
      <c r="J297" s="14"/>
      <c r="K297" s="15"/>
      <c r="L297" s="14"/>
      <c r="M297" s="14"/>
      <c r="N297" s="14"/>
      <c r="O297" s="14"/>
      <c r="P297" s="14"/>
      <c r="Q297" s="14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3.2">
      <c r="A298" s="14"/>
      <c r="B298" s="14"/>
      <c r="C298" s="14"/>
      <c r="D298" s="20"/>
      <c r="E298" s="12"/>
      <c r="F298" s="12"/>
      <c r="G298" s="14"/>
      <c r="H298" s="14"/>
      <c r="I298" s="15"/>
      <c r="J298" s="14"/>
      <c r="K298" s="15"/>
      <c r="L298" s="14"/>
      <c r="M298" s="14"/>
      <c r="N298" s="14"/>
      <c r="O298" s="14"/>
      <c r="P298" s="14"/>
      <c r="Q298" s="14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3.2">
      <c r="A299" s="14"/>
      <c r="B299" s="14"/>
      <c r="C299" s="14"/>
      <c r="D299" s="20"/>
      <c r="E299" s="12"/>
      <c r="F299" s="12"/>
      <c r="G299" s="14"/>
      <c r="H299" s="14"/>
      <c r="I299" s="15"/>
      <c r="J299" s="14"/>
      <c r="K299" s="15"/>
      <c r="L299" s="14"/>
      <c r="M299" s="14"/>
      <c r="N299" s="14"/>
      <c r="O299" s="14"/>
      <c r="P299" s="14"/>
      <c r="Q299" s="14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3.2">
      <c r="A300" s="14"/>
      <c r="B300" s="14"/>
      <c r="C300" s="14"/>
      <c r="D300" s="20"/>
      <c r="E300" s="12"/>
      <c r="F300" s="12"/>
      <c r="G300" s="14"/>
      <c r="H300" s="14"/>
      <c r="I300" s="15"/>
      <c r="J300" s="14"/>
      <c r="K300" s="15"/>
      <c r="L300" s="14"/>
      <c r="M300" s="14"/>
      <c r="N300" s="14"/>
      <c r="O300" s="14"/>
      <c r="P300" s="14"/>
      <c r="Q300" s="14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3.2">
      <c r="A301" s="14"/>
      <c r="B301" s="14"/>
      <c r="C301" s="14"/>
      <c r="D301" s="20"/>
      <c r="E301" s="12"/>
      <c r="F301" s="12"/>
      <c r="G301" s="14"/>
      <c r="H301" s="14"/>
      <c r="I301" s="15"/>
      <c r="J301" s="14"/>
      <c r="K301" s="15"/>
      <c r="L301" s="14"/>
      <c r="M301" s="14"/>
      <c r="N301" s="14"/>
      <c r="O301" s="14"/>
      <c r="P301" s="14"/>
      <c r="Q301" s="14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3.2">
      <c r="A302" s="14"/>
      <c r="B302" s="14"/>
      <c r="C302" s="14"/>
      <c r="D302" s="20"/>
      <c r="E302" s="12"/>
      <c r="F302" s="12"/>
      <c r="G302" s="14"/>
      <c r="H302" s="14"/>
      <c r="I302" s="15"/>
      <c r="J302" s="14"/>
      <c r="K302" s="15"/>
      <c r="L302" s="14"/>
      <c r="M302" s="14"/>
      <c r="N302" s="14"/>
      <c r="O302" s="14"/>
      <c r="P302" s="14"/>
      <c r="Q302" s="14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3.2">
      <c r="A303" s="14"/>
      <c r="B303" s="14"/>
      <c r="C303" s="14"/>
      <c r="D303" s="20"/>
      <c r="E303" s="12"/>
      <c r="F303" s="12"/>
      <c r="G303" s="14"/>
      <c r="H303" s="14"/>
      <c r="I303" s="15"/>
      <c r="J303" s="14"/>
      <c r="K303" s="15"/>
      <c r="L303" s="14"/>
      <c r="M303" s="14"/>
      <c r="N303" s="14"/>
      <c r="O303" s="14"/>
      <c r="P303" s="14"/>
      <c r="Q303" s="14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3.2">
      <c r="A304" s="14"/>
      <c r="B304" s="14"/>
      <c r="C304" s="14"/>
      <c r="D304" s="20"/>
      <c r="E304" s="12"/>
      <c r="F304" s="12"/>
      <c r="G304" s="14"/>
      <c r="H304" s="14"/>
      <c r="I304" s="15"/>
      <c r="J304" s="14"/>
      <c r="K304" s="15"/>
      <c r="L304" s="14"/>
      <c r="M304" s="14"/>
      <c r="N304" s="14"/>
      <c r="O304" s="14"/>
      <c r="P304" s="14"/>
      <c r="Q304" s="14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3.2">
      <c r="A305" s="14"/>
      <c r="B305" s="14"/>
      <c r="C305" s="14"/>
      <c r="D305" s="20"/>
      <c r="E305" s="12"/>
      <c r="F305" s="12"/>
      <c r="G305" s="14"/>
      <c r="H305" s="14"/>
      <c r="I305" s="15"/>
      <c r="J305" s="14"/>
      <c r="K305" s="15"/>
      <c r="L305" s="14"/>
      <c r="M305" s="14"/>
      <c r="N305" s="14"/>
      <c r="O305" s="14"/>
      <c r="P305" s="14"/>
      <c r="Q305" s="14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3.2">
      <c r="A306" s="14"/>
      <c r="B306" s="14"/>
      <c r="C306" s="14"/>
      <c r="D306" s="20"/>
      <c r="E306" s="12"/>
      <c r="F306" s="12"/>
      <c r="G306" s="14"/>
      <c r="H306" s="14"/>
      <c r="I306" s="15"/>
      <c r="J306" s="14"/>
      <c r="K306" s="15"/>
      <c r="L306" s="14"/>
      <c r="M306" s="14"/>
      <c r="N306" s="14"/>
      <c r="O306" s="14"/>
      <c r="P306" s="14"/>
      <c r="Q306" s="14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3.2">
      <c r="A307" s="14"/>
      <c r="B307" s="14"/>
      <c r="C307" s="14"/>
      <c r="D307" s="20"/>
      <c r="E307" s="12"/>
      <c r="F307" s="12"/>
      <c r="G307" s="14"/>
      <c r="H307" s="14"/>
      <c r="I307" s="15"/>
      <c r="J307" s="14"/>
      <c r="K307" s="15"/>
      <c r="L307" s="14"/>
      <c r="M307" s="14"/>
      <c r="N307" s="14"/>
      <c r="O307" s="14"/>
      <c r="P307" s="14"/>
      <c r="Q307" s="14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3.2">
      <c r="A308" s="14"/>
      <c r="B308" s="14"/>
      <c r="C308" s="14"/>
      <c r="D308" s="20"/>
      <c r="E308" s="12"/>
      <c r="F308" s="12"/>
      <c r="G308" s="14"/>
      <c r="H308" s="14"/>
      <c r="I308" s="15"/>
      <c r="J308" s="14"/>
      <c r="K308" s="15"/>
      <c r="L308" s="14"/>
      <c r="M308" s="14"/>
      <c r="N308" s="14"/>
      <c r="O308" s="14"/>
      <c r="P308" s="14"/>
      <c r="Q308" s="14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3.2">
      <c r="A309" s="14"/>
      <c r="B309" s="14"/>
      <c r="C309" s="14"/>
      <c r="D309" s="20"/>
      <c r="E309" s="12"/>
      <c r="F309" s="12"/>
      <c r="G309" s="14"/>
      <c r="H309" s="14"/>
      <c r="I309" s="15"/>
      <c r="J309" s="14"/>
      <c r="K309" s="15"/>
      <c r="L309" s="14"/>
      <c r="M309" s="14"/>
      <c r="N309" s="14"/>
      <c r="O309" s="14"/>
      <c r="P309" s="14"/>
      <c r="Q309" s="14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3.2">
      <c r="A310" s="14"/>
      <c r="B310" s="14"/>
      <c r="C310" s="14"/>
      <c r="D310" s="20"/>
      <c r="E310" s="12"/>
      <c r="F310" s="12"/>
      <c r="G310" s="14"/>
      <c r="H310" s="14"/>
      <c r="I310" s="15"/>
      <c r="J310" s="14"/>
      <c r="K310" s="15"/>
      <c r="L310" s="14"/>
      <c r="M310" s="14"/>
      <c r="N310" s="14"/>
      <c r="O310" s="14"/>
      <c r="P310" s="14"/>
      <c r="Q310" s="14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3.2">
      <c r="A311" s="14"/>
      <c r="B311" s="14"/>
      <c r="C311" s="14"/>
      <c r="D311" s="20"/>
      <c r="E311" s="12"/>
      <c r="F311" s="12"/>
      <c r="G311" s="14"/>
      <c r="H311" s="14"/>
      <c r="I311" s="15"/>
      <c r="J311" s="14"/>
      <c r="K311" s="15"/>
      <c r="L311" s="14"/>
      <c r="M311" s="14"/>
      <c r="N311" s="14"/>
      <c r="O311" s="14"/>
      <c r="P311" s="14"/>
      <c r="Q311" s="14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3.2">
      <c r="A312" s="14"/>
      <c r="B312" s="14"/>
      <c r="C312" s="14"/>
      <c r="D312" s="20"/>
      <c r="E312" s="12"/>
      <c r="F312" s="12"/>
      <c r="G312" s="14"/>
      <c r="H312" s="14"/>
      <c r="I312" s="15"/>
      <c r="J312" s="14"/>
      <c r="K312" s="15"/>
      <c r="L312" s="14"/>
      <c r="M312" s="14"/>
      <c r="N312" s="14"/>
      <c r="O312" s="14"/>
      <c r="P312" s="14"/>
      <c r="Q312" s="14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3.2">
      <c r="A313" s="14"/>
      <c r="B313" s="14"/>
      <c r="C313" s="14"/>
      <c r="D313" s="20"/>
      <c r="E313" s="12"/>
      <c r="F313" s="12"/>
      <c r="G313" s="14"/>
      <c r="H313" s="14"/>
      <c r="I313" s="15"/>
      <c r="J313" s="14"/>
      <c r="K313" s="15"/>
      <c r="L313" s="14"/>
      <c r="M313" s="14"/>
      <c r="N313" s="14"/>
      <c r="O313" s="14"/>
      <c r="P313" s="14"/>
      <c r="Q313" s="14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3.2">
      <c r="A314" s="14"/>
      <c r="B314" s="14"/>
      <c r="C314" s="14"/>
      <c r="D314" s="20"/>
      <c r="E314" s="12"/>
      <c r="F314" s="12"/>
      <c r="G314" s="14"/>
      <c r="H314" s="14"/>
      <c r="I314" s="15"/>
      <c r="J314" s="14"/>
      <c r="K314" s="15"/>
      <c r="L314" s="14"/>
      <c r="M314" s="14"/>
      <c r="N314" s="14"/>
      <c r="O314" s="14"/>
      <c r="P314" s="14"/>
      <c r="Q314" s="14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3.2">
      <c r="A315" s="14"/>
      <c r="B315" s="14"/>
      <c r="C315" s="14"/>
      <c r="D315" s="20"/>
      <c r="E315" s="12"/>
      <c r="F315" s="12"/>
      <c r="G315" s="14"/>
      <c r="H315" s="14"/>
      <c r="I315" s="15"/>
      <c r="J315" s="14"/>
      <c r="K315" s="15"/>
      <c r="L315" s="14"/>
      <c r="M315" s="14"/>
      <c r="N315" s="14"/>
      <c r="O315" s="14"/>
      <c r="P315" s="14"/>
      <c r="Q315" s="14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3.2">
      <c r="A316" s="14"/>
      <c r="B316" s="14"/>
      <c r="C316" s="14"/>
      <c r="D316" s="20"/>
      <c r="E316" s="12"/>
      <c r="F316" s="12"/>
      <c r="G316" s="14"/>
      <c r="H316" s="14"/>
      <c r="I316" s="15"/>
      <c r="J316" s="14"/>
      <c r="K316" s="15"/>
      <c r="L316" s="14"/>
      <c r="M316" s="14"/>
      <c r="N316" s="14"/>
      <c r="O316" s="14"/>
      <c r="P316" s="14"/>
      <c r="Q316" s="14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3.2">
      <c r="A317" s="14"/>
      <c r="B317" s="14"/>
      <c r="C317" s="14"/>
      <c r="D317" s="20"/>
      <c r="E317" s="12"/>
      <c r="F317" s="12"/>
      <c r="G317" s="14"/>
      <c r="H317" s="14"/>
      <c r="I317" s="15"/>
      <c r="J317" s="14"/>
      <c r="K317" s="15"/>
      <c r="L317" s="14"/>
      <c r="M317" s="14"/>
      <c r="N317" s="14"/>
      <c r="O317" s="14"/>
      <c r="P317" s="14"/>
      <c r="Q317" s="14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3.2">
      <c r="A318" s="14"/>
      <c r="B318" s="14"/>
      <c r="C318" s="14"/>
      <c r="D318" s="20"/>
      <c r="E318" s="12"/>
      <c r="F318" s="12"/>
      <c r="G318" s="14"/>
      <c r="H318" s="14"/>
      <c r="I318" s="15"/>
      <c r="J318" s="14"/>
      <c r="K318" s="15"/>
      <c r="L318" s="14"/>
      <c r="M318" s="14"/>
      <c r="N318" s="14"/>
      <c r="O318" s="14"/>
      <c r="P318" s="14"/>
      <c r="Q318" s="14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3.2">
      <c r="A319" s="14"/>
      <c r="B319" s="14"/>
      <c r="C319" s="14"/>
      <c r="D319" s="20"/>
      <c r="E319" s="12"/>
      <c r="F319" s="12"/>
      <c r="G319" s="14"/>
      <c r="H319" s="14"/>
      <c r="I319" s="15"/>
      <c r="J319" s="14"/>
      <c r="K319" s="15"/>
      <c r="L319" s="14"/>
      <c r="M319" s="14"/>
      <c r="N319" s="14"/>
      <c r="O319" s="14"/>
      <c r="P319" s="14"/>
      <c r="Q319" s="14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3.2">
      <c r="A320" s="14"/>
      <c r="B320" s="14"/>
      <c r="C320" s="14"/>
      <c r="D320" s="20"/>
      <c r="E320" s="12"/>
      <c r="F320" s="12"/>
      <c r="G320" s="14"/>
      <c r="H320" s="14"/>
      <c r="I320" s="15"/>
      <c r="J320" s="14"/>
      <c r="K320" s="15"/>
      <c r="L320" s="14"/>
      <c r="M320" s="14"/>
      <c r="N320" s="14"/>
      <c r="O320" s="14"/>
      <c r="P320" s="14"/>
      <c r="Q320" s="14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3.2">
      <c r="A321" s="14"/>
      <c r="B321" s="14"/>
      <c r="C321" s="14"/>
      <c r="D321" s="20"/>
      <c r="E321" s="12"/>
      <c r="F321" s="12"/>
      <c r="G321" s="14"/>
      <c r="H321" s="14"/>
      <c r="I321" s="15"/>
      <c r="J321" s="14"/>
      <c r="K321" s="15"/>
      <c r="L321" s="14"/>
      <c r="M321" s="14"/>
      <c r="N321" s="14"/>
      <c r="O321" s="14"/>
      <c r="P321" s="14"/>
      <c r="Q321" s="14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3.2">
      <c r="A322" s="14"/>
      <c r="B322" s="14"/>
      <c r="C322" s="14"/>
      <c r="D322" s="20"/>
      <c r="E322" s="12"/>
      <c r="F322" s="12"/>
      <c r="G322" s="14"/>
      <c r="H322" s="14"/>
      <c r="I322" s="15"/>
      <c r="J322" s="14"/>
      <c r="K322" s="15"/>
      <c r="L322" s="14"/>
      <c r="M322" s="14"/>
      <c r="N322" s="14"/>
      <c r="O322" s="14"/>
      <c r="P322" s="14"/>
      <c r="Q322" s="14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3.2">
      <c r="A323" s="14"/>
      <c r="B323" s="14"/>
      <c r="C323" s="14"/>
      <c r="D323" s="20"/>
      <c r="E323" s="12"/>
      <c r="F323" s="12"/>
      <c r="G323" s="14"/>
      <c r="H323" s="14"/>
      <c r="I323" s="15"/>
      <c r="J323" s="14"/>
      <c r="K323" s="15"/>
      <c r="L323" s="14"/>
      <c r="M323" s="14"/>
      <c r="N323" s="14"/>
      <c r="O323" s="14"/>
      <c r="P323" s="14"/>
      <c r="Q323" s="14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3.2">
      <c r="A324" s="14"/>
      <c r="B324" s="14"/>
      <c r="C324" s="14"/>
      <c r="D324" s="20"/>
      <c r="E324" s="12"/>
      <c r="F324" s="12"/>
      <c r="G324" s="14"/>
      <c r="H324" s="14"/>
      <c r="I324" s="15"/>
      <c r="J324" s="14"/>
      <c r="K324" s="15"/>
      <c r="L324" s="14"/>
      <c r="M324" s="14"/>
      <c r="N324" s="14"/>
      <c r="O324" s="14"/>
      <c r="P324" s="14"/>
      <c r="Q324" s="14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3.2">
      <c r="A325" s="14"/>
      <c r="B325" s="14"/>
      <c r="C325" s="14"/>
      <c r="D325" s="20"/>
      <c r="E325" s="12"/>
      <c r="F325" s="12"/>
      <c r="G325" s="14"/>
      <c r="H325" s="14"/>
      <c r="I325" s="15"/>
      <c r="J325" s="14"/>
      <c r="K325" s="15"/>
      <c r="L325" s="14"/>
      <c r="M325" s="14"/>
      <c r="N325" s="14"/>
      <c r="O325" s="14"/>
      <c r="P325" s="14"/>
      <c r="Q325" s="14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3.2">
      <c r="A326" s="14"/>
      <c r="B326" s="14"/>
      <c r="C326" s="14"/>
      <c r="D326" s="20"/>
      <c r="E326" s="12"/>
      <c r="F326" s="12"/>
      <c r="G326" s="14"/>
      <c r="H326" s="14"/>
      <c r="I326" s="15"/>
      <c r="J326" s="14"/>
      <c r="K326" s="15"/>
      <c r="L326" s="14"/>
      <c r="M326" s="14"/>
      <c r="N326" s="14"/>
      <c r="O326" s="14"/>
      <c r="P326" s="14"/>
      <c r="Q326" s="14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3.2">
      <c r="A327" s="14"/>
      <c r="B327" s="14"/>
      <c r="C327" s="14"/>
      <c r="D327" s="20"/>
      <c r="E327" s="12"/>
      <c r="F327" s="12"/>
      <c r="G327" s="14"/>
      <c r="H327" s="14"/>
      <c r="I327" s="15"/>
      <c r="J327" s="14"/>
      <c r="K327" s="15"/>
      <c r="L327" s="14"/>
      <c r="M327" s="14"/>
      <c r="N327" s="14"/>
      <c r="O327" s="14"/>
      <c r="P327" s="14"/>
      <c r="Q327" s="14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3.2">
      <c r="A328" s="14"/>
      <c r="B328" s="14"/>
      <c r="C328" s="14"/>
      <c r="D328" s="20"/>
      <c r="E328" s="12"/>
      <c r="F328" s="12"/>
      <c r="G328" s="14"/>
      <c r="H328" s="14"/>
      <c r="I328" s="15"/>
      <c r="J328" s="14"/>
      <c r="K328" s="15"/>
      <c r="L328" s="14"/>
      <c r="M328" s="14"/>
      <c r="N328" s="14"/>
      <c r="O328" s="14"/>
      <c r="P328" s="14"/>
      <c r="Q328" s="14"/>
      <c r="R328" s="7"/>
      <c r="S328" s="7"/>
      <c r="T328" s="73">
        <f>I329-I333</f>
        <v>27.5</v>
      </c>
      <c r="U328" s="7"/>
      <c r="V328" s="7">
        <f>SUM(U328:U329)</f>
        <v>1427.9</v>
      </c>
      <c r="W328" s="7"/>
      <c r="X328" s="7"/>
      <c r="Y328" s="7"/>
      <c r="Z328" s="7"/>
      <c r="AA328" s="7"/>
    </row>
    <row r="329" spans="1:27" ht="26.4">
      <c r="A329" s="169" t="s">
        <v>129</v>
      </c>
      <c r="B329" s="5">
        <v>0</v>
      </c>
      <c r="C329" s="5">
        <v>0</v>
      </c>
      <c r="D329" s="9">
        <v>42992</v>
      </c>
      <c r="E329" s="10">
        <v>391.7</v>
      </c>
      <c r="F329" s="11" t="s">
        <v>21</v>
      </c>
      <c r="G329" s="12">
        <f>AVERAGE(F330,F331,F332,F337)</f>
        <v>5.6583333333333314</v>
      </c>
      <c r="H329" s="14"/>
      <c r="I329" s="13">
        <v>107.8</v>
      </c>
      <c r="J329" s="15">
        <f t="shared" ref="J329:J332" si="95">(I329-I330)/(D330-D329)</f>
        <v>2.2000000000000028</v>
      </c>
      <c r="K329" s="13">
        <v>25.9</v>
      </c>
      <c r="L329" s="15">
        <f t="shared" ref="L329:L336" si="96">I329-I330</f>
        <v>2.2000000000000028</v>
      </c>
      <c r="M329" s="14"/>
      <c r="N329" s="14"/>
      <c r="O329" s="14"/>
      <c r="P329" s="14"/>
      <c r="Q329" s="14">
        <f>SUM(P329:P342)-104.4</f>
        <v>361.4</v>
      </c>
      <c r="R329" s="7"/>
      <c r="S329" s="7"/>
      <c r="T329" s="73">
        <f>I334-I341</f>
        <v>48.699999999999996</v>
      </c>
      <c r="U329" s="7">
        <f>SUM(T329:T334)*5.24</f>
        <v>1427.9</v>
      </c>
      <c r="V329" s="7"/>
      <c r="W329" s="7"/>
      <c r="X329" s="7"/>
      <c r="Y329" s="7"/>
      <c r="Z329" s="7"/>
      <c r="AA329" s="7"/>
    </row>
    <row r="330" spans="1:27" ht="13.2">
      <c r="A330" s="5" t="s">
        <v>23</v>
      </c>
      <c r="B330" s="5">
        <v>0</v>
      </c>
      <c r="C330" s="5">
        <v>0</v>
      </c>
      <c r="D330" s="9">
        <v>42993</v>
      </c>
      <c r="E330" s="10">
        <v>386.3</v>
      </c>
      <c r="F330" s="12">
        <f>E329-E330</f>
        <v>5.3999999999999773</v>
      </c>
      <c r="G330" s="14"/>
      <c r="H330" s="14"/>
      <c r="I330" s="13">
        <v>105.6</v>
      </c>
      <c r="J330" s="15">
        <f t="shared" si="95"/>
        <v>4.333333333333333</v>
      </c>
      <c r="K330" s="13">
        <v>25.9</v>
      </c>
      <c r="L330" s="15">
        <f t="shared" si="96"/>
        <v>13</v>
      </c>
      <c r="M330" s="14"/>
      <c r="N330" s="14"/>
      <c r="O330" s="14"/>
      <c r="P330" s="12">
        <f>E334-E333</f>
        <v>29.300000000000011</v>
      </c>
      <c r="Q330" s="14"/>
      <c r="R330" s="7"/>
      <c r="S330" s="7"/>
      <c r="T330" s="73">
        <f>I343-I348</f>
        <v>31.900000000000006</v>
      </c>
      <c r="U330" s="7"/>
      <c r="V330" s="7"/>
      <c r="W330" s="7"/>
      <c r="X330" s="7"/>
      <c r="Y330" s="7"/>
      <c r="Z330" s="7"/>
      <c r="AA330" s="7"/>
    </row>
    <row r="331" spans="1:27" ht="13.2">
      <c r="A331" s="14"/>
      <c r="B331" s="5">
        <v>0</v>
      </c>
      <c r="C331" s="5">
        <v>0</v>
      </c>
      <c r="D331" s="9">
        <v>42996</v>
      </c>
      <c r="E331" s="10">
        <v>365.5</v>
      </c>
      <c r="F331" s="12">
        <f t="shared" ref="F331:F333" si="97">(E330-E331)/(D331-D330)</f>
        <v>6.9333333333333371</v>
      </c>
      <c r="G331" s="14"/>
      <c r="H331" s="14"/>
      <c r="I331" s="13">
        <v>92.6</v>
      </c>
      <c r="J331" s="15">
        <f t="shared" si="95"/>
        <v>4.3999999999999986</v>
      </c>
      <c r="K331" s="13">
        <v>26.1</v>
      </c>
      <c r="L331" s="15">
        <f t="shared" si="96"/>
        <v>8.7999999999999972</v>
      </c>
      <c r="M331" s="14"/>
      <c r="N331" s="14"/>
      <c r="O331" s="14"/>
      <c r="P331" s="12">
        <f>E334-E337</f>
        <v>31.200000000000045</v>
      </c>
      <c r="Q331" s="14"/>
      <c r="R331" s="7"/>
      <c r="S331" s="7"/>
      <c r="T331" s="73">
        <f>74.8-I355</f>
        <v>38.099999999999994</v>
      </c>
      <c r="U331" s="7"/>
      <c r="V331" s="7"/>
      <c r="W331" s="7"/>
      <c r="X331" s="7"/>
      <c r="Y331" s="7"/>
      <c r="Z331" s="7"/>
      <c r="AA331" s="7"/>
    </row>
    <row r="332" spans="1:27" ht="13.2">
      <c r="A332" s="14"/>
      <c r="B332" s="5">
        <v>0</v>
      </c>
      <c r="C332" s="5">
        <v>0</v>
      </c>
      <c r="D332" s="9">
        <v>42998</v>
      </c>
      <c r="E332" s="10">
        <v>354.1</v>
      </c>
      <c r="F332" s="12">
        <f t="shared" si="97"/>
        <v>5.6999999999999886</v>
      </c>
      <c r="G332" s="14"/>
      <c r="H332" s="14"/>
      <c r="I332" s="13">
        <v>83.8</v>
      </c>
      <c r="J332" s="15">
        <f t="shared" si="95"/>
        <v>3.5</v>
      </c>
      <c r="K332" s="13">
        <v>26.7</v>
      </c>
      <c r="L332" s="15">
        <f t="shared" si="96"/>
        <v>3.5</v>
      </c>
      <c r="M332" s="14"/>
      <c r="N332" s="14"/>
      <c r="O332" s="14"/>
      <c r="P332" s="12">
        <f>E338-E341</f>
        <v>53.5</v>
      </c>
      <c r="Q332" s="14"/>
      <c r="R332" s="7"/>
      <c r="S332" s="7"/>
      <c r="T332" s="73">
        <f>61.1-I360</f>
        <v>32.400000000000006</v>
      </c>
      <c r="U332" s="7"/>
      <c r="V332" s="7"/>
      <c r="W332" s="7"/>
      <c r="X332" s="7"/>
      <c r="Y332" s="7"/>
      <c r="Z332" s="7"/>
      <c r="AA332" s="7"/>
    </row>
    <row r="333" spans="1:27" ht="13.2">
      <c r="A333" s="14"/>
      <c r="B333" s="5">
        <v>0</v>
      </c>
      <c r="C333" s="5">
        <v>0</v>
      </c>
      <c r="D333" s="17">
        <v>42999</v>
      </c>
      <c r="E333" s="10">
        <v>346.3</v>
      </c>
      <c r="F333" s="12">
        <f t="shared" si="97"/>
        <v>7.8000000000000114</v>
      </c>
      <c r="G333" s="14"/>
      <c r="H333" s="14"/>
      <c r="I333" s="13">
        <v>80.3</v>
      </c>
      <c r="J333" s="15">
        <f>(I332-I333)/(D333-D332)</f>
        <v>3.5</v>
      </c>
      <c r="K333" s="13">
        <v>26.4</v>
      </c>
      <c r="L333" s="15">
        <f t="shared" si="96"/>
        <v>-4.5</v>
      </c>
      <c r="M333" s="14"/>
      <c r="N333" s="14"/>
      <c r="O333" s="14"/>
      <c r="P333" s="12">
        <f>E342-E345</f>
        <v>30.800000000000011</v>
      </c>
      <c r="Q333" s="14"/>
      <c r="R333" s="7"/>
      <c r="S333" s="7"/>
      <c r="T333" s="73">
        <f>86.4-I368</f>
        <v>51.7</v>
      </c>
      <c r="U333" s="7"/>
      <c r="V333" s="7"/>
      <c r="W333" s="7"/>
      <c r="X333" s="7"/>
      <c r="Y333" s="7"/>
      <c r="Z333" s="7"/>
      <c r="AA333" s="7"/>
    </row>
    <row r="334" spans="1:27" ht="13.2">
      <c r="A334" s="14"/>
      <c r="B334" s="5">
        <v>0.5</v>
      </c>
      <c r="C334" s="5">
        <v>0</v>
      </c>
      <c r="D334" s="17">
        <v>42999</v>
      </c>
      <c r="E334" s="10">
        <v>375.6</v>
      </c>
      <c r="F334" s="12"/>
      <c r="G334" s="14"/>
      <c r="H334" s="14"/>
      <c r="I334" s="13">
        <v>84.8</v>
      </c>
      <c r="J334" s="15"/>
      <c r="K334" s="13"/>
      <c r="L334" s="15">
        <f t="shared" si="96"/>
        <v>5.2000000000000028</v>
      </c>
      <c r="M334" s="14"/>
      <c r="N334" s="14"/>
      <c r="O334" s="14"/>
      <c r="P334" s="12">
        <f>E346-E349</f>
        <v>37.800000000000011</v>
      </c>
      <c r="Q334" s="14"/>
      <c r="R334" s="7"/>
      <c r="S334" s="7"/>
      <c r="T334" s="73">
        <f>84.3-I382</f>
        <v>69.7</v>
      </c>
      <c r="U334" s="7"/>
      <c r="V334" s="7"/>
      <c r="W334" s="7"/>
      <c r="X334" s="7"/>
      <c r="Y334" s="7"/>
      <c r="Z334" s="7"/>
      <c r="AA334" s="7"/>
    </row>
    <row r="335" spans="1:27" ht="13.2">
      <c r="A335" s="14"/>
      <c r="B335" s="5">
        <v>0.5</v>
      </c>
      <c r="C335" s="5">
        <f t="shared" ref="C335:C390" si="98">D335-$D$7</f>
        <v>1</v>
      </c>
      <c r="D335" s="17">
        <v>43000</v>
      </c>
      <c r="E335" s="10">
        <v>370.1</v>
      </c>
      <c r="F335" s="12">
        <f t="shared" ref="F335:F337" si="99">(E334-E335)/(D335-D334)</f>
        <v>5.5</v>
      </c>
      <c r="G335" s="14"/>
      <c r="H335" s="14"/>
      <c r="I335" s="13">
        <v>79.599999999999994</v>
      </c>
      <c r="J335" s="15">
        <f t="shared" ref="J335:J337" si="100">(I334-I335)/(D335-D334)</f>
        <v>5.2000000000000028</v>
      </c>
      <c r="K335" s="13">
        <v>28.3</v>
      </c>
      <c r="L335" s="15">
        <f t="shared" si="96"/>
        <v>11.299999999999997</v>
      </c>
      <c r="M335" s="14"/>
      <c r="N335" s="14"/>
      <c r="O335" s="14"/>
      <c r="P335" s="12">
        <f>E350-E353</f>
        <v>33.899999999999977</v>
      </c>
      <c r="Q335" s="14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3.2">
      <c r="A336" s="14"/>
      <c r="B336" s="5">
        <v>0.5</v>
      </c>
      <c r="C336" s="5">
        <f t="shared" si="98"/>
        <v>4</v>
      </c>
      <c r="D336" s="9">
        <v>43003</v>
      </c>
      <c r="E336" s="10">
        <v>353.6</v>
      </c>
      <c r="F336" s="12">
        <f t="shared" si="99"/>
        <v>5.5</v>
      </c>
      <c r="G336" s="14"/>
      <c r="H336" s="14"/>
      <c r="I336" s="13">
        <v>68.3</v>
      </c>
      <c r="J336" s="15">
        <f t="shared" si="100"/>
        <v>3.7666666666666657</v>
      </c>
      <c r="K336" s="13">
        <v>30</v>
      </c>
      <c r="L336" s="15">
        <f t="shared" si="96"/>
        <v>9.5</v>
      </c>
      <c r="M336" s="14"/>
      <c r="N336" s="14"/>
      <c r="O336" s="14"/>
      <c r="P336" s="12">
        <f>E354-E357</f>
        <v>36.099999999999966</v>
      </c>
      <c r="Q336" s="14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3.2">
      <c r="A337" s="14"/>
      <c r="B337" s="5">
        <v>0.5</v>
      </c>
      <c r="C337" s="5">
        <f t="shared" si="98"/>
        <v>6</v>
      </c>
      <c r="D337" s="9">
        <v>43005</v>
      </c>
      <c r="E337" s="10">
        <v>344.4</v>
      </c>
      <c r="F337" s="12">
        <f t="shared" si="99"/>
        <v>4.6000000000000227</v>
      </c>
      <c r="G337" s="14"/>
      <c r="H337" s="14"/>
      <c r="I337" s="13">
        <v>58.8</v>
      </c>
      <c r="J337" s="15">
        <f t="shared" si="100"/>
        <v>4.75</v>
      </c>
      <c r="K337" s="13">
        <v>30.8</v>
      </c>
      <c r="L337" s="14"/>
      <c r="M337" s="14"/>
      <c r="N337" s="14"/>
      <c r="O337" s="14"/>
      <c r="P337" s="12">
        <f>E358-E361</f>
        <v>29.800000000000011</v>
      </c>
      <c r="Q337" s="14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3.2">
      <c r="A338" s="14"/>
      <c r="B338" s="170">
        <v>1</v>
      </c>
      <c r="C338" s="5">
        <f t="shared" si="98"/>
        <v>6</v>
      </c>
      <c r="D338" s="9">
        <v>43005</v>
      </c>
      <c r="E338" s="10">
        <v>341</v>
      </c>
      <c r="F338" s="11"/>
      <c r="G338" s="14"/>
      <c r="H338" s="14"/>
      <c r="I338" s="13" t="s">
        <v>318</v>
      </c>
      <c r="J338" s="15"/>
      <c r="K338" s="13"/>
      <c r="L338" s="14"/>
      <c r="M338" s="14"/>
      <c r="N338" s="14"/>
      <c r="O338" s="14"/>
      <c r="P338" s="12">
        <f>E362-E365</f>
        <v>32.900000000000034</v>
      </c>
      <c r="Q338" s="14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3.2">
      <c r="A339" s="14"/>
      <c r="B339" s="5">
        <v>1</v>
      </c>
      <c r="C339" s="5">
        <f t="shared" si="98"/>
        <v>8</v>
      </c>
      <c r="D339" s="9">
        <v>43007</v>
      </c>
      <c r="E339" s="10">
        <v>326.2</v>
      </c>
      <c r="F339" s="12">
        <f t="shared" ref="F339:F341" si="101">(E338-E339)/(D339-D338)</f>
        <v>7.4000000000000057</v>
      </c>
      <c r="G339" s="14"/>
      <c r="H339" s="14"/>
      <c r="I339" s="13">
        <v>52.2</v>
      </c>
      <c r="J339" s="15">
        <f>(I337-I339)/(D339-D337)</f>
        <v>3.2999999999999972</v>
      </c>
      <c r="K339" s="13">
        <v>31.5</v>
      </c>
      <c r="L339" s="15">
        <f>I337-I339</f>
        <v>6.5999999999999943</v>
      </c>
      <c r="M339" s="14"/>
      <c r="N339" s="14"/>
      <c r="O339" s="14"/>
      <c r="P339" s="12">
        <f>E366-E368</f>
        <v>26.800000000000011</v>
      </c>
      <c r="Q339" s="14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3.2">
      <c r="A340" s="14"/>
      <c r="B340" s="5">
        <v>1</v>
      </c>
      <c r="C340" s="5">
        <f t="shared" si="98"/>
        <v>11</v>
      </c>
      <c r="D340" s="19">
        <v>43010</v>
      </c>
      <c r="E340" s="11">
        <v>307.60000000000002</v>
      </c>
      <c r="F340" s="12">
        <f t="shared" si="101"/>
        <v>6.1999999999999886</v>
      </c>
      <c r="G340" s="14"/>
      <c r="H340" s="14"/>
      <c r="I340" s="13">
        <v>42.4</v>
      </c>
      <c r="J340" s="15">
        <f t="shared" ref="J340:J341" si="102">(I339-I340)/(D340-D339)</f>
        <v>3.2666666666666679</v>
      </c>
      <c r="K340" s="13">
        <v>32.9</v>
      </c>
      <c r="L340" s="15">
        <f t="shared" ref="L340:L341" si="103">I339-I340</f>
        <v>9.8000000000000043</v>
      </c>
      <c r="M340" s="14"/>
      <c r="N340" s="14"/>
      <c r="O340" s="14"/>
      <c r="P340" s="12">
        <f>E369-E374</f>
        <v>47.199999999999989</v>
      </c>
      <c r="Q340" s="14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3.2">
      <c r="A341" s="14"/>
      <c r="B341" s="5">
        <v>1</v>
      </c>
      <c r="C341" s="5">
        <f t="shared" si="98"/>
        <v>13</v>
      </c>
      <c r="D341" s="19">
        <v>43012</v>
      </c>
      <c r="E341" s="11">
        <v>287.5</v>
      </c>
      <c r="F341" s="12">
        <f t="shared" si="101"/>
        <v>10.050000000000011</v>
      </c>
      <c r="G341" s="14"/>
      <c r="H341" s="14"/>
      <c r="I341" s="13">
        <v>36.1</v>
      </c>
      <c r="J341" s="15">
        <f t="shared" si="102"/>
        <v>3.1499999999999986</v>
      </c>
      <c r="K341" s="13">
        <v>33.700000000000003</v>
      </c>
      <c r="L341" s="15">
        <f t="shared" si="103"/>
        <v>6.2999999999999972</v>
      </c>
      <c r="M341" s="14"/>
      <c r="N341" s="14"/>
      <c r="O341" s="14"/>
      <c r="P341" s="12">
        <f>E375-E378</f>
        <v>41.399999999999977</v>
      </c>
      <c r="Q341" s="14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3.2">
      <c r="A342" s="14"/>
      <c r="B342" s="5">
        <v>2</v>
      </c>
      <c r="C342" s="5">
        <f t="shared" si="98"/>
        <v>14</v>
      </c>
      <c r="D342" s="20">
        <v>43013</v>
      </c>
      <c r="E342" s="11">
        <v>368.3</v>
      </c>
      <c r="F342" s="11"/>
      <c r="G342" s="14"/>
      <c r="H342" s="14"/>
      <c r="I342" s="13" t="s">
        <v>24</v>
      </c>
      <c r="J342" s="15"/>
      <c r="K342" s="13"/>
      <c r="L342" s="14"/>
      <c r="M342" s="14"/>
      <c r="N342" s="14"/>
      <c r="O342" s="14"/>
      <c r="P342" s="12">
        <f>E379-E382</f>
        <v>35.099999999999966</v>
      </c>
      <c r="Q342" s="14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3.2">
      <c r="A343" s="14"/>
      <c r="B343" s="5">
        <v>2</v>
      </c>
      <c r="C343" s="5">
        <f t="shared" si="98"/>
        <v>15</v>
      </c>
      <c r="D343" s="20">
        <v>43014</v>
      </c>
      <c r="E343" s="11">
        <v>361.7</v>
      </c>
      <c r="F343" s="12">
        <f t="shared" ref="F343:F345" si="104">(E342-E343)/(D343-D342)</f>
        <v>6.6000000000000227</v>
      </c>
      <c r="G343" s="14"/>
      <c r="H343" s="14"/>
      <c r="I343" s="13">
        <v>75.900000000000006</v>
      </c>
      <c r="J343" s="15">
        <f>(82.7-I343)/(D343-D341)</f>
        <v>3.3999999999999986</v>
      </c>
      <c r="K343" s="13">
        <v>34.5</v>
      </c>
      <c r="L343" s="14"/>
      <c r="M343" s="14"/>
      <c r="N343" s="14"/>
      <c r="O343" s="14"/>
      <c r="P343" s="14"/>
      <c r="Q343" s="14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3.2">
      <c r="A344" s="14"/>
      <c r="B344" s="5">
        <v>2</v>
      </c>
      <c r="C344" s="5">
        <f t="shared" si="98"/>
        <v>18</v>
      </c>
      <c r="D344" s="20">
        <v>43017</v>
      </c>
      <c r="E344" s="11">
        <v>349.3</v>
      </c>
      <c r="F344" s="12">
        <f t="shared" si="104"/>
        <v>4.1333333333333258</v>
      </c>
      <c r="G344" s="14"/>
      <c r="H344" s="14"/>
      <c r="I344" s="13">
        <v>66.099999999999994</v>
      </c>
      <c r="J344" s="15">
        <f t="shared" ref="J344:J345" si="105">(I343-I344)/(D344-D343)</f>
        <v>3.2666666666666706</v>
      </c>
      <c r="K344" s="13">
        <v>36.200000000000003</v>
      </c>
      <c r="L344" s="15">
        <f t="shared" ref="L344:L345" si="106">I343-I344</f>
        <v>9.8000000000000114</v>
      </c>
      <c r="M344" s="14"/>
      <c r="N344" s="14"/>
      <c r="O344" s="14"/>
      <c r="P344" s="14"/>
      <c r="Q344" s="14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3.2">
      <c r="A345" s="14"/>
      <c r="B345" s="5">
        <v>2</v>
      </c>
      <c r="C345" s="5">
        <f t="shared" si="98"/>
        <v>20</v>
      </c>
      <c r="D345" s="20">
        <v>43019</v>
      </c>
      <c r="E345" s="11">
        <v>337.5</v>
      </c>
      <c r="F345" s="12">
        <f t="shared" si="104"/>
        <v>5.9000000000000057</v>
      </c>
      <c r="G345" s="14"/>
      <c r="H345" s="14"/>
      <c r="I345" s="13">
        <v>59.8</v>
      </c>
      <c r="J345" s="15">
        <f t="shared" si="105"/>
        <v>3.1499999999999986</v>
      </c>
      <c r="K345" s="13">
        <v>37.1</v>
      </c>
      <c r="L345" s="15">
        <f t="shared" si="106"/>
        <v>6.2999999999999972</v>
      </c>
      <c r="M345" s="14"/>
      <c r="N345" s="14"/>
      <c r="O345" s="14"/>
      <c r="P345" s="14"/>
      <c r="Q345" s="14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3.2">
      <c r="A346" s="14"/>
      <c r="B346" s="5">
        <v>3</v>
      </c>
      <c r="C346" s="5">
        <f t="shared" si="98"/>
        <v>21</v>
      </c>
      <c r="D346" s="20">
        <v>43020</v>
      </c>
      <c r="E346" s="11">
        <v>349.3</v>
      </c>
      <c r="F346" s="12"/>
      <c r="G346" s="14"/>
      <c r="H346" s="14"/>
      <c r="I346" s="13" t="s">
        <v>24</v>
      </c>
      <c r="J346" s="15"/>
      <c r="K346" s="15"/>
      <c r="L346" s="14"/>
      <c r="M346" s="14"/>
      <c r="N346" s="14"/>
      <c r="O346" s="14"/>
      <c r="P346" s="14"/>
      <c r="Q346" s="14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3.2">
      <c r="A347" s="14"/>
      <c r="B347" s="5">
        <v>3</v>
      </c>
      <c r="C347" s="5">
        <f t="shared" si="98"/>
        <v>22</v>
      </c>
      <c r="D347" s="20">
        <f>D345+2</f>
        <v>43021</v>
      </c>
      <c r="E347" s="11">
        <v>340.2</v>
      </c>
      <c r="F347" s="12">
        <f t="shared" ref="F347:F349" si="107">(E346-E347)/(D347-D346)</f>
        <v>9.1000000000000227</v>
      </c>
      <c r="G347" s="12">
        <f>AVERAGE(F335:F382)</f>
        <v>6.412037037037039</v>
      </c>
      <c r="H347" s="14"/>
      <c r="I347" s="13">
        <v>55.3</v>
      </c>
      <c r="J347" s="15">
        <f>(I345-I347)/(D347-D345)</f>
        <v>2.25</v>
      </c>
      <c r="K347" s="13">
        <v>37.700000000000003</v>
      </c>
      <c r="L347" s="15">
        <f>I345-I347</f>
        <v>4.5</v>
      </c>
      <c r="M347" s="14"/>
      <c r="N347" s="14"/>
      <c r="O347" s="14"/>
      <c r="P347" s="14"/>
      <c r="Q347" s="14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3.2">
      <c r="A348" s="14"/>
      <c r="B348" s="5">
        <v>3</v>
      </c>
      <c r="C348" s="5">
        <f t="shared" si="98"/>
        <v>25</v>
      </c>
      <c r="D348" s="20">
        <f>D347+3</f>
        <v>43024</v>
      </c>
      <c r="E348" s="11">
        <v>323.5</v>
      </c>
      <c r="F348" s="12">
        <f t="shared" si="107"/>
        <v>5.5666666666666629</v>
      </c>
      <c r="G348" s="14"/>
      <c r="H348" s="14"/>
      <c r="I348" s="13">
        <v>44</v>
      </c>
      <c r="J348" s="15">
        <f>(I347-I348)/(D348-D347)</f>
        <v>3.7666666666666657</v>
      </c>
      <c r="K348" s="13">
        <v>38.700000000000003</v>
      </c>
      <c r="L348" s="15">
        <f>I347-I348</f>
        <v>11.299999999999997</v>
      </c>
      <c r="M348" s="14"/>
      <c r="N348" s="14"/>
      <c r="O348" s="14"/>
      <c r="P348" s="14"/>
      <c r="Q348" s="14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3.2">
      <c r="A349" s="14"/>
      <c r="B349" s="5">
        <v>3</v>
      </c>
      <c r="C349" s="5">
        <f t="shared" si="98"/>
        <v>27</v>
      </c>
      <c r="D349" s="20">
        <f>D348+2</f>
        <v>43026</v>
      </c>
      <c r="E349" s="11">
        <v>311.5</v>
      </c>
      <c r="F349" s="12">
        <f t="shared" si="107"/>
        <v>6</v>
      </c>
      <c r="G349" s="14"/>
      <c r="H349" s="14"/>
      <c r="I349" s="13">
        <v>65.400000000000006</v>
      </c>
      <c r="J349" s="15">
        <f>(74.8-I349)/(D349-D348)</f>
        <v>4.6999999999999957</v>
      </c>
      <c r="K349" s="13">
        <v>39.6</v>
      </c>
      <c r="L349" s="15">
        <f>74.8-I349</f>
        <v>9.3999999999999915</v>
      </c>
      <c r="M349" s="14"/>
      <c r="N349" s="14"/>
      <c r="O349" s="14"/>
      <c r="P349" s="14"/>
      <c r="Q349" s="14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3.2">
      <c r="A350" s="14"/>
      <c r="B350" s="5">
        <v>4</v>
      </c>
      <c r="C350" s="5">
        <f t="shared" si="98"/>
        <v>28</v>
      </c>
      <c r="D350" s="20">
        <v>43027</v>
      </c>
      <c r="E350" s="11">
        <v>397.5</v>
      </c>
      <c r="F350" s="12"/>
      <c r="G350" s="14"/>
      <c r="H350" s="14"/>
      <c r="I350" s="15"/>
      <c r="J350" s="15"/>
      <c r="K350" s="15"/>
      <c r="L350" s="14"/>
      <c r="M350" s="14"/>
      <c r="N350" s="14"/>
      <c r="O350" s="14"/>
      <c r="P350" s="14"/>
      <c r="Q350" s="14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3.2">
      <c r="A351" s="14"/>
      <c r="B351" s="5">
        <v>4</v>
      </c>
      <c r="C351" s="5">
        <f t="shared" si="98"/>
        <v>29</v>
      </c>
      <c r="D351" s="20">
        <f>D349+2</f>
        <v>43028</v>
      </c>
      <c r="E351" s="11">
        <v>388.6</v>
      </c>
      <c r="F351" s="12">
        <f t="shared" ref="F351:F353" si="108">(E350-E351)/(D351-D350)</f>
        <v>8.8999999999999773</v>
      </c>
      <c r="G351" s="14"/>
      <c r="H351" s="14"/>
      <c r="I351" s="13">
        <v>57.6</v>
      </c>
      <c r="J351" s="15">
        <f>(I349-I351)/(D351-D349)</f>
        <v>3.9000000000000021</v>
      </c>
      <c r="K351" s="13">
        <v>40.299999999999997</v>
      </c>
      <c r="L351" s="15">
        <f>I349-I351</f>
        <v>7.8000000000000043</v>
      </c>
      <c r="M351" s="14"/>
      <c r="N351" s="14"/>
      <c r="O351" s="14"/>
      <c r="P351" s="14"/>
      <c r="Q351" s="14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3.2">
      <c r="A352" s="14"/>
      <c r="B352" s="5">
        <v>4</v>
      </c>
      <c r="C352" s="5">
        <f t="shared" si="98"/>
        <v>32</v>
      </c>
      <c r="D352" s="20">
        <v>43031</v>
      </c>
      <c r="E352" s="11">
        <v>375.2</v>
      </c>
      <c r="F352" s="12">
        <f t="shared" si="108"/>
        <v>4.4666666666666783</v>
      </c>
      <c r="G352" s="14"/>
      <c r="H352" s="14"/>
      <c r="I352" s="13">
        <v>48.1</v>
      </c>
      <c r="J352" s="15">
        <f t="shared" ref="J352:J353" si="109">(I351-I352)/(D352-D351)</f>
        <v>3.1666666666666665</v>
      </c>
      <c r="K352" s="13">
        <v>41.6</v>
      </c>
      <c r="L352" s="15">
        <f t="shared" ref="L352:L353" si="110">I351-I352</f>
        <v>9.5</v>
      </c>
      <c r="M352" s="14"/>
      <c r="N352" s="14"/>
      <c r="O352" s="14"/>
      <c r="P352" s="14"/>
      <c r="Q352" s="14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3.2">
      <c r="A353" s="14"/>
      <c r="B353" s="5">
        <v>4</v>
      </c>
      <c r="C353" s="5">
        <f t="shared" si="98"/>
        <v>34</v>
      </c>
      <c r="D353" s="20">
        <v>43033</v>
      </c>
      <c r="E353" s="11">
        <v>363.6</v>
      </c>
      <c r="F353" s="12">
        <f t="shared" si="108"/>
        <v>5.7999999999999829</v>
      </c>
      <c r="G353" s="14"/>
      <c r="H353" s="14"/>
      <c r="I353" s="13">
        <v>43</v>
      </c>
      <c r="J353" s="15">
        <f t="shared" si="109"/>
        <v>2.5500000000000007</v>
      </c>
      <c r="K353" s="13">
        <v>41.4</v>
      </c>
      <c r="L353" s="15">
        <f t="shared" si="110"/>
        <v>5.1000000000000014</v>
      </c>
      <c r="M353" s="14"/>
      <c r="N353" s="14"/>
      <c r="O353" s="14"/>
      <c r="P353" s="14"/>
      <c r="Q353" s="14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3.2">
      <c r="A354" s="14"/>
      <c r="B354" s="5">
        <v>5</v>
      </c>
      <c r="C354" s="5">
        <f t="shared" si="98"/>
        <v>35</v>
      </c>
      <c r="D354" s="20">
        <v>43034</v>
      </c>
      <c r="E354" s="11">
        <v>335.4</v>
      </c>
      <c r="F354" s="12"/>
      <c r="G354" s="14"/>
      <c r="H354" s="14"/>
      <c r="I354" s="15"/>
      <c r="J354" s="15"/>
      <c r="K354" s="15"/>
      <c r="L354" s="14"/>
      <c r="M354" s="14"/>
      <c r="N354" s="14"/>
      <c r="O354" s="14"/>
      <c r="P354" s="14"/>
      <c r="Q354" s="14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3.2">
      <c r="A355" s="14"/>
      <c r="B355" s="5">
        <v>5</v>
      </c>
      <c r="C355" s="5">
        <f t="shared" si="98"/>
        <v>36</v>
      </c>
      <c r="D355" s="20">
        <v>43035</v>
      </c>
      <c r="E355" s="11">
        <v>327.9</v>
      </c>
      <c r="F355" s="12">
        <f t="shared" ref="F355:F357" si="111">(E354-E355)/(D355-D354)</f>
        <v>7.5</v>
      </c>
      <c r="G355" s="14"/>
      <c r="H355" s="14"/>
      <c r="I355" s="13">
        <v>36.700000000000003</v>
      </c>
      <c r="J355" s="15">
        <f>(I353-I355)/(D355-D353)</f>
        <v>3.1499999999999986</v>
      </c>
      <c r="K355" s="13">
        <v>41.7</v>
      </c>
      <c r="L355" s="15">
        <f>I353-I355</f>
        <v>6.2999999999999972</v>
      </c>
      <c r="M355" s="14"/>
      <c r="N355" s="14"/>
      <c r="O355" s="14"/>
      <c r="P355" s="14"/>
      <c r="Q355" s="14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3.2">
      <c r="A356" s="14"/>
      <c r="B356" s="5">
        <v>5</v>
      </c>
      <c r="C356" s="5">
        <f t="shared" si="98"/>
        <v>39</v>
      </c>
      <c r="D356" s="20">
        <v>43038</v>
      </c>
      <c r="E356" s="11">
        <v>308.8</v>
      </c>
      <c r="F356" s="12">
        <f t="shared" si="111"/>
        <v>6.3666666666666556</v>
      </c>
      <c r="G356" s="14"/>
      <c r="H356" s="14"/>
      <c r="I356" s="13">
        <v>51.9</v>
      </c>
      <c r="J356" s="15">
        <f>(61.1-I356)/(D356-D355)</f>
        <v>3.0666666666666678</v>
      </c>
      <c r="K356" s="13">
        <v>43</v>
      </c>
      <c r="L356" s="15">
        <f>61.1-I356</f>
        <v>9.2000000000000028</v>
      </c>
      <c r="M356" s="14"/>
      <c r="N356" s="14"/>
      <c r="O356" s="14"/>
      <c r="P356" s="14"/>
      <c r="Q356" s="14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3.2">
      <c r="A357" s="14"/>
      <c r="B357" s="5">
        <v>5</v>
      </c>
      <c r="C357" s="5">
        <f t="shared" si="98"/>
        <v>41</v>
      </c>
      <c r="D357" s="20">
        <v>43040</v>
      </c>
      <c r="E357" s="11">
        <v>299.3</v>
      </c>
      <c r="F357" s="12">
        <f t="shared" si="111"/>
        <v>4.75</v>
      </c>
      <c r="G357" s="14"/>
      <c r="H357" s="14"/>
      <c r="I357" s="13">
        <v>44.9</v>
      </c>
      <c r="J357" s="15">
        <f>(I356-I357)/(D357-D356)</f>
        <v>3.5</v>
      </c>
      <c r="K357" s="13">
        <v>44.1</v>
      </c>
      <c r="L357" s="15">
        <f>I356-I357</f>
        <v>7</v>
      </c>
      <c r="M357" s="14"/>
      <c r="N357" s="14"/>
      <c r="O357" s="14"/>
      <c r="P357" s="14"/>
      <c r="Q357" s="14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3.2">
      <c r="A358" s="14"/>
      <c r="B358" s="5">
        <v>6</v>
      </c>
      <c r="C358" s="5">
        <f t="shared" si="98"/>
        <v>42</v>
      </c>
      <c r="D358" s="20">
        <v>43041</v>
      </c>
      <c r="E358" s="11">
        <v>346.6</v>
      </c>
      <c r="F358" s="12"/>
      <c r="G358" s="14"/>
      <c r="H358" s="14"/>
      <c r="I358" s="15"/>
      <c r="J358" s="14"/>
      <c r="K358" s="15"/>
      <c r="L358" s="14"/>
      <c r="M358" s="14"/>
      <c r="N358" s="14"/>
      <c r="O358" s="14"/>
      <c r="P358" s="14"/>
      <c r="Q358" s="14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3.2">
      <c r="A359" s="14"/>
      <c r="B359" s="5">
        <v>6</v>
      </c>
      <c r="C359" s="5">
        <f t="shared" si="98"/>
        <v>43</v>
      </c>
      <c r="D359" s="20">
        <v>43042</v>
      </c>
      <c r="E359" s="11">
        <v>342.1</v>
      </c>
      <c r="F359" s="12">
        <f t="shared" ref="F359:F361" si="112">(E358-E359)/(D359-D358)</f>
        <v>4.5</v>
      </c>
      <c r="G359" s="14"/>
      <c r="H359" s="14"/>
      <c r="I359" s="13">
        <v>38.4</v>
      </c>
      <c r="J359" s="15">
        <f>(I357-I359)/(D359-D357)</f>
        <v>3.25</v>
      </c>
      <c r="K359" s="13">
        <v>45.2</v>
      </c>
      <c r="L359" s="15">
        <f>I357-I359</f>
        <v>6.5</v>
      </c>
      <c r="M359" s="14"/>
      <c r="N359" s="14"/>
      <c r="O359" s="14"/>
      <c r="P359" s="14"/>
      <c r="Q359" s="14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3.2">
      <c r="A360" s="14"/>
      <c r="B360" s="5">
        <v>6</v>
      </c>
      <c r="C360" s="5">
        <f t="shared" si="98"/>
        <v>46</v>
      </c>
      <c r="D360" s="20">
        <v>43045</v>
      </c>
      <c r="E360" s="11">
        <v>326.89999999999998</v>
      </c>
      <c r="F360" s="12">
        <f t="shared" si="112"/>
        <v>5.0666666666666815</v>
      </c>
      <c r="G360" s="14"/>
      <c r="H360" s="14"/>
      <c r="I360" s="13">
        <v>28.7</v>
      </c>
      <c r="J360" s="15">
        <f>(I359-I360)/(D360-D359)</f>
        <v>3.2333333333333329</v>
      </c>
      <c r="K360" s="13">
        <v>46.8</v>
      </c>
      <c r="L360" s="15">
        <f>I359-I360</f>
        <v>9.6999999999999993</v>
      </c>
      <c r="M360" s="14"/>
      <c r="N360" s="14"/>
      <c r="O360" s="14"/>
      <c r="P360" s="14"/>
      <c r="Q360" s="14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3.2">
      <c r="A361" s="14"/>
      <c r="B361" s="5">
        <v>6</v>
      </c>
      <c r="C361" s="5">
        <f t="shared" si="98"/>
        <v>48</v>
      </c>
      <c r="D361" s="20">
        <v>43047</v>
      </c>
      <c r="E361" s="11">
        <v>316.8</v>
      </c>
      <c r="F361" s="12">
        <f t="shared" si="112"/>
        <v>5.0499999999999829</v>
      </c>
      <c r="G361" s="14"/>
      <c r="H361" s="14"/>
      <c r="I361" s="13">
        <v>76.900000000000006</v>
      </c>
      <c r="J361" s="14">
        <f>(86.4-I361)/(D361-D360)</f>
        <v>4.75</v>
      </c>
      <c r="K361" s="13">
        <v>47.3</v>
      </c>
      <c r="L361" s="15">
        <f>86.4-I361</f>
        <v>9.5</v>
      </c>
      <c r="M361" s="14"/>
      <c r="N361" s="14"/>
      <c r="O361" s="14"/>
      <c r="P361" s="14"/>
      <c r="Q361" s="14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3.2">
      <c r="A362" s="14"/>
      <c r="B362" s="5">
        <v>7</v>
      </c>
      <c r="C362" s="5">
        <f t="shared" si="98"/>
        <v>49</v>
      </c>
      <c r="D362" s="20">
        <v>43048</v>
      </c>
      <c r="E362" s="11">
        <v>343.3</v>
      </c>
      <c r="F362" s="12"/>
      <c r="G362" s="14"/>
      <c r="H362" s="14"/>
      <c r="I362" s="15"/>
      <c r="J362" s="14"/>
      <c r="K362" s="15"/>
      <c r="L362" s="14"/>
      <c r="M362" s="14"/>
      <c r="N362" s="14"/>
      <c r="O362" s="14"/>
      <c r="P362" s="14"/>
      <c r="Q362" s="14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3.2">
      <c r="A363" s="14"/>
      <c r="B363" s="5">
        <v>7</v>
      </c>
      <c r="C363" s="5">
        <f t="shared" si="98"/>
        <v>50</v>
      </c>
      <c r="D363" s="20">
        <v>43049</v>
      </c>
      <c r="E363" s="11">
        <v>334.7</v>
      </c>
      <c r="F363" s="12">
        <f t="shared" ref="F363:F365" si="113">(E362-E363)/(D363-D362)</f>
        <v>8.6000000000000227</v>
      </c>
      <c r="G363" s="14"/>
      <c r="H363" s="14"/>
      <c r="I363" s="13">
        <v>66.400000000000006</v>
      </c>
      <c r="J363" s="15">
        <f>(I361-I363)/(D363-D361)</f>
        <v>5.25</v>
      </c>
      <c r="K363" s="13">
        <v>48.4</v>
      </c>
      <c r="L363" s="15">
        <f>I361-I363</f>
        <v>10.5</v>
      </c>
      <c r="M363" s="14"/>
      <c r="N363" s="14"/>
      <c r="O363" s="14"/>
      <c r="P363" s="14"/>
      <c r="Q363" s="14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3.2">
      <c r="A364" s="14"/>
      <c r="B364" s="5">
        <v>7</v>
      </c>
      <c r="C364" s="5">
        <f t="shared" si="98"/>
        <v>53</v>
      </c>
      <c r="D364" s="20">
        <v>43052</v>
      </c>
      <c r="E364" s="11">
        <v>320.10000000000002</v>
      </c>
      <c r="F364" s="12">
        <f t="shared" si="113"/>
        <v>4.8666666666666556</v>
      </c>
      <c r="G364" s="14"/>
      <c r="H364" s="14"/>
      <c r="I364" s="13">
        <v>57.7</v>
      </c>
      <c r="J364" s="15">
        <f t="shared" ref="J364:J365" si="114">(I363-I364)/(D364-D363)</f>
        <v>2.9000000000000008</v>
      </c>
      <c r="K364" s="13">
        <v>49.5</v>
      </c>
      <c r="L364" s="15">
        <f t="shared" ref="L364:L365" si="115">I363-I364</f>
        <v>8.7000000000000028</v>
      </c>
      <c r="M364" s="14"/>
      <c r="N364" s="14"/>
      <c r="O364" s="14"/>
      <c r="P364" s="14"/>
      <c r="Q364" s="14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3.2">
      <c r="A365" s="14"/>
      <c r="B365" s="5">
        <v>7</v>
      </c>
      <c r="C365" s="5">
        <f t="shared" si="98"/>
        <v>55</v>
      </c>
      <c r="D365" s="20">
        <v>43054</v>
      </c>
      <c r="E365" s="11">
        <v>310.39999999999998</v>
      </c>
      <c r="F365" s="12">
        <f t="shared" si="113"/>
        <v>4.8500000000000227</v>
      </c>
      <c r="G365" s="14"/>
      <c r="H365" s="14"/>
      <c r="I365" s="13">
        <v>52.1</v>
      </c>
      <c r="J365" s="15">
        <f t="shared" si="114"/>
        <v>2.8000000000000007</v>
      </c>
      <c r="K365" s="13">
        <v>49.7</v>
      </c>
      <c r="L365" s="15">
        <f t="shared" si="115"/>
        <v>5.6000000000000014</v>
      </c>
      <c r="M365" s="14"/>
      <c r="N365" s="14"/>
      <c r="O365" s="14"/>
      <c r="P365" s="14"/>
      <c r="Q365" s="14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3.2">
      <c r="A366" s="14"/>
      <c r="B366" s="5">
        <v>8</v>
      </c>
      <c r="C366" s="5">
        <f t="shared" si="98"/>
        <v>56</v>
      </c>
      <c r="D366" s="20">
        <v>43055</v>
      </c>
      <c r="E366" s="11">
        <v>369.8</v>
      </c>
      <c r="F366" s="12"/>
      <c r="G366" s="14"/>
      <c r="H366" s="14"/>
      <c r="I366" s="15"/>
      <c r="J366" s="14"/>
      <c r="K366" s="15"/>
      <c r="L366" s="14"/>
      <c r="M366" s="14"/>
      <c r="N366" s="14"/>
      <c r="O366" s="14"/>
      <c r="P366" s="14"/>
      <c r="Q366" s="14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3.2">
      <c r="A367" s="14"/>
      <c r="B367" s="5">
        <v>8</v>
      </c>
      <c r="C367" s="5">
        <f t="shared" si="98"/>
        <v>57</v>
      </c>
      <c r="D367" s="20">
        <v>43056</v>
      </c>
      <c r="E367" s="11">
        <v>356.7</v>
      </c>
      <c r="F367" s="12">
        <f t="shared" ref="F367:F368" si="116">(E366-E367)/(D367-D366)</f>
        <v>13.100000000000023</v>
      </c>
      <c r="G367" s="14"/>
      <c r="H367" s="14"/>
      <c r="I367" s="13">
        <v>43.7</v>
      </c>
      <c r="J367" s="15">
        <f>(I365-I367)/(D367-D365)</f>
        <v>4.1999999999999993</v>
      </c>
      <c r="K367" s="13">
        <v>49.8</v>
      </c>
      <c r="L367" s="15">
        <f>I365-I367</f>
        <v>8.3999999999999986</v>
      </c>
      <c r="M367" s="14"/>
      <c r="N367" s="14"/>
      <c r="O367" s="14"/>
      <c r="P367" s="14"/>
      <c r="Q367" s="14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3.2">
      <c r="A368" s="14"/>
      <c r="B368" s="5">
        <v>8</v>
      </c>
      <c r="C368" s="5">
        <f t="shared" si="98"/>
        <v>60</v>
      </c>
      <c r="D368" s="20">
        <v>43059</v>
      </c>
      <c r="E368" s="11">
        <v>343</v>
      </c>
      <c r="F368" s="12">
        <f t="shared" si="116"/>
        <v>4.5666666666666629</v>
      </c>
      <c r="G368" s="14"/>
      <c r="H368" s="14"/>
      <c r="I368" s="13">
        <v>34.700000000000003</v>
      </c>
      <c r="J368" s="15">
        <f>(I367-I368)/(D368-D367)</f>
        <v>3</v>
      </c>
      <c r="K368" s="13">
        <v>51</v>
      </c>
      <c r="L368" s="15">
        <f>I367-I368</f>
        <v>9</v>
      </c>
      <c r="M368" s="14"/>
      <c r="N368" s="14"/>
      <c r="O368" s="14"/>
      <c r="P368" s="14"/>
      <c r="Q368" s="14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3.2">
      <c r="A369" s="14"/>
      <c r="B369" s="5">
        <v>8</v>
      </c>
      <c r="C369" s="5">
        <f t="shared" si="98"/>
        <v>61</v>
      </c>
      <c r="D369" s="20">
        <v>43060</v>
      </c>
      <c r="E369" s="11">
        <v>359.3</v>
      </c>
      <c r="F369" s="12"/>
      <c r="G369" s="14"/>
      <c r="H369" s="14"/>
      <c r="I369" s="15"/>
      <c r="J369" s="14"/>
      <c r="K369" s="15"/>
      <c r="L369" s="14"/>
      <c r="M369" s="14"/>
      <c r="N369" s="14"/>
      <c r="O369" s="14"/>
      <c r="P369" s="14"/>
      <c r="Q369" s="14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3.2">
      <c r="A370" s="14"/>
      <c r="B370" s="5">
        <v>8</v>
      </c>
      <c r="C370" s="5">
        <f t="shared" si="98"/>
        <v>62</v>
      </c>
      <c r="D370" s="20">
        <v>43061</v>
      </c>
      <c r="E370" s="11">
        <v>349.4</v>
      </c>
      <c r="F370" s="12">
        <f>(E369-E370)/(D370-D369)</f>
        <v>9.9000000000000341</v>
      </c>
      <c r="G370" s="14"/>
      <c r="H370" s="14"/>
      <c r="I370" s="13">
        <v>77</v>
      </c>
      <c r="J370" s="14">
        <f>(84.3-I370)/(D370-D369)</f>
        <v>7.2999999999999972</v>
      </c>
      <c r="K370" s="13">
        <v>50.6</v>
      </c>
      <c r="L370" s="13">
        <f>84.3-I370</f>
        <v>7.2999999999999972</v>
      </c>
      <c r="M370" s="14"/>
      <c r="N370" s="14"/>
      <c r="O370" s="14"/>
      <c r="P370" s="14"/>
      <c r="Q370" s="14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3.2">
      <c r="A371" s="14"/>
      <c r="B371" s="5">
        <v>9</v>
      </c>
      <c r="C371" s="5">
        <f t="shared" si="98"/>
        <v>63</v>
      </c>
      <c r="D371" s="20">
        <v>43062</v>
      </c>
      <c r="E371" s="11"/>
      <c r="F371" s="12"/>
      <c r="G371" s="14"/>
      <c r="H371" s="14"/>
      <c r="I371" s="13"/>
      <c r="J371" s="15"/>
      <c r="K371" s="13"/>
      <c r="L371" s="14"/>
      <c r="M371" s="14"/>
      <c r="N371" s="14"/>
      <c r="O371" s="14"/>
      <c r="P371" s="14"/>
      <c r="Q371" s="14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3.2">
      <c r="A372" s="14"/>
      <c r="B372" s="5">
        <v>9</v>
      </c>
      <c r="C372" s="5">
        <f t="shared" si="98"/>
        <v>64</v>
      </c>
      <c r="D372" s="20">
        <v>43063</v>
      </c>
      <c r="E372" s="11">
        <v>338.5</v>
      </c>
      <c r="F372" s="12">
        <f>(E370-E372)/(D372-D370)</f>
        <v>5.4499999999999886</v>
      </c>
      <c r="G372" s="14"/>
      <c r="H372" s="14"/>
      <c r="I372" s="13">
        <v>71.2</v>
      </c>
      <c r="J372" s="15">
        <f>(I370-I372)/(D372-D370)</f>
        <v>2.8999999999999986</v>
      </c>
      <c r="K372" s="13">
        <v>50.8</v>
      </c>
      <c r="L372" s="15">
        <f>I370-I372</f>
        <v>5.7999999999999972</v>
      </c>
      <c r="M372" s="14"/>
      <c r="N372" s="14"/>
      <c r="O372" s="14"/>
      <c r="P372" s="14"/>
      <c r="Q372" s="14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3.2">
      <c r="A373" s="14"/>
      <c r="B373" s="5">
        <v>9</v>
      </c>
      <c r="C373" s="5">
        <f t="shared" si="98"/>
        <v>67</v>
      </c>
      <c r="D373" s="20">
        <v>43066</v>
      </c>
      <c r="E373" s="11">
        <v>323.2</v>
      </c>
      <c r="F373" s="12">
        <f t="shared" ref="F373:F374" si="117">(E372-E373)/(D373-D372)</f>
        <v>5.1000000000000041</v>
      </c>
      <c r="G373" s="14"/>
      <c r="H373" s="14"/>
      <c r="I373" s="13">
        <v>62.3</v>
      </c>
      <c r="J373" s="15">
        <f t="shared" ref="J373:J374" si="118">(I372-I373)/(D373-D372)</f>
        <v>2.9666666666666686</v>
      </c>
      <c r="K373" s="13">
        <v>51.5</v>
      </c>
      <c r="L373" s="15">
        <f t="shared" ref="L373:L374" si="119">I372-I373</f>
        <v>8.9000000000000057</v>
      </c>
      <c r="M373" s="14"/>
      <c r="N373" s="14"/>
      <c r="O373" s="14"/>
      <c r="P373" s="14"/>
      <c r="Q373" s="14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3.2">
      <c r="A374" s="14"/>
      <c r="B374" s="5">
        <v>9</v>
      </c>
      <c r="C374" s="5">
        <f t="shared" si="98"/>
        <v>69</v>
      </c>
      <c r="D374" s="20">
        <v>43068</v>
      </c>
      <c r="E374" s="11">
        <v>312.10000000000002</v>
      </c>
      <c r="F374" s="12">
        <f t="shared" si="117"/>
        <v>5.5499999999999829</v>
      </c>
      <c r="G374" s="14"/>
      <c r="H374" s="14"/>
      <c r="I374" s="13">
        <v>56.5</v>
      </c>
      <c r="J374" s="15">
        <f t="shared" si="118"/>
        <v>2.8999999999999986</v>
      </c>
      <c r="K374" s="13">
        <v>51.6</v>
      </c>
      <c r="L374" s="15">
        <f t="shared" si="119"/>
        <v>5.7999999999999972</v>
      </c>
      <c r="M374" s="14"/>
      <c r="N374" s="14"/>
      <c r="O374" s="14"/>
      <c r="P374" s="14"/>
      <c r="Q374" s="14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3.2">
      <c r="A375" s="14"/>
      <c r="B375" s="5">
        <v>10</v>
      </c>
      <c r="C375" s="5">
        <f t="shared" si="98"/>
        <v>70</v>
      </c>
      <c r="D375" s="20">
        <v>43069</v>
      </c>
      <c r="E375" s="11">
        <v>345.2</v>
      </c>
      <c r="F375" s="12"/>
      <c r="G375" s="14"/>
      <c r="H375" s="14"/>
      <c r="I375" s="15"/>
      <c r="J375" s="14"/>
      <c r="K375" s="15"/>
      <c r="L375" s="14"/>
      <c r="M375" s="14"/>
      <c r="N375" s="14"/>
      <c r="O375" s="14"/>
      <c r="P375" s="14"/>
      <c r="Q375" s="14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3.2">
      <c r="A376" s="14"/>
      <c r="B376" s="5">
        <v>10</v>
      </c>
      <c r="C376" s="5">
        <f t="shared" si="98"/>
        <v>71</v>
      </c>
      <c r="D376" s="20">
        <v>43070</v>
      </c>
      <c r="E376" s="11">
        <v>337.4</v>
      </c>
      <c r="F376" s="12">
        <f t="shared" ref="F376:F378" si="120">(E375-E376)/(D376-D375)</f>
        <v>7.8000000000000114</v>
      </c>
      <c r="G376" s="14"/>
      <c r="H376" s="14"/>
      <c r="I376" s="13">
        <v>50</v>
      </c>
      <c r="J376" s="15">
        <f>(I374-I376)/(D376-D374)</f>
        <v>3.25</v>
      </c>
      <c r="K376" s="13">
        <v>51.9</v>
      </c>
      <c r="L376" s="15">
        <f>I374-I376</f>
        <v>6.5</v>
      </c>
      <c r="M376" s="14"/>
      <c r="N376" s="14"/>
      <c r="O376" s="14"/>
      <c r="P376" s="14"/>
      <c r="Q376" s="14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3.2">
      <c r="A377" s="14"/>
      <c r="B377" s="5">
        <v>10</v>
      </c>
      <c r="C377" s="5">
        <f t="shared" si="98"/>
        <v>74</v>
      </c>
      <c r="D377" s="20">
        <v>43073</v>
      </c>
      <c r="E377" s="11">
        <v>321.3</v>
      </c>
      <c r="F377" s="12">
        <f t="shared" si="120"/>
        <v>5.3666666666666556</v>
      </c>
      <c r="G377" s="14"/>
      <c r="H377" s="14"/>
      <c r="I377" s="13">
        <v>41.6</v>
      </c>
      <c r="J377" s="15">
        <f t="shared" ref="J377:J378" si="121">(I376-I377)/(D377-D376)</f>
        <v>2.7999999999999994</v>
      </c>
      <c r="K377" s="13">
        <v>51.6</v>
      </c>
      <c r="L377" s="15">
        <f t="shared" ref="L377:L378" si="122">I376-I377</f>
        <v>8.3999999999999986</v>
      </c>
      <c r="M377" s="14"/>
      <c r="N377" s="14"/>
      <c r="O377" s="14"/>
      <c r="P377" s="14"/>
      <c r="Q377" s="14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3.2">
      <c r="A378" s="14"/>
      <c r="B378" s="5">
        <v>10</v>
      </c>
      <c r="C378" s="5">
        <f t="shared" si="98"/>
        <v>76</v>
      </c>
      <c r="D378" s="20">
        <v>43075</v>
      </c>
      <c r="E378" s="11">
        <v>303.8</v>
      </c>
      <c r="F378" s="12">
        <f t="shared" si="120"/>
        <v>8.75</v>
      </c>
      <c r="G378" s="14"/>
      <c r="H378" s="14"/>
      <c r="I378" s="13">
        <v>35.799999999999997</v>
      </c>
      <c r="J378" s="15">
        <f t="shared" si="121"/>
        <v>2.9000000000000021</v>
      </c>
      <c r="K378" s="13">
        <v>52</v>
      </c>
      <c r="L378" s="15">
        <f t="shared" si="122"/>
        <v>5.8000000000000043</v>
      </c>
      <c r="M378" s="14"/>
      <c r="N378" s="14"/>
      <c r="O378" s="14"/>
      <c r="P378" s="14"/>
      <c r="Q378" s="14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3.2">
      <c r="A379" s="14"/>
      <c r="B379" s="5">
        <v>11</v>
      </c>
      <c r="C379" s="5">
        <f t="shared" si="98"/>
        <v>77</v>
      </c>
      <c r="D379" s="24">
        <v>43076</v>
      </c>
      <c r="E379" s="11">
        <v>373.7</v>
      </c>
      <c r="F379" s="12"/>
      <c r="G379" s="14"/>
      <c r="H379" s="14"/>
      <c r="I379" s="15"/>
      <c r="J379" s="14"/>
      <c r="K379" s="15"/>
      <c r="L379" s="14"/>
      <c r="M379" s="14"/>
      <c r="N379" s="14"/>
      <c r="O379" s="14"/>
      <c r="P379" s="14"/>
      <c r="Q379" s="14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3.2">
      <c r="A380" s="14"/>
      <c r="B380" s="5">
        <v>11</v>
      </c>
      <c r="C380" s="5">
        <f t="shared" si="98"/>
        <v>78</v>
      </c>
      <c r="D380" s="24">
        <v>43077</v>
      </c>
      <c r="E380" s="11">
        <v>367.7</v>
      </c>
      <c r="F380" s="12">
        <f t="shared" ref="F380:F382" si="123">(E379-E380)/(D380-D379)</f>
        <v>6</v>
      </c>
      <c r="G380" s="14"/>
      <c r="H380" s="14"/>
      <c r="I380" s="13">
        <v>28.9</v>
      </c>
      <c r="J380" s="15">
        <f>(I378-I380)/(D380-D378)</f>
        <v>3.4499999999999993</v>
      </c>
      <c r="K380" s="13">
        <v>52.4</v>
      </c>
      <c r="L380" s="15">
        <f>I378-I380</f>
        <v>6.8999999999999986</v>
      </c>
      <c r="M380" s="14"/>
      <c r="N380" s="14"/>
      <c r="O380" s="14"/>
      <c r="P380" s="14"/>
      <c r="Q380" s="14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3.2">
      <c r="A381" s="14"/>
      <c r="B381" s="5">
        <v>11</v>
      </c>
      <c r="C381" s="5">
        <f t="shared" si="98"/>
        <v>81</v>
      </c>
      <c r="D381" s="24">
        <v>43080</v>
      </c>
      <c r="E381" s="11">
        <v>352.3</v>
      </c>
      <c r="F381" s="12">
        <f t="shared" si="123"/>
        <v>5.1333333333333258</v>
      </c>
      <c r="G381" s="14"/>
      <c r="H381" s="14"/>
      <c r="I381" s="13">
        <v>20.3</v>
      </c>
      <c r="J381" s="15">
        <f t="shared" ref="J381:J382" si="124">(I380-I381)/(D381-D380)</f>
        <v>2.8666666666666658</v>
      </c>
      <c r="K381" s="13">
        <v>52</v>
      </c>
      <c r="L381" s="15">
        <f t="shared" ref="L381:L382" si="125">I380-I381</f>
        <v>8.5999999999999979</v>
      </c>
      <c r="M381" s="14"/>
      <c r="N381" s="14"/>
      <c r="O381" s="14"/>
      <c r="P381" s="14"/>
      <c r="Q381" s="14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3.2">
      <c r="A382" s="14"/>
      <c r="B382" s="5">
        <v>11</v>
      </c>
      <c r="C382" s="5">
        <f t="shared" si="98"/>
        <v>83</v>
      </c>
      <c r="D382" s="25">
        <v>43082</v>
      </c>
      <c r="E382" s="11">
        <v>338.6</v>
      </c>
      <c r="F382" s="12">
        <f t="shared" si="123"/>
        <v>6.8499999999999943</v>
      </c>
      <c r="G382" s="14"/>
      <c r="H382" s="14"/>
      <c r="I382" s="13">
        <v>14.6</v>
      </c>
      <c r="J382" s="15">
        <f t="shared" si="124"/>
        <v>2.8500000000000005</v>
      </c>
      <c r="K382" s="13">
        <v>51.9</v>
      </c>
      <c r="L382" s="15">
        <f t="shared" si="125"/>
        <v>5.7000000000000011</v>
      </c>
      <c r="M382" s="14"/>
      <c r="N382" s="14"/>
      <c r="O382" s="14"/>
      <c r="P382" s="14"/>
      <c r="Q382" s="14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3.2">
      <c r="A383" s="14"/>
      <c r="B383" s="5">
        <v>12</v>
      </c>
      <c r="C383" s="5">
        <f t="shared" si="98"/>
        <v>84</v>
      </c>
      <c r="D383" s="24">
        <v>43083</v>
      </c>
      <c r="E383" s="12"/>
      <c r="F383" s="12"/>
      <c r="G383" s="14"/>
      <c r="H383" s="14"/>
      <c r="I383" s="15"/>
      <c r="J383" s="14"/>
      <c r="K383" s="13"/>
      <c r="L383" s="14"/>
      <c r="M383" s="14"/>
      <c r="N383" s="14"/>
      <c r="O383" s="14"/>
      <c r="P383" s="14"/>
      <c r="Q383" s="14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3.2">
      <c r="A384" s="174"/>
      <c r="B384" s="170">
        <v>12</v>
      </c>
      <c r="C384" s="170">
        <f t="shared" si="98"/>
        <v>85</v>
      </c>
      <c r="D384" s="178">
        <v>43084</v>
      </c>
      <c r="E384" s="175"/>
      <c r="F384" s="175"/>
      <c r="G384" s="174"/>
      <c r="H384" s="174"/>
      <c r="I384" s="179"/>
      <c r="J384" s="174"/>
      <c r="K384" s="176">
        <v>49.1</v>
      </c>
      <c r="L384" s="174"/>
      <c r="M384" s="174"/>
      <c r="N384" s="174"/>
      <c r="O384" s="14"/>
      <c r="P384" s="14"/>
      <c r="Q384" s="14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3.2">
      <c r="A385" s="14"/>
      <c r="B385" s="5">
        <v>12</v>
      </c>
      <c r="C385" s="5">
        <f t="shared" si="98"/>
        <v>98</v>
      </c>
      <c r="D385" s="32">
        <v>43097</v>
      </c>
      <c r="E385" s="12"/>
      <c r="F385" s="12"/>
      <c r="G385" s="14"/>
      <c r="H385" s="14"/>
      <c r="I385" s="33">
        <v>64.599999999999994</v>
      </c>
      <c r="J385" s="14"/>
      <c r="K385" s="33">
        <v>52.8</v>
      </c>
      <c r="L385" s="14"/>
      <c r="M385" s="14"/>
      <c r="N385" s="14"/>
      <c r="O385" s="14"/>
      <c r="P385" s="14"/>
      <c r="Q385" s="14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3.2">
      <c r="A386" s="14"/>
      <c r="B386" s="5">
        <v>12</v>
      </c>
      <c r="C386" s="5">
        <f t="shared" si="98"/>
        <v>105</v>
      </c>
      <c r="D386" s="32">
        <v>43104</v>
      </c>
      <c r="E386" s="12"/>
      <c r="F386" s="12"/>
      <c r="G386" s="14"/>
      <c r="H386" s="14"/>
      <c r="I386" s="33">
        <v>41.7</v>
      </c>
      <c r="J386" s="14"/>
      <c r="K386" s="33">
        <v>53.4</v>
      </c>
      <c r="L386" s="14"/>
      <c r="M386" s="14"/>
      <c r="N386" s="14"/>
      <c r="O386" s="14"/>
      <c r="P386" s="14"/>
      <c r="Q386" s="14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3.2">
      <c r="A387" s="14"/>
      <c r="B387" s="5"/>
      <c r="C387" s="5">
        <f t="shared" si="98"/>
        <v>112</v>
      </c>
      <c r="D387" s="32">
        <v>43111</v>
      </c>
      <c r="E387" s="12"/>
      <c r="F387" s="12"/>
      <c r="G387" s="14"/>
      <c r="H387" s="14"/>
      <c r="I387" s="33">
        <v>19.8</v>
      </c>
      <c r="J387" s="14"/>
      <c r="K387" s="33">
        <v>54.5</v>
      </c>
      <c r="L387" s="14"/>
      <c r="M387" s="14"/>
      <c r="N387" s="14"/>
      <c r="O387" s="14"/>
      <c r="P387" s="14"/>
      <c r="Q387" s="14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3.2">
      <c r="A388" s="14"/>
      <c r="B388" s="14"/>
      <c r="C388" s="5">
        <f t="shared" si="98"/>
        <v>116</v>
      </c>
      <c r="D388" s="20">
        <v>43115</v>
      </c>
      <c r="E388" s="12"/>
      <c r="F388" s="12"/>
      <c r="G388" s="14"/>
      <c r="H388" s="14"/>
      <c r="I388" s="33"/>
      <c r="J388" s="14"/>
      <c r="K388" s="33"/>
      <c r="L388" s="14"/>
      <c r="M388" s="14"/>
      <c r="N388" s="14"/>
      <c r="O388" s="14"/>
      <c r="P388" s="14"/>
      <c r="Q388" s="14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3.2">
      <c r="A389" s="14"/>
      <c r="B389" s="14"/>
      <c r="C389" s="5">
        <f t="shared" si="98"/>
        <v>117</v>
      </c>
      <c r="D389" s="20">
        <v>43116</v>
      </c>
      <c r="E389" s="12"/>
      <c r="F389" s="12"/>
      <c r="G389" s="14"/>
      <c r="H389" s="14"/>
      <c r="I389" s="33">
        <v>27.8</v>
      </c>
      <c r="J389" s="14"/>
      <c r="K389" s="33">
        <v>55.1</v>
      </c>
      <c r="L389" s="14"/>
      <c r="M389" s="14"/>
      <c r="N389" s="14"/>
      <c r="O389" s="14"/>
      <c r="P389" s="14"/>
      <c r="Q389" s="14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3.2">
      <c r="A390" s="14"/>
      <c r="B390" s="14"/>
      <c r="C390" s="5">
        <f t="shared" si="98"/>
        <v>124</v>
      </c>
      <c r="D390" s="20">
        <v>43123</v>
      </c>
      <c r="E390" s="12"/>
      <c r="F390" s="12"/>
      <c r="G390" s="14"/>
      <c r="H390" s="14"/>
      <c r="I390" s="33">
        <v>25</v>
      </c>
      <c r="J390" s="14"/>
      <c r="K390" s="33">
        <v>56.2</v>
      </c>
      <c r="L390" s="14"/>
      <c r="M390" s="14"/>
      <c r="N390" s="14"/>
      <c r="O390" s="14"/>
      <c r="P390" s="14"/>
      <c r="Q390" s="14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3.2">
      <c r="A391" s="14"/>
      <c r="B391" s="14"/>
      <c r="C391" s="5">
        <v>131</v>
      </c>
      <c r="D391" s="20">
        <v>43130</v>
      </c>
      <c r="E391" s="12"/>
      <c r="F391" s="12"/>
      <c r="G391" s="14"/>
      <c r="H391" s="14"/>
      <c r="I391" s="36">
        <v>50.6</v>
      </c>
      <c r="J391" s="14"/>
      <c r="K391" s="36">
        <v>56.1</v>
      </c>
      <c r="L391" s="14"/>
      <c r="M391" s="14"/>
      <c r="N391" s="14"/>
      <c r="O391" s="14"/>
      <c r="P391" s="14"/>
      <c r="Q391" s="14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3.2">
      <c r="A392" s="14"/>
      <c r="B392" s="14"/>
      <c r="C392" s="5">
        <v>138</v>
      </c>
      <c r="D392" s="20">
        <v>43137</v>
      </c>
      <c r="E392" s="12"/>
      <c r="F392" s="12"/>
      <c r="G392" s="14"/>
      <c r="H392" s="14"/>
      <c r="I392" s="33">
        <v>27.7</v>
      </c>
      <c r="J392" s="37"/>
      <c r="K392" s="33">
        <v>57.3</v>
      </c>
      <c r="L392" s="14"/>
      <c r="M392" s="14"/>
      <c r="N392" s="14"/>
      <c r="O392" s="14"/>
      <c r="P392" s="14"/>
      <c r="Q392" s="14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3.2">
      <c r="A393" s="14"/>
      <c r="B393" s="14"/>
      <c r="C393" s="5">
        <v>145</v>
      </c>
      <c r="D393" s="20">
        <v>43144</v>
      </c>
      <c r="E393" s="12"/>
      <c r="F393" s="12"/>
      <c r="G393" s="14"/>
      <c r="H393" s="14"/>
      <c r="I393" s="13">
        <v>50.9</v>
      </c>
      <c r="J393" s="14"/>
      <c r="K393" s="13">
        <v>58.5</v>
      </c>
      <c r="L393" s="14"/>
      <c r="M393" s="14"/>
      <c r="N393" s="14"/>
      <c r="O393" s="14"/>
      <c r="P393" s="14"/>
      <c r="Q393" s="14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3.2">
      <c r="A394" s="14"/>
      <c r="B394" s="14"/>
      <c r="C394" s="5">
        <v>152</v>
      </c>
      <c r="D394" s="20">
        <v>43151</v>
      </c>
      <c r="E394" s="12"/>
      <c r="F394" s="12"/>
      <c r="G394" s="14"/>
      <c r="H394" s="14"/>
      <c r="I394" s="13">
        <v>28.9</v>
      </c>
      <c r="J394" s="14"/>
      <c r="K394" s="13">
        <v>57.9</v>
      </c>
      <c r="L394" s="14"/>
      <c r="M394" s="14"/>
      <c r="N394" s="14"/>
      <c r="O394" s="14"/>
      <c r="P394" s="14"/>
      <c r="Q394" s="14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3.2">
      <c r="A395" s="14"/>
      <c r="B395" s="14"/>
      <c r="C395" s="5">
        <v>159</v>
      </c>
      <c r="D395" s="20">
        <v>43158</v>
      </c>
      <c r="E395" s="12"/>
      <c r="F395" s="12"/>
      <c r="G395" s="14"/>
      <c r="H395" s="14"/>
      <c r="I395" s="13">
        <v>54.9</v>
      </c>
      <c r="J395" s="14"/>
      <c r="K395" s="13">
        <v>58.1</v>
      </c>
      <c r="L395" s="14"/>
      <c r="M395" s="14"/>
      <c r="N395" s="14"/>
      <c r="O395" s="14"/>
      <c r="P395" s="14"/>
      <c r="Q395" s="14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3.2">
      <c r="A396" s="14"/>
      <c r="B396" s="14"/>
      <c r="C396" s="5">
        <v>166</v>
      </c>
      <c r="D396" s="20">
        <v>43165</v>
      </c>
      <c r="E396" s="12"/>
      <c r="F396" s="12"/>
      <c r="G396" s="14"/>
      <c r="H396" s="14"/>
      <c r="I396" s="13">
        <v>32.700000000000003</v>
      </c>
      <c r="J396" s="14"/>
      <c r="K396" s="13">
        <v>58.8</v>
      </c>
      <c r="L396" s="14"/>
      <c r="M396" s="14"/>
      <c r="N396" s="14"/>
      <c r="O396" s="14"/>
      <c r="P396" s="14"/>
      <c r="Q396" s="14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3.2">
      <c r="A397" s="14"/>
      <c r="B397" s="14"/>
      <c r="C397" s="5">
        <v>173</v>
      </c>
      <c r="D397" s="20">
        <v>43172</v>
      </c>
      <c r="E397" s="12"/>
      <c r="F397" s="12"/>
      <c r="G397" s="14"/>
      <c r="H397" s="14"/>
      <c r="I397" s="13">
        <v>12</v>
      </c>
      <c r="J397" s="14"/>
      <c r="K397" s="13">
        <v>57.8</v>
      </c>
      <c r="L397" s="14"/>
      <c r="M397" s="14"/>
      <c r="N397" s="14"/>
      <c r="O397" s="14"/>
      <c r="P397" s="14"/>
      <c r="Q397" s="14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3.2">
      <c r="A398" s="14"/>
      <c r="B398" s="14"/>
      <c r="C398" s="14"/>
      <c r="D398" s="14"/>
      <c r="E398" s="12"/>
      <c r="F398" s="12"/>
      <c r="G398" s="14"/>
      <c r="H398" s="14"/>
      <c r="I398" s="15"/>
      <c r="J398" s="14"/>
      <c r="K398" s="15"/>
      <c r="L398" s="14"/>
      <c r="M398" s="14"/>
      <c r="N398" s="14"/>
      <c r="O398" s="14"/>
      <c r="P398" s="14"/>
      <c r="Q398" s="14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39.6">
      <c r="A399" s="14"/>
      <c r="B399" s="5" t="s">
        <v>60</v>
      </c>
      <c r="C399" s="97">
        <f t="shared" ref="C399:C426" si="126">1+C398</f>
        <v>1</v>
      </c>
      <c r="D399" s="98">
        <v>43192</v>
      </c>
      <c r="E399" s="12"/>
      <c r="F399" s="12"/>
      <c r="G399" s="14"/>
      <c r="H399" s="14"/>
      <c r="I399" s="15"/>
      <c r="J399" s="14"/>
      <c r="K399" s="105">
        <v>45.5</v>
      </c>
      <c r="L399" s="14"/>
      <c r="M399" s="14"/>
      <c r="N399" s="14"/>
      <c r="O399" s="14"/>
      <c r="P399" s="14"/>
      <c r="Q399" s="14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3.2">
      <c r="A400" s="14"/>
      <c r="B400" s="14"/>
      <c r="C400" s="97">
        <f t="shared" si="126"/>
        <v>2</v>
      </c>
      <c r="D400" s="98">
        <v>43193</v>
      </c>
      <c r="E400" s="12"/>
      <c r="F400" s="12"/>
      <c r="G400" s="14"/>
      <c r="H400" s="14"/>
      <c r="I400" s="15"/>
      <c r="J400" s="14"/>
      <c r="K400" s="105">
        <v>43.3</v>
      </c>
      <c r="L400" s="14"/>
      <c r="M400" s="14"/>
      <c r="N400" s="14"/>
      <c r="O400" s="14"/>
      <c r="P400" s="14"/>
      <c r="Q400" s="14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3.2">
      <c r="A401" s="14"/>
      <c r="B401" s="14"/>
      <c r="C401" s="97">
        <f t="shared" si="126"/>
        <v>3</v>
      </c>
      <c r="D401" s="98">
        <v>43194</v>
      </c>
      <c r="E401" s="12"/>
      <c r="F401" s="12"/>
      <c r="G401" s="14"/>
      <c r="H401" s="14"/>
      <c r="I401" s="15"/>
      <c r="J401" s="14"/>
      <c r="K401" s="105">
        <v>41.8</v>
      </c>
      <c r="L401" s="14"/>
      <c r="M401" s="14"/>
      <c r="N401" s="14"/>
      <c r="O401" s="14"/>
      <c r="P401" s="14"/>
      <c r="Q401" s="14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3.2">
      <c r="A402" s="14"/>
      <c r="B402" s="14"/>
      <c r="C402" s="97">
        <f t="shared" si="126"/>
        <v>4</v>
      </c>
      <c r="D402" s="98">
        <v>43195</v>
      </c>
      <c r="E402" s="12"/>
      <c r="F402" s="12"/>
      <c r="G402" s="14"/>
      <c r="H402" s="14"/>
      <c r="I402" s="15"/>
      <c r="J402" s="14"/>
      <c r="K402" s="105">
        <v>40.700000000000003</v>
      </c>
      <c r="L402" s="14"/>
      <c r="M402" s="14"/>
      <c r="N402" s="14"/>
      <c r="O402" s="14"/>
      <c r="P402" s="14"/>
      <c r="Q402" s="14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3.2">
      <c r="A403" s="14"/>
      <c r="B403" s="14"/>
      <c r="C403" s="97">
        <f t="shared" si="126"/>
        <v>5</v>
      </c>
      <c r="D403" s="98">
        <v>43196</v>
      </c>
      <c r="E403" s="12"/>
      <c r="F403" s="12"/>
      <c r="G403" s="14"/>
      <c r="H403" s="14"/>
      <c r="I403" s="15"/>
      <c r="J403" s="14"/>
      <c r="K403" s="105">
        <v>39.6</v>
      </c>
      <c r="L403" s="14"/>
      <c r="M403" s="14"/>
      <c r="N403" s="14"/>
      <c r="O403" s="14"/>
      <c r="P403" s="14"/>
      <c r="Q403" s="14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3.2">
      <c r="A404" s="14"/>
      <c r="B404" s="14"/>
      <c r="C404" s="97">
        <f t="shared" si="126"/>
        <v>6</v>
      </c>
      <c r="D404" s="98">
        <v>43197</v>
      </c>
      <c r="E404" s="12"/>
      <c r="F404" s="12"/>
      <c r="G404" s="14"/>
      <c r="H404" s="14"/>
      <c r="I404" s="15"/>
      <c r="J404" s="14"/>
      <c r="K404" s="105">
        <v>38.700000000000003</v>
      </c>
      <c r="L404" s="14"/>
      <c r="M404" s="14"/>
      <c r="N404" s="14"/>
      <c r="O404" s="14"/>
      <c r="P404" s="14"/>
      <c r="Q404" s="14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3.2">
      <c r="A405" s="14"/>
      <c r="B405" s="14"/>
      <c r="C405" s="97">
        <f t="shared" si="126"/>
        <v>7</v>
      </c>
      <c r="D405" s="98">
        <v>43198</v>
      </c>
      <c r="E405" s="12"/>
      <c r="F405" s="12"/>
      <c r="G405" s="14"/>
      <c r="H405" s="14"/>
      <c r="I405" s="15"/>
      <c r="J405" s="14"/>
      <c r="K405" s="105">
        <v>37.700000000000003</v>
      </c>
      <c r="L405" s="14"/>
      <c r="M405" s="14"/>
      <c r="N405" s="14"/>
      <c r="O405" s="14"/>
      <c r="P405" s="14"/>
      <c r="Q405" s="14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3.2">
      <c r="A406" s="14"/>
      <c r="B406" s="14"/>
      <c r="C406" s="97">
        <f t="shared" si="126"/>
        <v>8</v>
      </c>
      <c r="D406" s="98">
        <v>43199</v>
      </c>
      <c r="E406" s="12"/>
      <c r="F406" s="12"/>
      <c r="G406" s="14"/>
      <c r="H406" s="14"/>
      <c r="I406" s="15"/>
      <c r="J406" s="14"/>
      <c r="K406" s="105">
        <v>36.700000000000003</v>
      </c>
      <c r="L406" s="14"/>
      <c r="M406" s="14"/>
      <c r="N406" s="14"/>
      <c r="O406" s="14"/>
      <c r="P406" s="14"/>
      <c r="Q406" s="14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3.2">
      <c r="A407" s="14"/>
      <c r="B407" s="14"/>
      <c r="C407" s="97">
        <f t="shared" si="126"/>
        <v>9</v>
      </c>
      <c r="D407" s="98">
        <v>43200</v>
      </c>
      <c r="E407" s="12"/>
      <c r="F407" s="12"/>
      <c r="G407" s="14"/>
      <c r="H407" s="14"/>
      <c r="I407" s="15"/>
      <c r="J407" s="14"/>
      <c r="K407" s="105">
        <v>35.799999999999997</v>
      </c>
      <c r="L407" s="14"/>
      <c r="M407" s="14"/>
      <c r="N407" s="14"/>
      <c r="O407" s="14"/>
      <c r="P407" s="14"/>
      <c r="Q407" s="14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3.2">
      <c r="A408" s="14"/>
      <c r="B408" s="14"/>
      <c r="C408" s="97">
        <f t="shared" si="126"/>
        <v>10</v>
      </c>
      <c r="D408" s="98">
        <v>43201</v>
      </c>
      <c r="E408" s="12"/>
      <c r="F408" s="12"/>
      <c r="G408" s="14"/>
      <c r="H408" s="14"/>
      <c r="I408" s="15"/>
      <c r="J408" s="14"/>
      <c r="K408" s="105">
        <v>34.799999999999997</v>
      </c>
      <c r="L408" s="14"/>
      <c r="M408" s="14"/>
      <c r="N408" s="14"/>
      <c r="O408" s="14"/>
      <c r="P408" s="14"/>
      <c r="Q408" s="14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3.2">
      <c r="A409" s="14"/>
      <c r="B409" s="14"/>
      <c r="C409" s="97">
        <f t="shared" si="126"/>
        <v>11</v>
      </c>
      <c r="D409" s="98">
        <v>43202</v>
      </c>
      <c r="E409" s="12"/>
      <c r="F409" s="12"/>
      <c r="G409" s="14"/>
      <c r="H409" s="14"/>
      <c r="I409" s="15"/>
      <c r="J409" s="14"/>
      <c r="K409" s="105">
        <v>33.4</v>
      </c>
      <c r="L409" s="14"/>
      <c r="M409" s="14"/>
      <c r="N409" s="14"/>
      <c r="O409" s="14"/>
      <c r="P409" s="14"/>
      <c r="Q409" s="14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3.2">
      <c r="A410" s="14"/>
      <c r="B410" s="14"/>
      <c r="C410" s="97">
        <f t="shared" si="126"/>
        <v>12</v>
      </c>
      <c r="D410" s="98">
        <v>43203</v>
      </c>
      <c r="E410" s="12"/>
      <c r="F410" s="12"/>
      <c r="G410" s="14"/>
      <c r="H410" s="14"/>
      <c r="I410" s="15"/>
      <c r="J410" s="14"/>
      <c r="K410" s="105">
        <v>32.799999999999997</v>
      </c>
      <c r="L410" s="14"/>
      <c r="M410" s="14"/>
      <c r="N410" s="14"/>
      <c r="O410" s="14"/>
      <c r="P410" s="14"/>
      <c r="Q410" s="14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3.2">
      <c r="A411" s="14"/>
      <c r="B411" s="14"/>
      <c r="C411" s="97">
        <f t="shared" si="126"/>
        <v>13</v>
      </c>
      <c r="D411" s="98">
        <v>43204</v>
      </c>
      <c r="E411" s="12"/>
      <c r="F411" s="12"/>
      <c r="G411" s="14"/>
      <c r="H411" s="14"/>
      <c r="I411" s="15"/>
      <c r="J411" s="14"/>
      <c r="K411" s="105">
        <v>31.9</v>
      </c>
      <c r="L411" s="14"/>
      <c r="M411" s="14"/>
      <c r="N411" s="14"/>
      <c r="O411" s="14"/>
      <c r="P411" s="14"/>
      <c r="Q411" s="14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3.2">
      <c r="A412" s="14"/>
      <c r="B412" s="14"/>
      <c r="C412" s="97">
        <f t="shared" si="126"/>
        <v>14</v>
      </c>
      <c r="D412" s="98">
        <v>43205</v>
      </c>
      <c r="E412" s="12"/>
      <c r="F412" s="12"/>
      <c r="G412" s="14"/>
      <c r="H412" s="14"/>
      <c r="I412" s="15"/>
      <c r="J412" s="14"/>
      <c r="K412" s="105">
        <v>31.1</v>
      </c>
      <c r="L412" s="14"/>
      <c r="M412" s="14"/>
      <c r="N412" s="14"/>
      <c r="O412" s="14"/>
      <c r="P412" s="14"/>
      <c r="Q412" s="14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3.2">
      <c r="A413" s="14"/>
      <c r="B413" s="14"/>
      <c r="C413" s="97">
        <f t="shared" si="126"/>
        <v>15</v>
      </c>
      <c r="D413" s="98">
        <v>43206</v>
      </c>
      <c r="E413" s="12"/>
      <c r="F413" s="12"/>
      <c r="G413" s="14"/>
      <c r="H413" s="14"/>
      <c r="I413" s="15"/>
      <c r="J413" s="14"/>
      <c r="K413" s="105">
        <v>30.2</v>
      </c>
      <c r="L413" s="14"/>
      <c r="M413" s="14"/>
      <c r="N413" s="14"/>
      <c r="O413" s="14"/>
      <c r="P413" s="14"/>
      <c r="Q413" s="14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3.2">
      <c r="A414" s="14"/>
      <c r="B414" s="14"/>
      <c r="C414" s="97">
        <f t="shared" si="126"/>
        <v>16</v>
      </c>
      <c r="D414" s="98">
        <v>43207</v>
      </c>
      <c r="E414" s="12"/>
      <c r="F414" s="12"/>
      <c r="G414" s="14"/>
      <c r="H414" s="14"/>
      <c r="I414" s="15"/>
      <c r="J414" s="14"/>
      <c r="K414" s="105">
        <v>29.6</v>
      </c>
      <c r="L414" s="14"/>
      <c r="M414" s="14"/>
      <c r="N414" s="14"/>
      <c r="O414" s="14"/>
      <c r="P414" s="14"/>
      <c r="Q414" s="14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3.2">
      <c r="A415" s="14"/>
      <c r="B415" s="14"/>
      <c r="C415" s="97">
        <f t="shared" si="126"/>
        <v>17</v>
      </c>
      <c r="D415" s="98">
        <v>43208</v>
      </c>
      <c r="E415" s="12"/>
      <c r="F415" s="12"/>
      <c r="G415" s="14"/>
      <c r="H415" s="14"/>
      <c r="I415" s="15"/>
      <c r="J415" s="14"/>
      <c r="K415" s="105">
        <v>28.9</v>
      </c>
      <c r="L415" s="14"/>
      <c r="M415" s="14"/>
      <c r="N415" s="14"/>
      <c r="O415" s="14"/>
      <c r="P415" s="14"/>
      <c r="Q415" s="14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3.2">
      <c r="A416" s="14"/>
      <c r="B416" s="14"/>
      <c r="C416" s="97">
        <f t="shared" si="126"/>
        <v>18</v>
      </c>
      <c r="D416" s="98">
        <v>43209</v>
      </c>
      <c r="E416" s="12"/>
      <c r="F416" s="12"/>
      <c r="G416" s="14"/>
      <c r="H416" s="14"/>
      <c r="I416" s="15"/>
      <c r="J416" s="14"/>
      <c r="K416" s="105">
        <v>28.5</v>
      </c>
      <c r="L416" s="14"/>
      <c r="M416" s="14"/>
      <c r="N416" s="14"/>
      <c r="O416" s="14"/>
      <c r="P416" s="14"/>
      <c r="Q416" s="14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3.2">
      <c r="A417" s="14"/>
      <c r="B417" s="14"/>
      <c r="C417" s="97">
        <f t="shared" si="126"/>
        <v>19</v>
      </c>
      <c r="D417" s="98">
        <v>43210</v>
      </c>
      <c r="E417" s="12"/>
      <c r="F417" s="12"/>
      <c r="G417" s="14"/>
      <c r="H417" s="14"/>
      <c r="I417" s="15"/>
      <c r="J417" s="14"/>
      <c r="K417" s="105">
        <v>27.4</v>
      </c>
      <c r="L417" s="14"/>
      <c r="M417" s="14"/>
      <c r="N417" s="14"/>
      <c r="O417" s="14"/>
      <c r="P417" s="14"/>
      <c r="Q417" s="14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3.2">
      <c r="A418" s="14"/>
      <c r="B418" s="14"/>
      <c r="C418" s="97">
        <f t="shared" si="126"/>
        <v>20</v>
      </c>
      <c r="D418" s="98">
        <v>43211</v>
      </c>
      <c r="E418" s="12"/>
      <c r="F418" s="12"/>
      <c r="G418" s="14"/>
      <c r="H418" s="14"/>
      <c r="I418" s="15"/>
      <c r="J418" s="14"/>
      <c r="K418" s="105">
        <v>26.7</v>
      </c>
      <c r="L418" s="14"/>
      <c r="M418" s="14"/>
      <c r="N418" s="14"/>
      <c r="O418" s="14"/>
      <c r="P418" s="14"/>
      <c r="Q418" s="14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3.2">
      <c r="A419" s="14"/>
      <c r="B419" s="14"/>
      <c r="C419" s="97">
        <f t="shared" si="126"/>
        <v>21</v>
      </c>
      <c r="D419" s="98">
        <v>43212</v>
      </c>
      <c r="E419" s="12"/>
      <c r="F419" s="12"/>
      <c r="G419" s="14"/>
      <c r="H419" s="14"/>
      <c r="I419" s="15"/>
      <c r="J419" s="14"/>
      <c r="K419" s="105">
        <v>26.3</v>
      </c>
      <c r="L419" s="14"/>
      <c r="M419" s="14"/>
      <c r="N419" s="14"/>
      <c r="O419" s="14"/>
      <c r="P419" s="14"/>
      <c r="Q419" s="14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3.2">
      <c r="A420" s="14"/>
      <c r="B420" s="14"/>
      <c r="C420" s="97">
        <f t="shared" si="126"/>
        <v>22</v>
      </c>
      <c r="D420" s="98">
        <v>43213</v>
      </c>
      <c r="E420" s="12"/>
      <c r="F420" s="12"/>
      <c r="G420" s="14"/>
      <c r="H420" s="14"/>
      <c r="I420" s="15"/>
      <c r="J420" s="14"/>
      <c r="K420" s="105">
        <v>25.5</v>
      </c>
      <c r="L420" s="14"/>
      <c r="M420" s="14"/>
      <c r="N420" s="14"/>
      <c r="O420" s="14"/>
      <c r="P420" s="14"/>
      <c r="Q420" s="14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3.2">
      <c r="A421" s="14"/>
      <c r="B421" s="14"/>
      <c r="C421" s="97">
        <f t="shared" si="126"/>
        <v>23</v>
      </c>
      <c r="D421" s="98">
        <v>43214</v>
      </c>
      <c r="E421" s="12"/>
      <c r="F421" s="12"/>
      <c r="G421" s="14"/>
      <c r="H421" s="14"/>
      <c r="I421" s="15"/>
      <c r="J421" s="14"/>
      <c r="K421" s="105">
        <v>25</v>
      </c>
      <c r="L421" s="14"/>
      <c r="M421" s="14"/>
      <c r="N421" s="14"/>
      <c r="O421" s="14"/>
      <c r="P421" s="14"/>
      <c r="Q421" s="14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3.2">
      <c r="A422" s="14"/>
      <c r="B422" s="14"/>
      <c r="C422" s="97">
        <f t="shared" si="126"/>
        <v>24</v>
      </c>
      <c r="D422" s="98">
        <v>43215</v>
      </c>
      <c r="E422" s="12"/>
      <c r="F422" s="12"/>
      <c r="G422" s="14"/>
      <c r="H422" s="14"/>
      <c r="I422" s="15"/>
      <c r="J422" s="14"/>
      <c r="K422" s="105">
        <v>24.3</v>
      </c>
      <c r="L422" s="14"/>
      <c r="M422" s="14"/>
      <c r="N422" s="14"/>
      <c r="O422" s="14"/>
      <c r="P422" s="14"/>
      <c r="Q422" s="14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3.2">
      <c r="A423" s="14"/>
      <c r="B423" s="14"/>
      <c r="C423" s="97">
        <f t="shared" si="126"/>
        <v>25</v>
      </c>
      <c r="D423" s="98">
        <v>43216</v>
      </c>
      <c r="E423" s="12"/>
      <c r="F423" s="12"/>
      <c r="G423" s="14"/>
      <c r="H423" s="14"/>
      <c r="I423" s="15"/>
      <c r="J423" s="14"/>
      <c r="K423" s="105" t="s">
        <v>75</v>
      </c>
      <c r="L423" s="14"/>
      <c r="M423" s="14"/>
      <c r="N423" s="14"/>
      <c r="O423" s="14"/>
      <c r="P423" s="14"/>
      <c r="Q423" s="14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3.2">
      <c r="A424" s="14"/>
      <c r="B424" s="14"/>
      <c r="C424" s="97">
        <f t="shared" si="126"/>
        <v>26</v>
      </c>
      <c r="D424" s="98">
        <v>43217</v>
      </c>
      <c r="E424" s="12"/>
      <c r="F424" s="12"/>
      <c r="G424" s="14"/>
      <c r="H424" s="14"/>
      <c r="I424" s="15"/>
      <c r="J424" s="14"/>
      <c r="K424" s="105">
        <v>23.2</v>
      </c>
      <c r="L424" s="14"/>
      <c r="M424" s="14"/>
      <c r="N424" s="14"/>
      <c r="O424" s="14"/>
      <c r="P424" s="14"/>
      <c r="Q424" s="14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3.2">
      <c r="A425" s="14"/>
      <c r="B425" s="14"/>
      <c r="C425" s="97">
        <f t="shared" si="126"/>
        <v>27</v>
      </c>
      <c r="D425" s="98">
        <v>43218</v>
      </c>
      <c r="E425" s="12"/>
      <c r="F425" s="12"/>
      <c r="G425" s="14"/>
      <c r="H425" s="14"/>
      <c r="I425" s="15"/>
      <c r="J425" s="14"/>
      <c r="K425" s="105" t="s">
        <v>85</v>
      </c>
      <c r="L425" s="14"/>
      <c r="M425" s="14"/>
      <c r="N425" s="14"/>
      <c r="O425" s="14"/>
      <c r="P425" s="14"/>
      <c r="Q425" s="14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3.2">
      <c r="A426" s="14"/>
      <c r="B426" s="14"/>
      <c r="C426" s="97">
        <f t="shared" si="126"/>
        <v>28</v>
      </c>
      <c r="D426" s="98">
        <v>43219</v>
      </c>
      <c r="E426" s="12"/>
      <c r="F426" s="12"/>
      <c r="G426" s="14"/>
      <c r="H426" s="14"/>
      <c r="I426" s="15"/>
      <c r="J426" s="14"/>
      <c r="K426" s="105" t="s">
        <v>63</v>
      </c>
      <c r="L426" s="14"/>
      <c r="M426" s="14"/>
      <c r="N426" s="14"/>
      <c r="O426" s="14"/>
      <c r="P426" s="14"/>
      <c r="Q426" s="14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3.2">
      <c r="A427" s="14"/>
      <c r="B427" s="14"/>
      <c r="C427" s="14"/>
      <c r="D427" s="14"/>
      <c r="E427" s="12"/>
      <c r="F427" s="12"/>
      <c r="G427" s="14"/>
      <c r="H427" s="14"/>
      <c r="I427" s="15"/>
      <c r="J427" s="14"/>
      <c r="K427" s="15"/>
      <c r="L427" s="14"/>
      <c r="M427" s="14"/>
      <c r="N427" s="14"/>
      <c r="O427" s="14"/>
      <c r="P427" s="14"/>
      <c r="Q427" s="14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3.2">
      <c r="A428" s="14"/>
      <c r="B428" s="14"/>
      <c r="C428" s="14"/>
      <c r="D428" s="14"/>
      <c r="E428" s="12"/>
      <c r="F428" s="12"/>
      <c r="G428" s="14"/>
      <c r="H428" s="14"/>
      <c r="I428" s="15"/>
      <c r="J428" s="14"/>
      <c r="K428" s="15"/>
      <c r="L428" s="14"/>
      <c r="M428" s="14"/>
      <c r="N428" s="14"/>
      <c r="O428" s="14"/>
      <c r="P428" s="14"/>
      <c r="Q428" s="14"/>
      <c r="R428" s="7"/>
      <c r="S428" s="7"/>
      <c r="T428" s="73">
        <f>I429-I433</f>
        <v>24.199999999999989</v>
      </c>
      <c r="U428" s="7"/>
      <c r="V428" s="7">
        <f>SUM(U428:U429)</f>
        <v>955.25200000000007</v>
      </c>
      <c r="W428" s="7"/>
      <c r="X428" s="7"/>
      <c r="Y428" s="7"/>
      <c r="Z428" s="7"/>
      <c r="AA428" s="7"/>
    </row>
    <row r="429" spans="1:27" ht="26.4">
      <c r="A429" s="169" t="s">
        <v>124</v>
      </c>
      <c r="B429" s="5">
        <v>0</v>
      </c>
      <c r="C429" s="5">
        <v>0</v>
      </c>
      <c r="D429" s="9">
        <v>42992</v>
      </c>
      <c r="E429" s="10">
        <v>375.4</v>
      </c>
      <c r="F429" s="11" t="s">
        <v>21</v>
      </c>
      <c r="G429" s="12">
        <f>AVERAGE(F430,F431,F432,F437)</f>
        <v>3.6166666666666556</v>
      </c>
      <c r="H429" s="14"/>
      <c r="I429" s="13">
        <v>91.1</v>
      </c>
      <c r="J429" s="14"/>
      <c r="K429" s="13">
        <v>17.3</v>
      </c>
      <c r="L429" s="15">
        <f t="shared" ref="L429:L432" si="127">I429-I430</f>
        <v>3.2999999999999972</v>
      </c>
      <c r="M429" s="14"/>
      <c r="N429" s="14"/>
      <c r="O429" s="14"/>
      <c r="P429" s="14"/>
      <c r="Q429" s="14">
        <f>SUM(P429:P441)-104.4</f>
        <v>265.59999999999991</v>
      </c>
      <c r="R429" s="7"/>
      <c r="S429" s="7"/>
      <c r="T429" s="73">
        <f>I434-I445</f>
        <v>40.9</v>
      </c>
      <c r="U429" s="7">
        <f>SUM(T429:T433)*5.24</f>
        <v>955.25200000000007</v>
      </c>
      <c r="V429" s="7"/>
      <c r="W429" s="7"/>
      <c r="X429" s="7"/>
      <c r="Y429" s="7"/>
      <c r="Z429" s="7"/>
      <c r="AA429" s="7"/>
    </row>
    <row r="430" spans="1:27" ht="13.2">
      <c r="A430" s="5" t="s">
        <v>30</v>
      </c>
      <c r="B430" s="5">
        <v>0</v>
      </c>
      <c r="C430" s="5">
        <v>0</v>
      </c>
      <c r="D430" s="9">
        <v>42993</v>
      </c>
      <c r="E430" s="10">
        <v>372.6</v>
      </c>
      <c r="F430" s="12">
        <f>E429-E430</f>
        <v>2.7999999999999545</v>
      </c>
      <c r="G430" s="14"/>
      <c r="H430" s="14"/>
      <c r="I430" s="13">
        <v>87.8</v>
      </c>
      <c r="J430" s="14">
        <f t="shared" ref="J430:J433" si="128">(I429-I430)/(D430-D429)</f>
        <v>3.2999999999999972</v>
      </c>
      <c r="K430" s="13">
        <v>17</v>
      </c>
      <c r="L430" s="15">
        <f t="shared" si="127"/>
        <v>10.299999999999997</v>
      </c>
      <c r="M430" s="14"/>
      <c r="N430" s="14"/>
      <c r="O430" s="14"/>
      <c r="P430" s="12">
        <f>E434-E437</f>
        <v>22.699999999999989</v>
      </c>
      <c r="Q430" s="14"/>
      <c r="R430" s="7"/>
      <c r="S430" s="7"/>
      <c r="T430" s="73">
        <f>64.3-I452</f>
        <v>26.599999999999994</v>
      </c>
      <c r="U430" s="7"/>
      <c r="V430" s="7"/>
      <c r="W430" s="7"/>
      <c r="X430" s="7"/>
      <c r="Y430" s="7"/>
      <c r="Z430" s="7"/>
      <c r="AA430" s="7"/>
    </row>
    <row r="431" spans="1:27" ht="13.2">
      <c r="A431" s="5" t="s">
        <v>385</v>
      </c>
      <c r="B431" s="5">
        <v>0</v>
      </c>
      <c r="C431" s="5">
        <v>0</v>
      </c>
      <c r="D431" s="9">
        <v>42996</v>
      </c>
      <c r="E431" s="10">
        <v>358.6</v>
      </c>
      <c r="F431" s="12">
        <f t="shared" ref="F431:F433" si="129">(E430-E431)/(D431-D430)</f>
        <v>4.666666666666667</v>
      </c>
      <c r="G431" s="14"/>
      <c r="H431" s="14"/>
      <c r="I431" s="13">
        <v>77.5</v>
      </c>
      <c r="J431" s="15">
        <f t="shared" si="128"/>
        <v>3.4333333333333322</v>
      </c>
      <c r="K431" s="13">
        <v>16.8</v>
      </c>
      <c r="L431" s="15">
        <f t="shared" si="127"/>
        <v>7</v>
      </c>
      <c r="M431" s="14"/>
      <c r="N431" s="14"/>
      <c r="O431" s="14"/>
      <c r="P431" s="12">
        <f>E438-E441</f>
        <v>44.800000000000011</v>
      </c>
      <c r="Q431" s="14"/>
      <c r="R431" s="7"/>
      <c r="S431" s="7"/>
      <c r="T431" s="73">
        <f>50.9-I456</f>
        <v>15</v>
      </c>
      <c r="U431" s="7"/>
      <c r="V431" s="7"/>
      <c r="W431" s="7"/>
      <c r="X431" s="7"/>
      <c r="Y431" s="7"/>
      <c r="Z431" s="7"/>
      <c r="AA431" s="7"/>
    </row>
    <row r="432" spans="1:27" ht="13.2">
      <c r="A432" s="14"/>
      <c r="B432" s="5">
        <v>0</v>
      </c>
      <c r="C432" s="5">
        <v>0</v>
      </c>
      <c r="D432" s="9">
        <v>42998</v>
      </c>
      <c r="E432" s="10">
        <v>350.9</v>
      </c>
      <c r="F432" s="12">
        <f t="shared" si="129"/>
        <v>3.8500000000000227</v>
      </c>
      <c r="G432" s="14"/>
      <c r="H432" s="14"/>
      <c r="I432" s="13">
        <v>70.5</v>
      </c>
      <c r="J432" s="14">
        <f t="shared" si="128"/>
        <v>3.5</v>
      </c>
      <c r="K432" s="13">
        <v>16.5</v>
      </c>
      <c r="L432" s="15">
        <f t="shared" si="127"/>
        <v>3.5999999999999943</v>
      </c>
      <c r="M432" s="14"/>
      <c r="N432" s="14"/>
      <c r="O432" s="14"/>
      <c r="P432" s="12">
        <f>E442-E445</f>
        <v>31.599999999999966</v>
      </c>
      <c r="Q432" s="14"/>
      <c r="R432" s="7"/>
      <c r="S432" s="7"/>
      <c r="T432" s="73">
        <f>75.8-I468</f>
        <v>47.099999999999994</v>
      </c>
      <c r="U432" s="7"/>
      <c r="V432" s="7"/>
      <c r="W432" s="7"/>
      <c r="X432" s="7"/>
      <c r="Y432" s="7"/>
      <c r="Z432" s="7"/>
      <c r="AA432" s="7"/>
    </row>
    <row r="433" spans="1:27" ht="13.2">
      <c r="A433" s="14"/>
      <c r="B433" s="5">
        <v>0</v>
      </c>
      <c r="C433" s="5">
        <v>0</v>
      </c>
      <c r="D433" s="17">
        <v>42999</v>
      </c>
      <c r="E433" s="10">
        <v>345.1</v>
      </c>
      <c r="F433" s="12">
        <f t="shared" si="129"/>
        <v>5.7999999999999545</v>
      </c>
      <c r="G433" s="14"/>
      <c r="H433" s="14"/>
      <c r="I433" s="13">
        <v>66.900000000000006</v>
      </c>
      <c r="J433" s="14">
        <f t="shared" si="128"/>
        <v>3.5999999999999943</v>
      </c>
      <c r="K433" s="13">
        <v>17.100000000000001</v>
      </c>
      <c r="L433" s="14"/>
      <c r="M433" s="14"/>
      <c r="N433" s="14"/>
      <c r="O433" s="14"/>
      <c r="P433" s="12">
        <f>E446-E449</f>
        <v>33.5</v>
      </c>
      <c r="Q433" s="14"/>
      <c r="R433" s="7"/>
      <c r="S433" s="7"/>
      <c r="T433" s="73">
        <f>80.4-I482</f>
        <v>52.7</v>
      </c>
      <c r="U433" s="7"/>
      <c r="V433" s="7"/>
      <c r="W433" s="7"/>
      <c r="X433" s="7"/>
      <c r="Y433" s="7"/>
      <c r="Z433" s="7"/>
      <c r="AA433" s="7"/>
    </row>
    <row r="434" spans="1:27" ht="13.2">
      <c r="A434" s="14"/>
      <c r="B434" s="5">
        <v>0.5</v>
      </c>
      <c r="C434" s="5">
        <v>0</v>
      </c>
      <c r="D434" s="17">
        <v>42999</v>
      </c>
      <c r="E434" s="10">
        <v>392.3</v>
      </c>
      <c r="F434" s="12"/>
      <c r="G434" s="14"/>
      <c r="H434" s="14"/>
      <c r="I434" s="13">
        <v>78.5</v>
      </c>
      <c r="J434" s="14"/>
      <c r="K434" s="13"/>
      <c r="L434" s="15">
        <f t="shared" ref="L434:L436" si="130">I434-I435</f>
        <v>3</v>
      </c>
      <c r="M434" s="14"/>
      <c r="N434" s="14"/>
      <c r="O434" s="14"/>
      <c r="P434" s="12">
        <f>E450-E453</f>
        <v>35.200000000000045</v>
      </c>
      <c r="Q434" s="14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3.2">
      <c r="A435" s="14"/>
      <c r="B435" s="5">
        <v>0.5</v>
      </c>
      <c r="C435" s="5">
        <f t="shared" ref="C435:C488" si="131">D435-$D$7</f>
        <v>1</v>
      </c>
      <c r="D435" s="17">
        <v>43000</v>
      </c>
      <c r="E435" s="10">
        <v>389</v>
      </c>
      <c r="F435" s="12">
        <f t="shared" ref="F435:F437" si="132">(E434-E435)/(D435-D434)</f>
        <v>3.3000000000000114</v>
      </c>
      <c r="G435" s="14"/>
      <c r="H435" s="14"/>
      <c r="I435" s="13">
        <v>75.5</v>
      </c>
      <c r="J435" s="14">
        <f t="shared" ref="J435:J437" si="133">(I434-I435)/(D435-D434)</f>
        <v>3</v>
      </c>
      <c r="K435" s="13">
        <v>17</v>
      </c>
      <c r="L435" s="15">
        <f t="shared" si="130"/>
        <v>5.4000000000000057</v>
      </c>
      <c r="M435" s="14"/>
      <c r="N435" s="14"/>
      <c r="O435" s="14"/>
      <c r="P435" s="12">
        <f>E454-E457</f>
        <v>31.099999999999966</v>
      </c>
      <c r="Q435" s="14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3.2">
      <c r="A436" s="14"/>
      <c r="B436" s="5">
        <v>0.5</v>
      </c>
      <c r="C436" s="5">
        <f t="shared" si="131"/>
        <v>4</v>
      </c>
      <c r="D436" s="9">
        <v>43003</v>
      </c>
      <c r="E436" s="10">
        <v>375.9</v>
      </c>
      <c r="F436" s="12">
        <f t="shared" si="132"/>
        <v>4.3666666666666742</v>
      </c>
      <c r="G436" s="14"/>
      <c r="H436" s="14"/>
      <c r="I436" s="13">
        <v>70.099999999999994</v>
      </c>
      <c r="J436" s="14">
        <f t="shared" si="133"/>
        <v>1.8000000000000018</v>
      </c>
      <c r="K436" s="13">
        <v>17.399999999999999</v>
      </c>
      <c r="L436" s="15">
        <f t="shared" si="130"/>
        <v>3.5999999999999943</v>
      </c>
      <c r="M436" s="14"/>
      <c r="N436" s="14"/>
      <c r="O436" s="14"/>
      <c r="P436" s="12">
        <f>E458-E461</f>
        <v>31.099999999999966</v>
      </c>
      <c r="Q436" s="14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3.2">
      <c r="A437" s="14"/>
      <c r="B437" s="5">
        <v>0.5</v>
      </c>
      <c r="C437" s="5">
        <f t="shared" si="131"/>
        <v>6</v>
      </c>
      <c r="D437" s="9">
        <v>43005</v>
      </c>
      <c r="E437" s="10">
        <v>369.6</v>
      </c>
      <c r="F437" s="12">
        <f t="shared" si="132"/>
        <v>3.1499999999999773</v>
      </c>
      <c r="G437" s="14"/>
      <c r="H437" s="14"/>
      <c r="I437" s="13">
        <v>66.5</v>
      </c>
      <c r="J437" s="14">
        <f t="shared" si="133"/>
        <v>1.7999999999999972</v>
      </c>
      <c r="K437" s="13">
        <v>18.100000000000001</v>
      </c>
      <c r="L437" s="14"/>
      <c r="M437" s="14"/>
      <c r="N437" s="14"/>
      <c r="O437" s="14"/>
      <c r="P437" s="12">
        <f>E462-E465</f>
        <v>27.800000000000011</v>
      </c>
      <c r="Q437" s="14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3.2">
      <c r="A438" s="14"/>
      <c r="B438" s="170">
        <v>1</v>
      </c>
      <c r="C438" s="5">
        <f t="shared" si="131"/>
        <v>6</v>
      </c>
      <c r="D438" s="9">
        <v>43005</v>
      </c>
      <c r="E438" s="10">
        <v>333</v>
      </c>
      <c r="F438" s="11"/>
      <c r="G438" s="14"/>
      <c r="H438" s="14"/>
      <c r="I438" s="13" t="s">
        <v>318</v>
      </c>
      <c r="J438" s="14"/>
      <c r="K438" s="13"/>
      <c r="L438" s="14"/>
      <c r="M438" s="14"/>
      <c r="N438" s="14"/>
      <c r="O438" s="14"/>
      <c r="P438" s="12">
        <f>E466-E468</f>
        <v>21.100000000000023</v>
      </c>
      <c r="Q438" s="14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3.2">
      <c r="A439" s="14"/>
      <c r="B439" s="5">
        <v>1</v>
      </c>
      <c r="C439" s="5">
        <f t="shared" si="131"/>
        <v>8</v>
      </c>
      <c r="D439" s="9">
        <v>43007</v>
      </c>
      <c r="E439" s="10">
        <v>321.60000000000002</v>
      </c>
      <c r="F439" s="12">
        <f t="shared" ref="F439:F441" si="134">(E438-E439)/(D439-D438)</f>
        <v>5.6999999999999886</v>
      </c>
      <c r="G439" s="14"/>
      <c r="H439" s="14"/>
      <c r="I439" s="13">
        <v>62.9</v>
      </c>
      <c r="J439" s="14">
        <f>(I437-I439)/(D439-D437)</f>
        <v>1.8000000000000007</v>
      </c>
      <c r="K439" s="13">
        <v>17.8</v>
      </c>
      <c r="L439" s="15">
        <f>I437-I439</f>
        <v>3.6000000000000014</v>
      </c>
      <c r="M439" s="14"/>
      <c r="N439" s="14"/>
      <c r="O439" s="14"/>
      <c r="P439" s="12">
        <f>E469-E474</f>
        <v>36</v>
      </c>
      <c r="Q439" s="14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3.2">
      <c r="A440" s="14"/>
      <c r="B440" s="5">
        <v>1</v>
      </c>
      <c r="C440" s="5">
        <f t="shared" si="131"/>
        <v>11</v>
      </c>
      <c r="D440" s="19">
        <v>43010</v>
      </c>
      <c r="E440" s="11">
        <v>305.2</v>
      </c>
      <c r="F440" s="12">
        <f t="shared" si="134"/>
        <v>5.4666666666666783</v>
      </c>
      <c r="G440" s="14"/>
      <c r="H440" s="14"/>
      <c r="I440" s="13">
        <v>56.8</v>
      </c>
      <c r="J440" s="15">
        <f t="shared" ref="J440:J441" si="135">(I439-I440)/(D440-D439)</f>
        <v>2.0333333333333337</v>
      </c>
      <c r="K440" s="13">
        <v>18.600000000000001</v>
      </c>
      <c r="L440" s="15">
        <f t="shared" ref="L440:L441" si="136">I439-I440</f>
        <v>6.1000000000000014</v>
      </c>
      <c r="M440" s="14"/>
      <c r="N440" s="14"/>
      <c r="O440" s="14"/>
      <c r="P440" s="12">
        <f>E475-E478</f>
        <v>29.399999999999977</v>
      </c>
      <c r="Q440" s="14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3.2">
      <c r="A441" s="14"/>
      <c r="B441" s="5">
        <v>1</v>
      </c>
      <c r="C441" s="5">
        <f t="shared" si="131"/>
        <v>13</v>
      </c>
      <c r="D441" s="19">
        <v>43012</v>
      </c>
      <c r="E441" s="11">
        <v>288.2</v>
      </c>
      <c r="F441" s="12">
        <f t="shared" si="134"/>
        <v>8.5</v>
      </c>
      <c r="G441" s="14"/>
      <c r="H441" s="14"/>
      <c r="I441" s="13">
        <v>52.1</v>
      </c>
      <c r="J441" s="15">
        <f t="shared" si="135"/>
        <v>2.3499999999999979</v>
      </c>
      <c r="K441" s="13">
        <v>19.3</v>
      </c>
      <c r="L441" s="15">
        <f t="shared" si="136"/>
        <v>4.6999999999999957</v>
      </c>
      <c r="M441" s="14"/>
      <c r="N441" s="14"/>
      <c r="O441" s="14"/>
      <c r="P441" s="12">
        <f>E479-E482</f>
        <v>25.699999999999989</v>
      </c>
      <c r="Q441" s="14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3.2">
      <c r="A442" s="14"/>
      <c r="B442" s="5">
        <v>2</v>
      </c>
      <c r="C442" s="5">
        <f t="shared" si="131"/>
        <v>14</v>
      </c>
      <c r="D442" s="20">
        <v>43013</v>
      </c>
      <c r="E442" s="11">
        <v>372.2</v>
      </c>
      <c r="F442" s="11"/>
      <c r="G442" s="14"/>
      <c r="H442" s="14"/>
      <c r="I442" s="13" t="s">
        <v>24</v>
      </c>
      <c r="J442" s="14"/>
      <c r="K442" s="13"/>
      <c r="L442" s="14"/>
      <c r="M442" s="14"/>
      <c r="N442" s="14"/>
      <c r="O442" s="14"/>
      <c r="P442" s="14"/>
      <c r="Q442" s="14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3.2">
      <c r="A443" s="14"/>
      <c r="B443" s="5">
        <v>2</v>
      </c>
      <c r="C443" s="5">
        <f t="shared" si="131"/>
        <v>15</v>
      </c>
      <c r="D443" s="20">
        <v>43014</v>
      </c>
      <c r="E443" s="11">
        <v>365.7</v>
      </c>
      <c r="F443" s="12">
        <f t="shared" ref="F443:F445" si="137">(E442-E443)/(D443-D442)</f>
        <v>6.5</v>
      </c>
      <c r="G443" s="14"/>
      <c r="H443" s="14"/>
      <c r="I443" s="13">
        <v>48.5</v>
      </c>
      <c r="J443" s="14">
        <f>(I441-I443)/(D443-D441)</f>
        <v>1.8000000000000007</v>
      </c>
      <c r="K443" s="13">
        <v>19.399999999999999</v>
      </c>
      <c r="L443" s="15">
        <f>I441-I443</f>
        <v>3.6000000000000014</v>
      </c>
      <c r="M443" s="14"/>
      <c r="N443" s="14"/>
      <c r="O443" s="14"/>
      <c r="P443" s="14"/>
      <c r="Q443" s="14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3.2">
      <c r="A444" s="14"/>
      <c r="B444" s="5">
        <v>2</v>
      </c>
      <c r="C444" s="5">
        <f t="shared" si="131"/>
        <v>18</v>
      </c>
      <c r="D444" s="20">
        <v>43017</v>
      </c>
      <c r="E444" s="11">
        <v>351.9</v>
      </c>
      <c r="F444" s="12">
        <f t="shared" si="137"/>
        <v>4.6000000000000041</v>
      </c>
      <c r="G444" s="14"/>
      <c r="H444" s="14"/>
      <c r="I444" s="13">
        <v>41.5</v>
      </c>
      <c r="J444" s="15">
        <f t="shared" ref="J444:J445" si="138">(I443-I444)/(D444-D443)</f>
        <v>2.3333333333333335</v>
      </c>
      <c r="K444" s="13">
        <v>20.3</v>
      </c>
      <c r="L444" s="15">
        <f t="shared" ref="L444:L445" si="139">I443-I444</f>
        <v>7</v>
      </c>
      <c r="M444" s="14"/>
      <c r="N444" s="14"/>
      <c r="O444" s="14"/>
      <c r="P444" s="14"/>
      <c r="Q444" s="14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3.2">
      <c r="A445" s="14"/>
      <c r="B445" s="5">
        <v>2</v>
      </c>
      <c r="C445" s="5">
        <f t="shared" si="131"/>
        <v>20</v>
      </c>
      <c r="D445" s="20">
        <v>43019</v>
      </c>
      <c r="E445" s="11">
        <v>340.6</v>
      </c>
      <c r="F445" s="12">
        <f t="shared" si="137"/>
        <v>5.6499999999999773</v>
      </c>
      <c r="G445" s="14"/>
      <c r="H445" s="14"/>
      <c r="I445" s="13">
        <v>37.6</v>
      </c>
      <c r="J445" s="15">
        <f t="shared" si="138"/>
        <v>1.9499999999999993</v>
      </c>
      <c r="K445" s="13">
        <v>19.899999999999999</v>
      </c>
      <c r="L445" s="15">
        <f t="shared" si="139"/>
        <v>3.8999999999999986</v>
      </c>
      <c r="M445" s="14"/>
      <c r="N445" s="14"/>
      <c r="O445" s="14"/>
      <c r="P445" s="14"/>
      <c r="Q445" s="14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3.2">
      <c r="A446" s="14"/>
      <c r="B446" s="5">
        <v>3</v>
      </c>
      <c r="C446" s="5">
        <f t="shared" si="131"/>
        <v>21</v>
      </c>
      <c r="D446" s="20">
        <v>43020</v>
      </c>
      <c r="E446" s="11">
        <v>362.5</v>
      </c>
      <c r="F446" s="12"/>
      <c r="G446" s="14"/>
      <c r="H446" s="14"/>
      <c r="I446" s="13" t="s">
        <v>24</v>
      </c>
      <c r="J446" s="14"/>
      <c r="K446" s="13"/>
      <c r="L446" s="14"/>
      <c r="M446" s="14"/>
      <c r="N446" s="14"/>
      <c r="O446" s="14"/>
      <c r="P446" s="14"/>
      <c r="Q446" s="14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3.2">
      <c r="A447" s="14"/>
      <c r="B447" s="5">
        <v>3</v>
      </c>
      <c r="C447" s="5">
        <f t="shared" si="131"/>
        <v>22</v>
      </c>
      <c r="D447" s="20">
        <f>D445+2</f>
        <v>43021</v>
      </c>
      <c r="E447" s="11">
        <v>355.9</v>
      </c>
      <c r="F447" s="12">
        <f t="shared" ref="F447:F449" si="140">(E446-E447)/(D447-D446)</f>
        <v>6.6000000000000227</v>
      </c>
      <c r="G447" s="12">
        <f>AVERAGE(F435:F482)</f>
        <v>5.3907407407407408</v>
      </c>
      <c r="H447" s="14"/>
      <c r="I447" s="13">
        <v>59.2</v>
      </c>
      <c r="J447" s="15">
        <f t="shared" ref="J447:J449" si="141">(64.3-I447)/(D447-D445)</f>
        <v>2.5499999999999972</v>
      </c>
      <c r="K447" s="13">
        <v>20.7</v>
      </c>
      <c r="L447" s="15">
        <f>64.3-I447</f>
        <v>5.0999999999999943</v>
      </c>
      <c r="M447" s="14"/>
      <c r="N447" s="14"/>
      <c r="O447" s="14"/>
      <c r="P447" s="14"/>
      <c r="Q447" s="14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3.2">
      <c r="A448" s="14"/>
      <c r="B448" s="5">
        <v>3</v>
      </c>
      <c r="C448" s="5">
        <f t="shared" si="131"/>
        <v>25</v>
      </c>
      <c r="D448" s="20">
        <f>D447+3</f>
        <v>43024</v>
      </c>
      <c r="E448" s="11">
        <v>340.5</v>
      </c>
      <c r="F448" s="12">
        <f t="shared" si="140"/>
        <v>5.1333333333333258</v>
      </c>
      <c r="G448" s="14"/>
      <c r="H448" s="14"/>
      <c r="I448" s="13">
        <v>52.6</v>
      </c>
      <c r="J448" s="15">
        <f t="shared" si="141"/>
        <v>2.9249999999999989</v>
      </c>
      <c r="K448" s="13">
        <v>20.8</v>
      </c>
      <c r="L448" s="15">
        <f t="shared" ref="L448:L449" si="142">I447-I448</f>
        <v>6.6000000000000014</v>
      </c>
      <c r="M448" s="14"/>
      <c r="N448" s="14"/>
      <c r="O448" s="14"/>
      <c r="P448" s="14"/>
      <c r="Q448" s="14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3.2">
      <c r="A449" s="14"/>
      <c r="B449" s="5">
        <v>3</v>
      </c>
      <c r="C449" s="5">
        <f t="shared" si="131"/>
        <v>27</v>
      </c>
      <c r="D449" s="20">
        <f>D448+2</f>
        <v>43026</v>
      </c>
      <c r="E449" s="11">
        <v>329</v>
      </c>
      <c r="F449" s="12">
        <f t="shared" si="140"/>
        <v>5.75</v>
      </c>
      <c r="G449" s="14"/>
      <c r="H449" s="14"/>
      <c r="I449" s="13">
        <v>48.5</v>
      </c>
      <c r="J449" s="15">
        <f t="shared" si="141"/>
        <v>3.1599999999999993</v>
      </c>
      <c r="K449" s="13">
        <v>20.6</v>
      </c>
      <c r="L449" s="15">
        <f t="shared" si="142"/>
        <v>4.1000000000000014</v>
      </c>
      <c r="M449" s="14"/>
      <c r="N449" s="14"/>
      <c r="O449" s="14"/>
      <c r="P449" s="14"/>
      <c r="Q449" s="14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3.2">
      <c r="A450" s="14"/>
      <c r="B450" s="5">
        <v>4</v>
      </c>
      <c r="C450" s="5">
        <f t="shared" si="131"/>
        <v>28</v>
      </c>
      <c r="D450" s="20">
        <v>43027</v>
      </c>
      <c r="E450" s="11">
        <v>396.1</v>
      </c>
      <c r="F450" s="12"/>
      <c r="G450" s="14"/>
      <c r="H450" s="14"/>
      <c r="I450" s="15"/>
      <c r="J450" s="14"/>
      <c r="K450" s="15"/>
      <c r="L450" s="14"/>
      <c r="M450" s="14"/>
      <c r="N450" s="14"/>
      <c r="O450" s="14"/>
      <c r="P450" s="14"/>
      <c r="Q450" s="14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3.2">
      <c r="A451" s="14"/>
      <c r="B451" s="5">
        <v>4</v>
      </c>
      <c r="C451" s="5">
        <f t="shared" si="131"/>
        <v>29</v>
      </c>
      <c r="D451" s="20">
        <f>D449+2</f>
        <v>43028</v>
      </c>
      <c r="E451" s="11">
        <v>386.4</v>
      </c>
      <c r="F451" s="12">
        <f t="shared" ref="F451:F453" si="143">(E450-E451)/(D451-D450)</f>
        <v>9.7000000000000455</v>
      </c>
      <c r="G451" s="14"/>
      <c r="H451" s="14"/>
      <c r="I451" s="13">
        <v>43.9</v>
      </c>
      <c r="J451" s="15">
        <f>(I449-I451)/(D451-D449)</f>
        <v>2.3000000000000007</v>
      </c>
      <c r="K451" s="13">
        <v>20.6</v>
      </c>
      <c r="L451" s="15">
        <f>I449-I451</f>
        <v>4.6000000000000014</v>
      </c>
      <c r="M451" s="14"/>
      <c r="N451" s="14"/>
      <c r="O451" s="14"/>
      <c r="P451" s="14"/>
      <c r="Q451" s="14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3.2">
      <c r="A452" s="14"/>
      <c r="B452" s="5">
        <v>4</v>
      </c>
      <c r="C452" s="5">
        <f t="shared" si="131"/>
        <v>32</v>
      </c>
      <c r="D452" s="20">
        <v>43031</v>
      </c>
      <c r="E452" s="11">
        <v>374.5</v>
      </c>
      <c r="F452" s="12">
        <f t="shared" si="143"/>
        <v>3.9666666666666592</v>
      </c>
      <c r="G452" s="14"/>
      <c r="H452" s="14"/>
      <c r="I452" s="13">
        <v>37.700000000000003</v>
      </c>
      <c r="J452" s="15">
        <f>(I451-I452)/(D452-D451)</f>
        <v>2.0666666666666651</v>
      </c>
      <c r="K452" s="13">
        <v>20.9</v>
      </c>
      <c r="L452" s="15">
        <f>I451-I452</f>
        <v>6.1999999999999957</v>
      </c>
      <c r="M452" s="14"/>
      <c r="N452" s="14"/>
      <c r="O452" s="14"/>
      <c r="P452" s="14"/>
      <c r="Q452" s="14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3.2">
      <c r="A453" s="14"/>
      <c r="B453" s="5">
        <v>4</v>
      </c>
      <c r="C453" s="5">
        <f t="shared" si="131"/>
        <v>34</v>
      </c>
      <c r="D453" s="20">
        <v>43033</v>
      </c>
      <c r="E453" s="11">
        <v>360.9</v>
      </c>
      <c r="F453" s="12">
        <f t="shared" si="143"/>
        <v>6.8000000000000114</v>
      </c>
      <c r="G453" s="14"/>
      <c r="H453" s="14"/>
      <c r="I453" s="13">
        <v>46.1</v>
      </c>
      <c r="J453" s="15">
        <f>(50.9-I453)/(D453-D452)</f>
        <v>2.3999999999999986</v>
      </c>
      <c r="K453" s="13">
        <v>21.3</v>
      </c>
      <c r="L453" s="15">
        <f>50.9-I453</f>
        <v>4.7999999999999972</v>
      </c>
      <c r="M453" s="14"/>
      <c r="N453" s="14"/>
      <c r="O453" s="14"/>
      <c r="P453" s="14"/>
      <c r="Q453" s="14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3.2">
      <c r="A454" s="14"/>
      <c r="B454" s="5">
        <v>5</v>
      </c>
      <c r="C454" s="5">
        <f t="shared" si="131"/>
        <v>35</v>
      </c>
      <c r="D454" s="20">
        <v>43034</v>
      </c>
      <c r="E454" s="11">
        <v>336.7</v>
      </c>
      <c r="F454" s="12"/>
      <c r="G454" s="14"/>
      <c r="H454" s="14"/>
      <c r="I454" s="15"/>
      <c r="J454" s="15"/>
      <c r="K454" s="15"/>
      <c r="L454" s="14"/>
      <c r="M454" s="14"/>
      <c r="N454" s="14"/>
      <c r="O454" s="14"/>
      <c r="P454" s="14"/>
      <c r="Q454" s="14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3.2">
      <c r="A455" s="14"/>
      <c r="B455" s="5">
        <v>5</v>
      </c>
      <c r="C455" s="5">
        <f t="shared" si="131"/>
        <v>36</v>
      </c>
      <c r="D455" s="20">
        <v>43035</v>
      </c>
      <c r="E455" s="11">
        <v>330.7</v>
      </c>
      <c r="F455" s="12">
        <f t="shared" ref="F455:F457" si="144">(E454-E455)/(D455-D454)</f>
        <v>6</v>
      </c>
      <c r="G455" s="14"/>
      <c r="H455" s="14"/>
      <c r="I455" s="13">
        <v>42.2</v>
      </c>
      <c r="J455" s="15">
        <f>(I453-I455)/(D455-D453)</f>
        <v>1.9499999999999993</v>
      </c>
      <c r="K455" s="13">
        <v>21.1</v>
      </c>
      <c r="L455" s="15">
        <f>I453-I455</f>
        <v>3.8999999999999986</v>
      </c>
      <c r="M455" s="14"/>
      <c r="N455" s="14"/>
      <c r="O455" s="14"/>
      <c r="P455" s="14"/>
      <c r="Q455" s="14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3.2">
      <c r="A456" s="14"/>
      <c r="B456" s="5">
        <v>5</v>
      </c>
      <c r="C456" s="5">
        <f t="shared" si="131"/>
        <v>39</v>
      </c>
      <c r="D456" s="20">
        <v>43038</v>
      </c>
      <c r="E456" s="11">
        <v>313.89999999999998</v>
      </c>
      <c r="F456" s="12">
        <f t="shared" si="144"/>
        <v>5.6000000000000041</v>
      </c>
      <c r="G456" s="14"/>
      <c r="H456" s="14"/>
      <c r="I456" s="13">
        <v>35.9</v>
      </c>
      <c r="J456" s="15">
        <f>(I455-I456)/(D456-D455)</f>
        <v>2.1000000000000014</v>
      </c>
      <c r="K456" s="13">
        <v>21.4</v>
      </c>
      <c r="L456" s="15">
        <f>I455-I456</f>
        <v>6.3000000000000043</v>
      </c>
      <c r="M456" s="14"/>
      <c r="N456" s="14"/>
      <c r="O456" s="14"/>
      <c r="P456" s="14"/>
      <c r="Q456" s="14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3.2">
      <c r="A457" s="14"/>
      <c r="B457" s="5">
        <v>5</v>
      </c>
      <c r="C457" s="5">
        <f t="shared" si="131"/>
        <v>41</v>
      </c>
      <c r="D457" s="20">
        <v>43040</v>
      </c>
      <c r="E457" s="11">
        <v>305.60000000000002</v>
      </c>
      <c r="F457" s="12">
        <f t="shared" si="144"/>
        <v>4.1499999999999773</v>
      </c>
      <c r="G457" s="14"/>
      <c r="H457" s="14"/>
      <c r="I457" s="13">
        <v>70.5</v>
      </c>
      <c r="J457" s="15">
        <f>(75.8-I457)/(D457-D456)</f>
        <v>2.6499999999999986</v>
      </c>
      <c r="K457" s="13">
        <v>22.2</v>
      </c>
      <c r="L457" s="15">
        <f>75.8-I457</f>
        <v>5.2999999999999972</v>
      </c>
      <c r="M457" s="14"/>
      <c r="N457" s="14"/>
      <c r="O457" s="14"/>
      <c r="P457" s="14"/>
      <c r="Q457" s="14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3.2">
      <c r="A458" s="14"/>
      <c r="B458" s="5">
        <v>6</v>
      </c>
      <c r="C458" s="5">
        <f t="shared" si="131"/>
        <v>42</v>
      </c>
      <c r="D458" s="20">
        <v>43041</v>
      </c>
      <c r="E458" s="11">
        <v>324.39999999999998</v>
      </c>
      <c r="F458" s="12"/>
      <c r="G458" s="14"/>
      <c r="H458" s="14"/>
      <c r="I458" s="15"/>
      <c r="J458" s="14"/>
      <c r="K458" s="15"/>
      <c r="L458" s="14"/>
      <c r="M458" s="14"/>
      <c r="N458" s="14"/>
      <c r="O458" s="14"/>
      <c r="P458" s="14"/>
      <c r="Q458" s="14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3.2">
      <c r="A459" s="14"/>
      <c r="B459" s="5">
        <v>6</v>
      </c>
      <c r="C459" s="5">
        <f t="shared" si="131"/>
        <v>43</v>
      </c>
      <c r="D459" s="20">
        <v>43042</v>
      </c>
      <c r="E459" s="11">
        <v>319.7</v>
      </c>
      <c r="F459" s="12">
        <f t="shared" ref="F459:F461" si="145">(E458-E459)/(D459-D458)</f>
        <v>4.6999999999999886</v>
      </c>
      <c r="G459" s="14"/>
      <c r="H459" s="14"/>
      <c r="I459" s="13">
        <v>66.599999999999994</v>
      </c>
      <c r="J459" s="15">
        <f>(I457-I459)/(D459-D457)</f>
        <v>1.9500000000000028</v>
      </c>
      <c r="K459" s="13">
        <v>22</v>
      </c>
      <c r="L459" s="15">
        <f>I457-I459</f>
        <v>3.9000000000000057</v>
      </c>
      <c r="M459" s="14"/>
      <c r="N459" s="14"/>
      <c r="O459" s="14"/>
      <c r="P459" s="14"/>
      <c r="Q459" s="14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3.2">
      <c r="A460" s="14"/>
      <c r="B460" s="5">
        <v>6</v>
      </c>
      <c r="C460" s="5">
        <f t="shared" si="131"/>
        <v>46</v>
      </c>
      <c r="D460" s="20">
        <v>43045</v>
      </c>
      <c r="E460" s="11">
        <v>302.8</v>
      </c>
      <c r="F460" s="12">
        <f t="shared" si="145"/>
        <v>5.6333333333333258</v>
      </c>
      <c r="G460" s="14"/>
      <c r="H460" s="14"/>
      <c r="I460" s="13">
        <v>59.1</v>
      </c>
      <c r="J460" s="15">
        <f t="shared" ref="J460:J461" si="146">(I459-I460)/(D460-D459)</f>
        <v>2.4999999999999978</v>
      </c>
      <c r="K460" s="13">
        <v>23.6</v>
      </c>
      <c r="L460" s="15">
        <f t="shared" ref="L460:L461" si="147">I459-I460</f>
        <v>7.4999999999999929</v>
      </c>
      <c r="M460" s="14"/>
      <c r="N460" s="14"/>
      <c r="O460" s="14"/>
      <c r="P460" s="14"/>
      <c r="Q460" s="14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3.2">
      <c r="A461" s="14"/>
      <c r="B461" s="5">
        <v>6</v>
      </c>
      <c r="C461" s="5">
        <f t="shared" si="131"/>
        <v>48</v>
      </c>
      <c r="D461" s="20">
        <v>43047</v>
      </c>
      <c r="E461" s="11">
        <v>293.3</v>
      </c>
      <c r="F461" s="12">
        <f t="shared" si="145"/>
        <v>4.75</v>
      </c>
      <c r="G461" s="14"/>
      <c r="H461" s="14"/>
      <c r="I461" s="13">
        <v>57.5</v>
      </c>
      <c r="J461" s="15">
        <f t="shared" si="146"/>
        <v>0.80000000000000071</v>
      </c>
      <c r="K461" s="13">
        <v>22.9</v>
      </c>
      <c r="L461" s="15">
        <f t="shared" si="147"/>
        <v>1.6000000000000014</v>
      </c>
      <c r="M461" s="14"/>
      <c r="N461" s="14"/>
      <c r="O461" s="14"/>
      <c r="P461" s="14"/>
      <c r="Q461" s="14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3.2">
      <c r="A462" s="14"/>
      <c r="B462" s="5">
        <v>7</v>
      </c>
      <c r="C462" s="5">
        <f t="shared" si="131"/>
        <v>49</v>
      </c>
      <c r="D462" s="20">
        <v>43048</v>
      </c>
      <c r="E462" s="11">
        <v>363</v>
      </c>
      <c r="F462" s="12"/>
      <c r="G462" s="14"/>
      <c r="H462" s="14"/>
      <c r="I462" s="15"/>
      <c r="J462" s="14"/>
      <c r="K462" s="15"/>
      <c r="L462" s="14"/>
      <c r="M462" s="14"/>
      <c r="N462" s="14"/>
      <c r="O462" s="14"/>
      <c r="P462" s="14"/>
      <c r="Q462" s="14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3.2">
      <c r="A463" s="14"/>
      <c r="B463" s="5">
        <v>7</v>
      </c>
      <c r="C463" s="5">
        <f t="shared" si="131"/>
        <v>50</v>
      </c>
      <c r="D463" s="20">
        <v>43049</v>
      </c>
      <c r="E463" s="11">
        <v>355</v>
      </c>
      <c r="F463" s="12">
        <f t="shared" ref="F463:F465" si="148">(E462-E463)/(D463-D462)</f>
        <v>8</v>
      </c>
      <c r="G463" s="14"/>
      <c r="H463" s="14"/>
      <c r="I463" s="13">
        <v>52.6</v>
      </c>
      <c r="J463" s="15">
        <f>(I461-I463)/(D463-D461)</f>
        <v>2.4499999999999993</v>
      </c>
      <c r="K463" s="13">
        <v>23.5</v>
      </c>
      <c r="L463" s="15">
        <f>I461-I463</f>
        <v>4.8999999999999986</v>
      </c>
      <c r="M463" s="14"/>
      <c r="N463" s="14"/>
      <c r="O463" s="14"/>
      <c r="P463" s="14"/>
      <c r="Q463" s="14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3.2">
      <c r="A464" s="14"/>
      <c r="B464" s="5">
        <v>7</v>
      </c>
      <c r="C464" s="5">
        <f t="shared" si="131"/>
        <v>53</v>
      </c>
      <c r="D464" s="20">
        <v>43052</v>
      </c>
      <c r="E464" s="11">
        <v>343.8</v>
      </c>
      <c r="F464" s="12">
        <f t="shared" si="148"/>
        <v>3.7333333333333294</v>
      </c>
      <c r="G464" s="14"/>
      <c r="H464" s="14"/>
      <c r="I464" s="13">
        <v>45.6</v>
      </c>
      <c r="J464" s="15">
        <f t="shared" ref="J464:J465" si="149">(I463-I464)/(D464-D463)</f>
        <v>2.3333333333333335</v>
      </c>
      <c r="K464" s="13">
        <v>23.8</v>
      </c>
      <c r="L464" s="15">
        <f t="shared" ref="L464:L465" si="150">I463-I464</f>
        <v>7</v>
      </c>
      <c r="M464" s="14"/>
      <c r="N464" s="14"/>
      <c r="O464" s="14"/>
      <c r="P464" s="14"/>
      <c r="Q464" s="14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3.2">
      <c r="A465" s="14"/>
      <c r="B465" s="5">
        <v>7</v>
      </c>
      <c r="C465" s="5">
        <f t="shared" si="131"/>
        <v>55</v>
      </c>
      <c r="D465" s="20">
        <v>43054</v>
      </c>
      <c r="E465" s="11">
        <v>335.2</v>
      </c>
      <c r="F465" s="12">
        <f t="shared" si="148"/>
        <v>4.3000000000000114</v>
      </c>
      <c r="G465" s="14"/>
      <c r="H465" s="14"/>
      <c r="I465" s="13">
        <v>41</v>
      </c>
      <c r="J465" s="15">
        <f t="shared" si="149"/>
        <v>2.3000000000000007</v>
      </c>
      <c r="K465" s="13">
        <v>24.3</v>
      </c>
      <c r="L465" s="15">
        <f t="shared" si="150"/>
        <v>4.6000000000000014</v>
      </c>
      <c r="M465" s="14"/>
      <c r="N465" s="14"/>
      <c r="O465" s="14"/>
      <c r="P465" s="14"/>
      <c r="Q465" s="14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3.2">
      <c r="A466" s="14"/>
      <c r="B466" s="5">
        <v>8</v>
      </c>
      <c r="C466" s="5">
        <f t="shared" si="131"/>
        <v>56</v>
      </c>
      <c r="D466" s="20">
        <v>43055</v>
      </c>
      <c r="E466" s="11">
        <v>364</v>
      </c>
      <c r="F466" s="12"/>
      <c r="G466" s="14"/>
      <c r="H466" s="14"/>
      <c r="I466" s="15"/>
      <c r="J466" s="14"/>
      <c r="K466" s="15"/>
      <c r="L466" s="14"/>
      <c r="M466" s="14"/>
      <c r="N466" s="14"/>
      <c r="O466" s="14"/>
      <c r="P466" s="14"/>
      <c r="Q466" s="14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3.2">
      <c r="A467" s="14"/>
      <c r="B467" s="5">
        <v>8</v>
      </c>
      <c r="C467" s="5">
        <f t="shared" si="131"/>
        <v>57</v>
      </c>
      <c r="D467" s="20">
        <v>43056</v>
      </c>
      <c r="E467" s="11">
        <v>356.3</v>
      </c>
      <c r="F467" s="12">
        <f t="shared" ref="F467:F468" si="151">(E466-E467)/(D467-D466)</f>
        <v>7.6999999999999886</v>
      </c>
      <c r="G467" s="14"/>
      <c r="H467" s="14"/>
      <c r="I467" s="13">
        <v>35.5</v>
      </c>
      <c r="J467" s="15">
        <f>(I465-I467)/(D467-D465)</f>
        <v>2.75</v>
      </c>
      <c r="K467" s="13">
        <v>25.2</v>
      </c>
      <c r="L467" s="15">
        <f>I465-I467</f>
        <v>5.5</v>
      </c>
      <c r="M467" s="14"/>
      <c r="N467" s="14"/>
      <c r="O467" s="14"/>
      <c r="P467" s="14"/>
      <c r="Q467" s="14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3.2">
      <c r="A468" s="14"/>
      <c r="B468" s="5">
        <v>8</v>
      </c>
      <c r="C468" s="5">
        <f t="shared" si="131"/>
        <v>60</v>
      </c>
      <c r="D468" s="20">
        <v>43059</v>
      </c>
      <c r="E468" s="11">
        <v>342.9</v>
      </c>
      <c r="F468" s="12">
        <f t="shared" si="151"/>
        <v>4.4666666666666783</v>
      </c>
      <c r="G468" s="14"/>
      <c r="H468" s="14"/>
      <c r="I468" s="13">
        <v>28.7</v>
      </c>
      <c r="J468" s="15">
        <f>(I467-I468)/(D468-D467)</f>
        <v>2.2666666666666671</v>
      </c>
      <c r="K468" s="13">
        <v>25.5</v>
      </c>
      <c r="L468" s="15">
        <f>I467-I468</f>
        <v>6.8000000000000007</v>
      </c>
      <c r="M468" s="14"/>
      <c r="N468" s="14"/>
      <c r="O468" s="14"/>
      <c r="P468" s="14"/>
      <c r="Q468" s="14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3.2">
      <c r="A469" s="14"/>
      <c r="B469" s="5">
        <v>8</v>
      </c>
      <c r="C469" s="5">
        <f t="shared" si="131"/>
        <v>61</v>
      </c>
      <c r="D469" s="20">
        <v>43060</v>
      </c>
      <c r="E469" s="11">
        <v>359.3</v>
      </c>
      <c r="F469" s="12"/>
      <c r="G469" s="14"/>
      <c r="H469" s="14"/>
      <c r="I469" s="15"/>
      <c r="J469" s="14"/>
      <c r="K469" s="15"/>
      <c r="L469" s="14"/>
      <c r="M469" s="14"/>
      <c r="N469" s="14"/>
      <c r="O469" s="14"/>
      <c r="P469" s="14"/>
      <c r="Q469" s="14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3.2">
      <c r="A470" s="14"/>
      <c r="B470" s="5">
        <v>8</v>
      </c>
      <c r="C470" s="5">
        <f t="shared" si="131"/>
        <v>62</v>
      </c>
      <c r="D470" s="20">
        <v>43061</v>
      </c>
      <c r="E470" s="11">
        <v>351.1</v>
      </c>
      <c r="F470" s="12">
        <f>(E469-E470)/(D470-D469)</f>
        <v>8.1999999999999886</v>
      </c>
      <c r="G470" s="14"/>
      <c r="H470" s="14"/>
      <c r="I470" s="13">
        <v>73.8</v>
      </c>
      <c r="J470" s="14">
        <f>(80.4-I470)/(D470-D469)</f>
        <v>6.6000000000000085</v>
      </c>
      <c r="K470" s="13">
        <v>27.6</v>
      </c>
      <c r="L470" s="15">
        <f>80.4-I470</f>
        <v>6.6000000000000085</v>
      </c>
      <c r="M470" s="14"/>
      <c r="N470" s="14"/>
      <c r="O470" s="14"/>
      <c r="P470" s="14"/>
      <c r="Q470" s="14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3.2">
      <c r="A471" s="14"/>
      <c r="B471" s="5">
        <v>9</v>
      </c>
      <c r="C471" s="5">
        <f t="shared" si="131"/>
        <v>63</v>
      </c>
      <c r="D471" s="20">
        <v>43062</v>
      </c>
      <c r="E471" s="11"/>
      <c r="F471" s="12"/>
      <c r="G471" s="14"/>
      <c r="H471" s="14"/>
      <c r="I471" s="13"/>
      <c r="J471" s="15"/>
      <c r="K471" s="13"/>
      <c r="L471" s="14"/>
      <c r="M471" s="14"/>
      <c r="N471" s="14"/>
      <c r="O471" s="14"/>
      <c r="P471" s="14"/>
      <c r="Q471" s="14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3.2">
      <c r="A472" s="14"/>
      <c r="B472" s="5">
        <v>9</v>
      </c>
      <c r="C472" s="5">
        <f t="shared" si="131"/>
        <v>64</v>
      </c>
      <c r="D472" s="20">
        <v>43063</v>
      </c>
      <c r="E472" s="11">
        <v>342.4</v>
      </c>
      <c r="F472" s="12">
        <f>(E470-E472)/(D472-D470)</f>
        <v>4.3500000000000227</v>
      </c>
      <c r="G472" s="14"/>
      <c r="H472" s="14"/>
      <c r="I472" s="13">
        <v>70.099999999999994</v>
      </c>
      <c r="J472" s="15">
        <f>(I470-I472)/(D472-D470)</f>
        <v>1.8500000000000014</v>
      </c>
      <c r="K472" s="13">
        <v>26.3</v>
      </c>
      <c r="L472" s="15">
        <f>I470-I472</f>
        <v>3.7000000000000028</v>
      </c>
      <c r="M472" s="14"/>
      <c r="N472" s="14"/>
      <c r="O472" s="14"/>
      <c r="P472" s="14"/>
      <c r="Q472" s="14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3.2">
      <c r="A473" s="14"/>
      <c r="B473" s="5">
        <v>9</v>
      </c>
      <c r="C473" s="5">
        <f t="shared" si="131"/>
        <v>67</v>
      </c>
      <c r="D473" s="23">
        <v>43066</v>
      </c>
      <c r="E473" s="11">
        <v>331.7</v>
      </c>
      <c r="F473" s="12">
        <f t="shared" ref="F473:F474" si="152">(E472-E473)/(D473-D472)</f>
        <v>3.5666666666666629</v>
      </c>
      <c r="G473" s="14"/>
      <c r="H473" s="14"/>
      <c r="I473" s="13">
        <v>63</v>
      </c>
      <c r="J473" s="15">
        <f t="shared" ref="J473:J474" si="153">(I472-I473)/(D473-D472)</f>
        <v>2.3666666666666649</v>
      </c>
      <c r="K473" s="13">
        <v>26.7</v>
      </c>
      <c r="L473" s="15">
        <f t="shared" ref="L473:L474" si="154">I472-I473</f>
        <v>7.0999999999999943</v>
      </c>
      <c r="M473" s="14"/>
      <c r="N473" s="14"/>
      <c r="O473" s="14"/>
      <c r="P473" s="14"/>
      <c r="Q473" s="14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3.2">
      <c r="A474" s="14"/>
      <c r="B474" s="5">
        <v>9</v>
      </c>
      <c r="C474" s="5">
        <f t="shared" si="131"/>
        <v>69</v>
      </c>
      <c r="D474" s="23">
        <v>43068</v>
      </c>
      <c r="E474" s="11">
        <v>323.3</v>
      </c>
      <c r="F474" s="12">
        <f t="shared" si="152"/>
        <v>4.1999999999999886</v>
      </c>
      <c r="G474" s="14"/>
      <c r="H474" s="14"/>
      <c r="I474" s="13">
        <v>58.5</v>
      </c>
      <c r="J474" s="15">
        <f t="shared" si="153"/>
        <v>2.25</v>
      </c>
      <c r="K474" s="13">
        <v>26.7</v>
      </c>
      <c r="L474" s="15">
        <f t="shared" si="154"/>
        <v>4.5</v>
      </c>
      <c r="M474" s="14"/>
      <c r="N474" s="14"/>
      <c r="O474" s="14"/>
      <c r="P474" s="14"/>
      <c r="Q474" s="14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3.2">
      <c r="A475" s="14"/>
      <c r="B475" s="5">
        <v>10</v>
      </c>
      <c r="C475" s="5">
        <f t="shared" si="131"/>
        <v>70</v>
      </c>
      <c r="D475" s="23">
        <v>43069</v>
      </c>
      <c r="E475" s="11">
        <v>339.4</v>
      </c>
      <c r="F475" s="12"/>
      <c r="G475" s="14"/>
      <c r="H475" s="14"/>
      <c r="I475" s="15"/>
      <c r="J475" s="14"/>
      <c r="K475" s="15"/>
      <c r="L475" s="14"/>
      <c r="M475" s="14"/>
      <c r="N475" s="14"/>
      <c r="O475" s="14"/>
      <c r="P475" s="14"/>
      <c r="Q475" s="14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3.2">
      <c r="A476" s="14"/>
      <c r="B476" s="5">
        <v>10</v>
      </c>
      <c r="C476" s="5">
        <f t="shared" si="131"/>
        <v>71</v>
      </c>
      <c r="D476" s="23">
        <v>43070</v>
      </c>
      <c r="E476" s="11">
        <v>332.2</v>
      </c>
      <c r="F476" s="12">
        <f t="shared" ref="F476:F478" si="155">(E475-E476)/(D476-D475)</f>
        <v>7.1999999999999886</v>
      </c>
      <c r="G476" s="14"/>
      <c r="H476" s="14"/>
      <c r="I476" s="13">
        <v>52.8</v>
      </c>
      <c r="J476" s="15">
        <f>(I474-I476)/(D476-D474)</f>
        <v>2.8500000000000014</v>
      </c>
      <c r="K476" s="13">
        <v>27.5</v>
      </c>
      <c r="L476" s="15">
        <f>I474-I476</f>
        <v>5.7000000000000028</v>
      </c>
      <c r="M476" s="14"/>
      <c r="N476" s="14"/>
      <c r="O476" s="14"/>
      <c r="P476" s="14"/>
      <c r="Q476" s="14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3.2">
      <c r="A477" s="14"/>
      <c r="B477" s="5">
        <v>10</v>
      </c>
      <c r="C477" s="5">
        <f t="shared" si="131"/>
        <v>74</v>
      </c>
      <c r="D477" s="23">
        <v>43073</v>
      </c>
      <c r="E477" s="11">
        <v>322.39999999999998</v>
      </c>
      <c r="F477" s="12">
        <f t="shared" si="155"/>
        <v>3.2666666666666706</v>
      </c>
      <c r="G477" s="14"/>
      <c r="H477" s="14"/>
      <c r="I477" s="13">
        <v>47.1</v>
      </c>
      <c r="J477" s="15">
        <f t="shared" ref="J477:J478" si="156">(I476-I477)/(D477-D476)</f>
        <v>1.8999999999999986</v>
      </c>
      <c r="K477" s="13">
        <v>26.6</v>
      </c>
      <c r="L477" s="15">
        <f t="shared" ref="L477:L478" si="157">I476-I477</f>
        <v>5.6999999999999957</v>
      </c>
      <c r="M477" s="14"/>
      <c r="N477" s="14"/>
      <c r="O477" s="14"/>
      <c r="P477" s="14"/>
      <c r="Q477" s="14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3.2">
      <c r="A478" s="14"/>
      <c r="B478" s="5">
        <v>10</v>
      </c>
      <c r="C478" s="5">
        <f t="shared" si="131"/>
        <v>76</v>
      </c>
      <c r="D478" s="23">
        <v>43075</v>
      </c>
      <c r="E478" s="11">
        <v>310</v>
      </c>
      <c r="F478" s="12">
        <f t="shared" si="155"/>
        <v>6.1999999999999886</v>
      </c>
      <c r="G478" s="14"/>
      <c r="H478" s="14"/>
      <c r="I478" s="13">
        <v>42.4</v>
      </c>
      <c r="J478" s="15">
        <f t="shared" si="156"/>
        <v>2.3500000000000014</v>
      </c>
      <c r="K478" s="13">
        <v>27.2</v>
      </c>
      <c r="L478" s="15">
        <f t="shared" si="157"/>
        <v>4.7000000000000028</v>
      </c>
      <c r="M478" s="14"/>
      <c r="N478" s="14"/>
      <c r="O478" s="14"/>
      <c r="P478" s="14"/>
      <c r="Q478" s="14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3.2">
      <c r="A479" s="14"/>
      <c r="B479" s="5">
        <v>11</v>
      </c>
      <c r="C479" s="5">
        <f t="shared" si="131"/>
        <v>77</v>
      </c>
      <c r="D479" s="24">
        <v>43076</v>
      </c>
      <c r="E479" s="11">
        <v>361.7</v>
      </c>
      <c r="F479" s="12"/>
      <c r="G479" s="14"/>
      <c r="H479" s="14"/>
      <c r="I479" s="15"/>
      <c r="J479" s="14"/>
      <c r="K479" s="15"/>
      <c r="L479" s="14"/>
      <c r="M479" s="14"/>
      <c r="N479" s="14"/>
      <c r="O479" s="14"/>
      <c r="P479" s="14"/>
      <c r="Q479" s="14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3.2">
      <c r="A480" s="14"/>
      <c r="B480" s="5">
        <v>11</v>
      </c>
      <c r="C480" s="5">
        <f t="shared" si="131"/>
        <v>78</v>
      </c>
      <c r="D480" s="24">
        <v>43077</v>
      </c>
      <c r="E480" s="11">
        <v>358.2</v>
      </c>
      <c r="F480" s="12">
        <f t="shared" ref="F480:F482" si="158">(E479-E480)/(D480-D479)</f>
        <v>3.5</v>
      </c>
      <c r="G480" s="14"/>
      <c r="H480" s="14"/>
      <c r="I480" s="13">
        <v>39</v>
      </c>
      <c r="J480" s="16">
        <f>(I478-I480)/(D480-D478)</f>
        <v>1.6999999999999993</v>
      </c>
      <c r="K480" s="13">
        <v>26.7</v>
      </c>
      <c r="L480" s="15">
        <f>I478-I480</f>
        <v>3.3999999999999986</v>
      </c>
      <c r="M480" s="14"/>
      <c r="N480" s="14"/>
      <c r="O480" s="14"/>
      <c r="P480" s="14"/>
      <c r="Q480" s="14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3.2">
      <c r="A481" s="14"/>
      <c r="B481" s="5">
        <v>11</v>
      </c>
      <c r="C481" s="5">
        <f t="shared" si="131"/>
        <v>81</v>
      </c>
      <c r="D481" s="24">
        <v>43080</v>
      </c>
      <c r="E481" s="11">
        <v>347.8</v>
      </c>
      <c r="F481" s="12">
        <f t="shared" si="158"/>
        <v>3.4666666666666592</v>
      </c>
      <c r="G481" s="14"/>
      <c r="H481" s="14"/>
      <c r="I481" s="13">
        <v>31.9</v>
      </c>
      <c r="J481" s="21">
        <f t="shared" ref="J481:J482" si="159">(I480-I481)/(D481-D480)</f>
        <v>2.3666666666666671</v>
      </c>
      <c r="K481" s="13">
        <v>27.3</v>
      </c>
      <c r="L481" s="15">
        <f t="shared" ref="L481:L482" si="160">I480-I481</f>
        <v>7.1000000000000014</v>
      </c>
      <c r="M481" s="14"/>
      <c r="N481" s="14"/>
      <c r="O481" s="14"/>
      <c r="P481" s="14"/>
      <c r="Q481" s="14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3.2">
      <c r="A482" s="14"/>
      <c r="B482" s="5">
        <v>11</v>
      </c>
      <c r="C482" s="5">
        <f t="shared" si="131"/>
        <v>83</v>
      </c>
      <c r="D482" s="25">
        <v>43082</v>
      </c>
      <c r="E482" s="11">
        <v>336</v>
      </c>
      <c r="F482" s="12">
        <f t="shared" si="158"/>
        <v>5.9000000000000057</v>
      </c>
      <c r="G482" s="14"/>
      <c r="H482" s="14"/>
      <c r="I482" s="13">
        <v>27.7</v>
      </c>
      <c r="J482" s="21">
        <f t="shared" si="159"/>
        <v>2.0999999999999996</v>
      </c>
      <c r="K482" s="13">
        <v>27.5</v>
      </c>
      <c r="L482" s="15">
        <f t="shared" si="160"/>
        <v>4.1999999999999993</v>
      </c>
      <c r="M482" s="14"/>
      <c r="N482" s="14"/>
      <c r="O482" s="14"/>
      <c r="P482" s="14"/>
      <c r="Q482" s="14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3.2">
      <c r="A483" s="14"/>
      <c r="B483" s="5">
        <v>12</v>
      </c>
      <c r="C483" s="5">
        <f t="shared" si="131"/>
        <v>84</v>
      </c>
      <c r="D483" s="24">
        <v>43083</v>
      </c>
      <c r="E483" s="12"/>
      <c r="F483" s="12"/>
      <c r="G483" s="14"/>
      <c r="H483" s="14"/>
      <c r="I483" s="15"/>
      <c r="J483" s="14"/>
      <c r="K483" s="13"/>
      <c r="L483" s="14"/>
      <c r="M483" s="14"/>
      <c r="N483" s="14"/>
      <c r="O483" s="14"/>
      <c r="P483" s="14"/>
      <c r="Q483" s="14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3.2">
      <c r="A484" s="174"/>
      <c r="B484" s="170">
        <v>12</v>
      </c>
      <c r="C484" s="170">
        <f t="shared" si="131"/>
        <v>85</v>
      </c>
      <c r="D484" s="178">
        <v>43084</v>
      </c>
      <c r="E484" s="175"/>
      <c r="F484" s="175"/>
      <c r="G484" s="174"/>
      <c r="H484" s="174"/>
      <c r="I484" s="179"/>
      <c r="J484" s="174"/>
      <c r="K484" s="176">
        <v>27.4</v>
      </c>
      <c r="L484" s="174"/>
      <c r="M484" s="174"/>
      <c r="N484" s="14"/>
      <c r="O484" s="14"/>
      <c r="P484" s="14"/>
      <c r="Q484" s="14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3.2">
      <c r="A485" s="14"/>
      <c r="B485" s="5">
        <v>12</v>
      </c>
      <c r="C485" s="5">
        <f t="shared" si="131"/>
        <v>98</v>
      </c>
      <c r="D485" s="32">
        <v>43097</v>
      </c>
      <c r="E485" s="12"/>
      <c r="F485" s="12"/>
      <c r="G485" s="14"/>
      <c r="H485" s="14"/>
      <c r="I485" s="33">
        <v>65</v>
      </c>
      <c r="J485" s="14"/>
      <c r="K485" s="33">
        <v>31.6</v>
      </c>
      <c r="L485" s="14"/>
      <c r="M485" s="14"/>
      <c r="N485" s="14"/>
      <c r="O485" s="14"/>
      <c r="P485" s="14"/>
      <c r="Q485" s="14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3.2">
      <c r="A486" s="14"/>
      <c r="B486" s="5">
        <v>12</v>
      </c>
      <c r="C486" s="5">
        <f t="shared" si="131"/>
        <v>105</v>
      </c>
      <c r="D486" s="32">
        <v>43104</v>
      </c>
      <c r="E486" s="12"/>
      <c r="F486" s="12"/>
      <c r="G486" s="14"/>
      <c r="H486" s="14"/>
      <c r="I486" s="33">
        <v>47.3</v>
      </c>
      <c r="J486" s="14"/>
      <c r="K486" s="33">
        <v>32.299999999999997</v>
      </c>
      <c r="L486" s="14"/>
      <c r="M486" s="14"/>
      <c r="N486" s="14"/>
      <c r="O486" s="14"/>
      <c r="P486" s="14"/>
      <c r="Q486" s="14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3.2">
      <c r="A487" s="14"/>
      <c r="B487" s="5"/>
      <c r="C487" s="5">
        <f t="shared" si="131"/>
        <v>112</v>
      </c>
      <c r="D487" s="32">
        <v>43111</v>
      </c>
      <c r="E487" s="12"/>
      <c r="F487" s="12"/>
      <c r="G487" s="14"/>
      <c r="H487" s="14"/>
      <c r="I487" s="33">
        <v>41.9</v>
      </c>
      <c r="J487" s="14"/>
      <c r="K487" s="33">
        <v>27.5</v>
      </c>
      <c r="L487" s="14"/>
      <c r="M487" s="14"/>
      <c r="N487" s="14"/>
      <c r="O487" s="14"/>
      <c r="P487" s="14"/>
      <c r="Q487" s="14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3.2">
      <c r="A488" s="14"/>
      <c r="B488" s="14"/>
      <c r="C488" s="5">
        <f t="shared" si="131"/>
        <v>116</v>
      </c>
      <c r="D488" s="20">
        <v>43115</v>
      </c>
      <c r="E488" s="12"/>
      <c r="F488" s="12"/>
      <c r="G488" s="14"/>
      <c r="H488" s="14"/>
      <c r="I488" s="33">
        <v>36.4</v>
      </c>
      <c r="J488" s="14"/>
      <c r="K488" s="33">
        <v>27</v>
      </c>
      <c r="L488" s="14"/>
      <c r="M488" s="14"/>
      <c r="N488" s="14"/>
      <c r="O488" s="14"/>
      <c r="P488" s="14"/>
      <c r="Q488" s="14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3.2">
      <c r="A489" s="14"/>
      <c r="B489" s="5"/>
      <c r="C489" s="5">
        <v>117</v>
      </c>
      <c r="D489" s="32">
        <v>43116</v>
      </c>
      <c r="E489" s="12"/>
      <c r="F489" s="12"/>
      <c r="G489" s="14"/>
      <c r="H489" s="14"/>
      <c r="I489" s="33">
        <v>34.5</v>
      </c>
      <c r="J489" s="14"/>
      <c r="K489" s="33">
        <v>27.1</v>
      </c>
      <c r="L489" s="14"/>
      <c r="M489" s="14"/>
      <c r="N489" s="14"/>
      <c r="O489" s="14"/>
      <c r="P489" s="14"/>
      <c r="Q489" s="14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3.2">
      <c r="A490" s="14"/>
      <c r="B490" s="5"/>
      <c r="C490" s="5">
        <v>118</v>
      </c>
      <c r="D490" s="32">
        <v>43117</v>
      </c>
      <c r="E490" s="12"/>
      <c r="F490" s="12"/>
      <c r="G490" s="14"/>
      <c r="H490" s="14"/>
      <c r="I490" s="33">
        <v>54.4</v>
      </c>
      <c r="J490" s="14"/>
      <c r="K490" s="33">
        <v>27.4</v>
      </c>
      <c r="L490" s="14"/>
      <c r="M490" s="14"/>
      <c r="N490" s="14"/>
      <c r="O490" s="14"/>
      <c r="P490" s="14"/>
      <c r="Q490" s="14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26.4">
      <c r="A491" s="5" t="s">
        <v>82</v>
      </c>
      <c r="B491" s="14"/>
      <c r="C491" s="5">
        <v>119</v>
      </c>
      <c r="D491" s="122">
        <v>43118</v>
      </c>
      <c r="E491" s="12"/>
      <c r="F491" s="12"/>
      <c r="G491" s="14"/>
      <c r="H491" s="14"/>
      <c r="I491" s="127">
        <v>52.1</v>
      </c>
      <c r="J491" s="14"/>
      <c r="K491" s="127">
        <v>27.9</v>
      </c>
      <c r="L491" s="14"/>
      <c r="M491" s="14"/>
      <c r="N491" s="14"/>
      <c r="O491" s="14"/>
      <c r="P491" s="14"/>
      <c r="Q491" s="14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3.2">
      <c r="A492" s="14"/>
      <c r="B492" s="14"/>
      <c r="C492" s="5">
        <v>120</v>
      </c>
      <c r="D492" s="122">
        <v>43119</v>
      </c>
      <c r="E492" s="12"/>
      <c r="F492" s="12"/>
      <c r="G492" s="14"/>
      <c r="H492" s="14"/>
      <c r="I492" s="127" t="s">
        <v>71</v>
      </c>
      <c r="J492" s="14"/>
      <c r="K492" s="127">
        <v>27.9</v>
      </c>
      <c r="L492" s="14"/>
      <c r="M492" s="14"/>
      <c r="N492" s="14"/>
      <c r="O492" s="14"/>
      <c r="P492" s="14"/>
      <c r="Q492" s="14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3.2">
      <c r="A493" s="14"/>
      <c r="B493" s="14"/>
      <c r="C493" s="5">
        <v>121</v>
      </c>
      <c r="D493" s="122">
        <v>43120</v>
      </c>
      <c r="E493" s="12"/>
      <c r="F493" s="12"/>
      <c r="G493" s="14"/>
      <c r="H493" s="14"/>
      <c r="I493" s="127" t="s">
        <v>71</v>
      </c>
      <c r="J493" s="14"/>
      <c r="K493" s="127">
        <v>27.9</v>
      </c>
      <c r="L493" s="14"/>
      <c r="M493" s="14"/>
      <c r="N493" s="14"/>
      <c r="O493" s="14"/>
      <c r="P493" s="14"/>
      <c r="Q493" s="14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3.2">
      <c r="A494" s="14"/>
      <c r="B494" s="14"/>
      <c r="C494" s="5">
        <v>122</v>
      </c>
      <c r="D494" s="122">
        <v>43121</v>
      </c>
      <c r="E494" s="12"/>
      <c r="F494" s="12"/>
      <c r="G494" s="14"/>
      <c r="H494" s="14"/>
      <c r="I494" s="127" t="s">
        <v>71</v>
      </c>
      <c r="J494" s="14"/>
      <c r="K494" s="127">
        <v>28.2</v>
      </c>
      <c r="L494" s="14"/>
      <c r="M494" s="14"/>
      <c r="N494" s="14"/>
      <c r="O494" s="14"/>
      <c r="P494" s="14"/>
      <c r="Q494" s="14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3.2">
      <c r="A495" s="14"/>
      <c r="B495" s="14"/>
      <c r="C495" s="5">
        <v>123</v>
      </c>
      <c r="D495" s="122">
        <v>43122</v>
      </c>
      <c r="E495" s="12"/>
      <c r="F495" s="12"/>
      <c r="G495" s="14"/>
      <c r="H495" s="14"/>
      <c r="I495" s="127" t="s">
        <v>71</v>
      </c>
      <c r="J495" s="14"/>
      <c r="K495" s="127">
        <v>28</v>
      </c>
      <c r="L495" s="14"/>
      <c r="M495" s="14"/>
      <c r="N495" s="14"/>
      <c r="O495" s="14"/>
      <c r="P495" s="14"/>
      <c r="Q495" s="14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3.2">
      <c r="A496" s="14"/>
      <c r="B496" s="14"/>
      <c r="C496" s="5">
        <v>124</v>
      </c>
      <c r="D496" s="122">
        <v>43123</v>
      </c>
      <c r="E496" s="12"/>
      <c r="F496" s="12"/>
      <c r="G496" s="14"/>
      <c r="H496" s="14"/>
      <c r="I496" s="127" t="s">
        <v>71</v>
      </c>
      <c r="J496" s="14"/>
      <c r="K496" s="127">
        <v>27.8</v>
      </c>
      <c r="L496" s="14"/>
      <c r="M496" s="14"/>
      <c r="N496" s="14"/>
      <c r="O496" s="14"/>
      <c r="P496" s="14"/>
      <c r="Q496" s="14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3.2">
      <c r="A497" s="14"/>
      <c r="B497" s="14"/>
      <c r="C497" s="5">
        <v>125</v>
      </c>
      <c r="D497" s="119">
        <v>43124</v>
      </c>
      <c r="E497" s="12"/>
      <c r="F497" s="12"/>
      <c r="G497" s="14"/>
      <c r="H497" s="14"/>
      <c r="I497" s="127" t="s">
        <v>71</v>
      </c>
      <c r="J497" s="14"/>
      <c r="K497" s="127">
        <v>27.9</v>
      </c>
      <c r="L497" s="14"/>
      <c r="M497" s="14"/>
      <c r="N497" s="14"/>
      <c r="O497" s="14"/>
      <c r="P497" s="14"/>
      <c r="Q497" s="14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3.2">
      <c r="A498" s="14"/>
      <c r="B498" s="14"/>
      <c r="C498" s="5">
        <v>126</v>
      </c>
      <c r="D498" s="119">
        <v>43125</v>
      </c>
      <c r="E498" s="12"/>
      <c r="F498" s="12"/>
      <c r="G498" s="14"/>
      <c r="H498" s="14"/>
      <c r="I498" s="127" t="s">
        <v>71</v>
      </c>
      <c r="J498" s="14"/>
      <c r="K498" s="127">
        <v>28</v>
      </c>
      <c r="L498" s="14"/>
      <c r="M498" s="14"/>
      <c r="N498" s="14"/>
      <c r="O498" s="14"/>
      <c r="P498" s="14"/>
      <c r="Q498" s="14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3.2">
      <c r="A499" s="14"/>
      <c r="B499" s="14"/>
      <c r="C499" s="5">
        <v>127</v>
      </c>
      <c r="D499" s="119">
        <v>43126</v>
      </c>
      <c r="E499" s="12"/>
      <c r="F499" s="12"/>
      <c r="G499" s="14"/>
      <c r="H499" s="14"/>
      <c r="I499" s="127" t="s">
        <v>71</v>
      </c>
      <c r="J499" s="14"/>
      <c r="K499" s="127">
        <v>28.2</v>
      </c>
      <c r="L499" s="14"/>
      <c r="M499" s="14"/>
      <c r="N499" s="14"/>
      <c r="O499" s="14"/>
      <c r="P499" s="14"/>
      <c r="Q499" s="14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3.2">
      <c r="A500" s="14"/>
      <c r="B500" s="14"/>
      <c r="C500" s="5">
        <v>128</v>
      </c>
      <c r="D500" s="119">
        <v>43127</v>
      </c>
      <c r="E500" s="12"/>
      <c r="F500" s="12"/>
      <c r="G500" s="14"/>
      <c r="H500" s="14"/>
      <c r="I500" s="127" t="s">
        <v>71</v>
      </c>
      <c r="J500" s="14"/>
      <c r="K500" s="127">
        <v>28</v>
      </c>
      <c r="L500" s="14"/>
      <c r="M500" s="14"/>
      <c r="N500" s="14"/>
      <c r="O500" s="14"/>
      <c r="P500" s="14"/>
      <c r="Q500" s="14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3.2">
      <c r="A501" s="14"/>
      <c r="B501" s="14"/>
      <c r="C501" s="5">
        <v>129</v>
      </c>
      <c r="D501" s="119">
        <v>43128</v>
      </c>
      <c r="E501" s="12"/>
      <c r="F501" s="12"/>
      <c r="G501" s="14"/>
      <c r="H501" s="14"/>
      <c r="I501" s="127" t="s">
        <v>71</v>
      </c>
      <c r="J501" s="14"/>
      <c r="K501" s="127">
        <v>28</v>
      </c>
      <c r="L501" s="14"/>
      <c r="M501" s="14"/>
      <c r="N501" s="14"/>
      <c r="O501" s="14"/>
      <c r="P501" s="14"/>
      <c r="Q501" s="14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3.2">
      <c r="A502" s="14"/>
      <c r="B502" s="14"/>
      <c r="C502" s="5">
        <v>130</v>
      </c>
      <c r="D502" s="119">
        <v>43129</v>
      </c>
      <c r="E502" s="12"/>
      <c r="F502" s="12"/>
      <c r="G502" s="14"/>
      <c r="H502" s="14"/>
      <c r="I502" s="127" t="s">
        <v>71</v>
      </c>
      <c r="J502" s="14"/>
      <c r="K502" s="127">
        <v>27.4</v>
      </c>
      <c r="L502" s="14"/>
      <c r="M502" s="14"/>
      <c r="N502" s="14"/>
      <c r="O502" s="14"/>
      <c r="P502" s="14"/>
      <c r="Q502" s="14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3.2">
      <c r="A503" s="14"/>
      <c r="B503" s="14"/>
      <c r="C503" s="5">
        <v>131</v>
      </c>
      <c r="D503" s="119">
        <v>43130</v>
      </c>
      <c r="E503" s="12"/>
      <c r="F503" s="12"/>
      <c r="G503" s="14"/>
      <c r="H503" s="14"/>
      <c r="I503" s="120" t="s">
        <v>71</v>
      </c>
      <c r="J503" s="14"/>
      <c r="K503" s="120">
        <v>27.2</v>
      </c>
      <c r="L503" s="14"/>
      <c r="M503" s="14"/>
      <c r="N503" s="14"/>
      <c r="O503" s="14"/>
      <c r="P503" s="14"/>
      <c r="Q503" s="14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3.2">
      <c r="A504" s="14"/>
      <c r="B504" s="14"/>
      <c r="C504" s="5">
        <v>132</v>
      </c>
      <c r="D504" s="121">
        <v>43131</v>
      </c>
      <c r="E504" s="12"/>
      <c r="F504" s="12"/>
      <c r="G504" s="14"/>
      <c r="H504" s="14"/>
      <c r="I504" s="120" t="s">
        <v>71</v>
      </c>
      <c r="J504" s="14"/>
      <c r="K504" s="120">
        <v>27.1</v>
      </c>
      <c r="L504" s="14"/>
      <c r="M504" s="14"/>
      <c r="N504" s="14"/>
      <c r="O504" s="14"/>
      <c r="P504" s="14"/>
      <c r="Q504" s="14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3.2">
      <c r="A505" s="14"/>
      <c r="B505" s="14"/>
      <c r="C505" s="5">
        <v>133</v>
      </c>
      <c r="D505" s="20">
        <v>43132</v>
      </c>
      <c r="E505" s="12"/>
      <c r="F505" s="12"/>
      <c r="G505" s="14"/>
      <c r="H505" s="14"/>
      <c r="I505" s="120" t="s">
        <v>71</v>
      </c>
      <c r="J505" s="123"/>
      <c r="K505" s="120">
        <v>26.8</v>
      </c>
      <c r="L505" s="14"/>
      <c r="M505" s="14"/>
      <c r="N505" s="14"/>
      <c r="O505" s="14"/>
      <c r="P505" s="14"/>
      <c r="Q505" s="14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3.2">
      <c r="A506" s="14"/>
      <c r="B506" s="14"/>
      <c r="C506" s="5">
        <v>134</v>
      </c>
      <c r="D506" s="20">
        <v>43133</v>
      </c>
      <c r="E506" s="12"/>
      <c r="F506" s="12"/>
      <c r="G506" s="14"/>
      <c r="H506" s="14"/>
      <c r="I506" s="124" t="s">
        <v>71</v>
      </c>
      <c r="J506" s="123"/>
      <c r="K506" s="120">
        <v>26.6</v>
      </c>
      <c r="L506" s="14"/>
      <c r="M506" s="14"/>
      <c r="N506" s="14"/>
      <c r="O506" s="14"/>
      <c r="P506" s="14"/>
      <c r="Q506" s="14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3.2">
      <c r="A507" s="14"/>
      <c r="B507" s="14"/>
      <c r="C507" s="5">
        <v>135</v>
      </c>
      <c r="D507" s="20">
        <v>43134</v>
      </c>
      <c r="E507" s="12"/>
      <c r="F507" s="12"/>
      <c r="G507" s="14"/>
      <c r="H507" s="14"/>
      <c r="I507" s="124" t="s">
        <v>71</v>
      </c>
      <c r="J507" s="123"/>
      <c r="K507" s="120">
        <v>26.2</v>
      </c>
      <c r="L507" s="14"/>
      <c r="M507" s="14"/>
      <c r="N507" s="14"/>
      <c r="O507" s="14"/>
      <c r="P507" s="14"/>
      <c r="Q507" s="14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3.2">
      <c r="A508" s="14"/>
      <c r="B508" s="14"/>
      <c r="C508" s="5">
        <v>136</v>
      </c>
      <c r="D508" s="20">
        <v>43135</v>
      </c>
      <c r="E508" s="12"/>
      <c r="F508" s="12"/>
      <c r="G508" s="14"/>
      <c r="H508" s="14"/>
      <c r="I508" s="124" t="s">
        <v>71</v>
      </c>
      <c r="J508" s="123"/>
      <c r="K508" s="120">
        <v>26.3</v>
      </c>
      <c r="L508" s="14"/>
      <c r="M508" s="14"/>
      <c r="N508" s="14"/>
      <c r="O508" s="14"/>
      <c r="P508" s="14"/>
      <c r="Q508" s="14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3.2">
      <c r="A509" s="14"/>
      <c r="B509" s="14"/>
      <c r="C509" s="5">
        <v>137</v>
      </c>
      <c r="D509" s="20">
        <v>43136</v>
      </c>
      <c r="E509" s="12"/>
      <c r="F509" s="12"/>
      <c r="G509" s="14"/>
      <c r="H509" s="14"/>
      <c r="I509" s="124" t="s">
        <v>71</v>
      </c>
      <c r="J509" s="123"/>
      <c r="K509" s="120">
        <v>26.3</v>
      </c>
      <c r="L509" s="14"/>
      <c r="M509" s="14"/>
      <c r="N509" s="14"/>
      <c r="O509" s="14"/>
      <c r="P509" s="14"/>
      <c r="Q509" s="14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3.2">
      <c r="A510" s="14"/>
      <c r="B510" s="14"/>
      <c r="C510" s="5">
        <v>138</v>
      </c>
      <c r="D510" s="20">
        <v>43137</v>
      </c>
      <c r="E510" s="12"/>
      <c r="F510" s="12"/>
      <c r="G510" s="14"/>
      <c r="H510" s="14"/>
      <c r="I510" s="124" t="s">
        <v>71</v>
      </c>
      <c r="J510" s="123"/>
      <c r="K510" s="120">
        <v>26.3</v>
      </c>
      <c r="L510" s="14"/>
      <c r="M510" s="14"/>
      <c r="N510" s="14"/>
      <c r="O510" s="14"/>
      <c r="P510" s="14"/>
      <c r="Q510" s="14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3.2">
      <c r="A511" s="14"/>
      <c r="B511" s="14"/>
      <c r="C511" s="5">
        <v>139</v>
      </c>
      <c r="D511" s="20">
        <v>43138</v>
      </c>
      <c r="E511" s="12"/>
      <c r="F511" s="12"/>
      <c r="G511" s="14"/>
      <c r="H511" s="14"/>
      <c r="I511" s="125" t="s">
        <v>71</v>
      </c>
      <c r="J511" s="14"/>
      <c r="K511" s="125">
        <v>25.5</v>
      </c>
      <c r="L511" s="14"/>
      <c r="M511" s="14"/>
      <c r="N511" s="14"/>
      <c r="O511" s="14"/>
      <c r="P511" s="14"/>
      <c r="Q511" s="14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3.2">
      <c r="A512" s="14"/>
      <c r="B512" s="14"/>
      <c r="C512" s="5">
        <v>140</v>
      </c>
      <c r="D512" s="20">
        <v>43139</v>
      </c>
      <c r="E512" s="12"/>
      <c r="F512" s="12"/>
      <c r="G512" s="14"/>
      <c r="H512" s="14"/>
      <c r="I512" s="125" t="s">
        <v>71</v>
      </c>
      <c r="J512" s="14"/>
      <c r="K512" s="125">
        <v>25</v>
      </c>
      <c r="L512" s="14"/>
      <c r="M512" s="14"/>
      <c r="N512" s="14"/>
      <c r="O512" s="14"/>
      <c r="P512" s="14"/>
      <c r="Q512" s="14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3.2">
      <c r="A513" s="14"/>
      <c r="B513" s="14"/>
      <c r="C513" s="5">
        <v>141</v>
      </c>
      <c r="D513" s="20">
        <v>43140</v>
      </c>
      <c r="E513" s="12"/>
      <c r="F513" s="12"/>
      <c r="G513" s="14"/>
      <c r="H513" s="14"/>
      <c r="I513" s="125" t="s">
        <v>71</v>
      </c>
      <c r="J513" s="14"/>
      <c r="K513" s="125">
        <v>24.8</v>
      </c>
      <c r="L513" s="14"/>
      <c r="M513" s="14"/>
      <c r="N513" s="14"/>
      <c r="O513" s="14"/>
      <c r="P513" s="14"/>
      <c r="Q513" s="14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3.2">
      <c r="A514" s="14"/>
      <c r="B514" s="14"/>
      <c r="C514" s="5">
        <v>142</v>
      </c>
      <c r="D514" s="20">
        <v>43141</v>
      </c>
      <c r="E514" s="12"/>
      <c r="F514" s="12"/>
      <c r="G514" s="14"/>
      <c r="H514" s="14"/>
      <c r="I514" s="125" t="s">
        <v>71</v>
      </c>
      <c r="J514" s="14"/>
      <c r="K514" s="125">
        <v>24.2</v>
      </c>
      <c r="L514" s="14"/>
      <c r="M514" s="14"/>
      <c r="N514" s="14"/>
      <c r="O514" s="14"/>
      <c r="P514" s="14"/>
      <c r="Q514" s="14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3.2">
      <c r="A515" s="14"/>
      <c r="B515" s="14"/>
      <c r="C515" s="5">
        <v>143</v>
      </c>
      <c r="D515" s="20">
        <v>43142</v>
      </c>
      <c r="E515" s="12"/>
      <c r="F515" s="12"/>
      <c r="G515" s="14"/>
      <c r="H515" s="14"/>
      <c r="I515" s="125" t="s">
        <v>71</v>
      </c>
      <c r="J515" s="14"/>
      <c r="K515" s="125">
        <v>23.8</v>
      </c>
      <c r="L515" s="14"/>
      <c r="M515" s="14"/>
      <c r="N515" s="14"/>
      <c r="O515" s="14"/>
      <c r="P515" s="14"/>
      <c r="Q515" s="14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3.2">
      <c r="A516" s="14"/>
      <c r="B516" s="14"/>
      <c r="C516" s="5">
        <v>144</v>
      </c>
      <c r="D516" s="20">
        <v>43143</v>
      </c>
      <c r="E516" s="12"/>
      <c r="F516" s="12"/>
      <c r="G516" s="14"/>
      <c r="H516" s="14"/>
      <c r="I516" s="125" t="s">
        <v>71</v>
      </c>
      <c r="J516" s="14"/>
      <c r="K516" s="125">
        <v>23.6</v>
      </c>
      <c r="L516" s="14"/>
      <c r="M516" s="14"/>
      <c r="N516" s="14"/>
      <c r="O516" s="14"/>
      <c r="P516" s="14"/>
      <c r="Q516" s="14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3.2">
      <c r="A517" s="14"/>
      <c r="B517" s="14"/>
      <c r="C517" s="5">
        <v>145</v>
      </c>
      <c r="D517" s="20">
        <v>43144</v>
      </c>
      <c r="E517" s="12"/>
      <c r="F517" s="12"/>
      <c r="G517" s="14"/>
      <c r="H517" s="14"/>
      <c r="I517" s="125" t="s">
        <v>71</v>
      </c>
      <c r="J517" s="14"/>
      <c r="K517" s="125">
        <v>23.6</v>
      </c>
      <c r="L517" s="14"/>
      <c r="M517" s="14"/>
      <c r="N517" s="14"/>
      <c r="O517" s="14"/>
      <c r="P517" s="14"/>
      <c r="Q517" s="14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3.2">
      <c r="A518" s="14"/>
      <c r="B518" s="14"/>
      <c r="C518" s="5">
        <v>146</v>
      </c>
      <c r="D518" s="20">
        <v>43145</v>
      </c>
      <c r="E518" s="12"/>
      <c r="F518" s="12"/>
      <c r="G518" s="14"/>
      <c r="H518" s="14"/>
      <c r="I518" s="125" t="s">
        <v>71</v>
      </c>
      <c r="J518" s="14"/>
      <c r="K518" s="125">
        <v>23.2</v>
      </c>
      <c r="L518" s="14"/>
      <c r="M518" s="14"/>
      <c r="N518" s="14"/>
      <c r="O518" s="14"/>
      <c r="P518" s="14"/>
      <c r="Q518" s="14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3.2">
      <c r="A519" s="14"/>
      <c r="B519" s="14"/>
      <c r="C519" s="5">
        <v>147</v>
      </c>
      <c r="D519" s="20">
        <v>43146</v>
      </c>
      <c r="E519" s="12"/>
      <c r="F519" s="12"/>
      <c r="G519" s="14"/>
      <c r="H519" s="14"/>
      <c r="I519" s="125" t="s">
        <v>71</v>
      </c>
      <c r="J519" s="14"/>
      <c r="K519" s="125">
        <v>23</v>
      </c>
      <c r="L519" s="14"/>
      <c r="M519" s="14"/>
      <c r="N519" s="14"/>
      <c r="O519" s="14"/>
      <c r="P519" s="14"/>
      <c r="Q519" s="14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3.2">
      <c r="A520" s="14"/>
      <c r="B520" s="14"/>
      <c r="C520" s="5">
        <v>148</v>
      </c>
      <c r="D520" s="20">
        <v>43147</v>
      </c>
      <c r="E520" s="12"/>
      <c r="F520" s="12"/>
      <c r="G520" s="14"/>
      <c r="H520" s="14"/>
      <c r="I520" s="125" t="s">
        <v>71</v>
      </c>
      <c r="J520" s="14"/>
      <c r="K520" s="125">
        <v>22.3</v>
      </c>
      <c r="L520" s="14"/>
      <c r="M520" s="14"/>
      <c r="N520" s="14"/>
      <c r="O520" s="14"/>
      <c r="P520" s="14"/>
      <c r="Q520" s="14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3.2">
      <c r="A521" s="14"/>
      <c r="B521" s="14"/>
      <c r="C521" s="5">
        <v>149</v>
      </c>
      <c r="D521" s="20">
        <v>43148</v>
      </c>
      <c r="E521" s="12"/>
      <c r="F521" s="12"/>
      <c r="G521" s="14"/>
      <c r="H521" s="14"/>
      <c r="I521" s="125" t="s">
        <v>71</v>
      </c>
      <c r="J521" s="14"/>
      <c r="K521" s="125">
        <v>22</v>
      </c>
      <c r="L521" s="14"/>
      <c r="M521" s="14"/>
      <c r="N521" s="14"/>
      <c r="O521" s="14"/>
      <c r="P521" s="14"/>
      <c r="Q521" s="14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3.2">
      <c r="A522" s="14"/>
      <c r="B522" s="14"/>
      <c r="C522" s="14">
        <f t="shared" ref="C522:C526" si="161">C521+1</f>
        <v>150</v>
      </c>
      <c r="D522" s="20">
        <v>43149</v>
      </c>
      <c r="E522" s="12"/>
      <c r="F522" s="12"/>
      <c r="G522" s="14"/>
      <c r="H522" s="14"/>
      <c r="I522" s="13" t="s">
        <v>71</v>
      </c>
      <c r="J522" s="14"/>
      <c r="K522" s="13">
        <v>21.9</v>
      </c>
      <c r="L522" s="14"/>
      <c r="M522" s="14"/>
      <c r="N522" s="14"/>
      <c r="O522" s="14"/>
      <c r="P522" s="14"/>
      <c r="Q522" s="14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3.2">
      <c r="A523" s="14"/>
      <c r="B523" s="14"/>
      <c r="C523" s="14">
        <f t="shared" si="161"/>
        <v>151</v>
      </c>
      <c r="D523" s="20">
        <v>43150</v>
      </c>
      <c r="E523" s="12"/>
      <c r="F523" s="12"/>
      <c r="G523" s="14"/>
      <c r="H523" s="14"/>
      <c r="I523" s="13" t="s">
        <v>71</v>
      </c>
      <c r="J523" s="14"/>
      <c r="K523" s="13">
        <v>21.3</v>
      </c>
      <c r="L523" s="14"/>
      <c r="M523" s="14"/>
      <c r="N523" s="14"/>
      <c r="O523" s="14"/>
      <c r="P523" s="14"/>
      <c r="Q523" s="14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3.2">
      <c r="A524" s="14"/>
      <c r="B524" s="14"/>
      <c r="C524" s="14">
        <f t="shared" si="161"/>
        <v>152</v>
      </c>
      <c r="D524" s="20">
        <v>43151</v>
      </c>
      <c r="E524" s="12"/>
      <c r="F524" s="12"/>
      <c r="G524" s="14"/>
      <c r="H524" s="14"/>
      <c r="I524" s="13" t="s">
        <v>71</v>
      </c>
      <c r="J524" s="14"/>
      <c r="K524" s="13">
        <v>21.3</v>
      </c>
      <c r="L524" s="14"/>
      <c r="M524" s="14"/>
      <c r="N524" s="14"/>
      <c r="O524" s="14"/>
      <c r="P524" s="14"/>
      <c r="Q524" s="14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3.2">
      <c r="A525" s="14"/>
      <c r="B525" s="14"/>
      <c r="C525" s="14">
        <f t="shared" si="161"/>
        <v>153</v>
      </c>
      <c r="D525" s="20">
        <v>43152</v>
      </c>
      <c r="E525" s="12"/>
      <c r="F525" s="12"/>
      <c r="G525" s="14"/>
      <c r="H525" s="14"/>
      <c r="I525" s="13" t="s">
        <v>71</v>
      </c>
      <c r="J525" s="14"/>
      <c r="K525" s="13">
        <v>20.7</v>
      </c>
      <c r="L525" s="14"/>
      <c r="M525" s="14"/>
      <c r="N525" s="14"/>
      <c r="O525" s="14"/>
      <c r="P525" s="14"/>
      <c r="Q525" s="14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3.2">
      <c r="A526" s="14"/>
      <c r="B526" s="14"/>
      <c r="C526" s="14">
        <f t="shared" si="161"/>
        <v>154</v>
      </c>
      <c r="D526" s="20">
        <v>43153</v>
      </c>
      <c r="E526" s="12"/>
      <c r="F526" s="12"/>
      <c r="G526" s="14"/>
      <c r="H526" s="14"/>
      <c r="I526" s="13" t="s">
        <v>71</v>
      </c>
      <c r="J526" s="14"/>
      <c r="K526" s="13">
        <v>20.5</v>
      </c>
      <c r="L526" s="14"/>
      <c r="M526" s="14"/>
      <c r="N526" s="14"/>
      <c r="O526" s="14"/>
      <c r="P526" s="14"/>
      <c r="Q526" s="14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3.2">
      <c r="A527" s="14"/>
      <c r="B527" s="14"/>
      <c r="C527" s="5">
        <v>155</v>
      </c>
      <c r="D527" s="56">
        <v>43154</v>
      </c>
      <c r="E527" s="12"/>
      <c r="F527" s="12"/>
      <c r="G527" s="14"/>
      <c r="H527" s="14"/>
      <c r="I527" s="13" t="s">
        <v>71</v>
      </c>
      <c r="J527" s="14"/>
      <c r="K527" s="13">
        <v>20.3</v>
      </c>
      <c r="L527" s="14"/>
      <c r="M527" s="14"/>
      <c r="N527" s="14"/>
      <c r="O527" s="14"/>
      <c r="P527" s="14"/>
      <c r="Q527" s="14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3.2">
      <c r="A528" s="14"/>
      <c r="B528" s="14"/>
      <c r="C528" s="5">
        <v>156</v>
      </c>
      <c r="D528" s="20">
        <v>43155</v>
      </c>
      <c r="E528" s="12"/>
      <c r="F528" s="12"/>
      <c r="G528" s="14"/>
      <c r="H528" s="14"/>
      <c r="I528" s="13">
        <v>61.8</v>
      </c>
      <c r="J528" s="14"/>
      <c r="K528" s="13">
        <v>20</v>
      </c>
      <c r="L528" s="14"/>
      <c r="M528" s="14"/>
      <c r="N528" s="14"/>
      <c r="O528" s="14"/>
      <c r="P528" s="14"/>
      <c r="Q528" s="14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3.2">
      <c r="A529" s="14"/>
      <c r="B529" s="14"/>
      <c r="C529" s="5">
        <v>157</v>
      </c>
      <c r="D529" s="20">
        <v>43156</v>
      </c>
      <c r="E529" s="12"/>
      <c r="F529" s="12"/>
      <c r="G529" s="14"/>
      <c r="H529" s="14"/>
      <c r="I529" s="13">
        <v>58.4</v>
      </c>
      <c r="J529" s="14"/>
      <c r="K529" s="13">
        <v>21.7</v>
      </c>
      <c r="L529" s="14"/>
      <c r="M529" s="14"/>
      <c r="N529" s="14"/>
      <c r="O529" s="14"/>
      <c r="P529" s="14"/>
      <c r="Q529" s="14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3.2">
      <c r="A530" s="14"/>
      <c r="B530" s="14"/>
      <c r="C530" s="5">
        <v>158</v>
      </c>
      <c r="D530" s="20">
        <v>43157</v>
      </c>
      <c r="E530" s="12"/>
      <c r="F530" s="12"/>
      <c r="G530" s="14"/>
      <c r="H530" s="14"/>
      <c r="I530" s="13">
        <v>54.7</v>
      </c>
      <c r="J530" s="14"/>
      <c r="K530" s="13">
        <v>23.1</v>
      </c>
      <c r="L530" s="14"/>
      <c r="M530" s="14"/>
      <c r="N530" s="14"/>
      <c r="O530" s="14"/>
      <c r="P530" s="14"/>
      <c r="Q530" s="14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3.2">
      <c r="A531" s="14"/>
      <c r="B531" s="14"/>
      <c r="C531" s="5">
        <v>159</v>
      </c>
      <c r="D531" s="20">
        <v>43158</v>
      </c>
      <c r="E531" s="12"/>
      <c r="F531" s="12"/>
      <c r="G531" s="14"/>
      <c r="H531" s="14"/>
      <c r="I531" s="13">
        <v>51.1</v>
      </c>
      <c r="J531" s="14"/>
      <c r="K531" s="13">
        <v>23.8</v>
      </c>
      <c r="L531" s="14"/>
      <c r="M531" s="14"/>
      <c r="N531" s="14"/>
      <c r="O531" s="14"/>
      <c r="P531" s="14"/>
      <c r="Q531" s="14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3.2">
      <c r="A532" s="14"/>
      <c r="B532" s="14"/>
      <c r="C532" s="5">
        <v>166</v>
      </c>
      <c r="D532" s="20">
        <v>43165</v>
      </c>
      <c r="E532" s="12"/>
      <c r="F532" s="12"/>
      <c r="G532" s="14"/>
      <c r="H532" s="14"/>
      <c r="I532" s="13">
        <v>29.1</v>
      </c>
      <c r="J532" s="14"/>
      <c r="K532" s="13">
        <v>24.1</v>
      </c>
      <c r="L532" s="14"/>
      <c r="M532" s="14"/>
      <c r="N532" s="14"/>
      <c r="O532" s="14"/>
      <c r="P532" s="14"/>
      <c r="Q532" s="14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3.2">
      <c r="A533" s="14"/>
      <c r="B533" s="14"/>
      <c r="C533" s="5">
        <v>173</v>
      </c>
      <c r="D533" s="20">
        <v>43172</v>
      </c>
      <c r="E533" s="12"/>
      <c r="F533" s="12"/>
      <c r="G533" s="14"/>
      <c r="H533" s="14"/>
      <c r="I533" s="13">
        <v>75.900000000000006</v>
      </c>
      <c r="J533" s="14"/>
      <c r="K533" s="13">
        <v>24</v>
      </c>
      <c r="L533" s="14"/>
      <c r="M533" s="14"/>
      <c r="N533" s="14"/>
      <c r="O533" s="14"/>
      <c r="P533" s="14"/>
      <c r="Q533" s="14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3.2">
      <c r="A534" s="14"/>
      <c r="B534" s="14"/>
      <c r="C534" s="14"/>
      <c r="D534" s="14"/>
      <c r="E534" s="12"/>
      <c r="F534" s="12"/>
      <c r="G534" s="14"/>
      <c r="H534" s="14"/>
      <c r="I534" s="15"/>
      <c r="J534" s="14"/>
      <c r="K534" s="15"/>
      <c r="L534" s="14"/>
      <c r="M534" s="14"/>
      <c r="N534" s="14"/>
      <c r="O534" s="14"/>
      <c r="P534" s="14"/>
      <c r="Q534" s="14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3.2">
      <c r="A535" s="14"/>
      <c r="B535" s="14"/>
      <c r="C535" s="14"/>
      <c r="D535" s="14"/>
      <c r="E535" s="12"/>
      <c r="F535" s="12"/>
      <c r="G535" s="14"/>
      <c r="H535" s="14"/>
      <c r="I535" s="15"/>
      <c r="J535" s="14"/>
      <c r="K535" s="15"/>
      <c r="L535" s="14"/>
      <c r="M535" s="14"/>
      <c r="N535" s="14"/>
      <c r="O535" s="14"/>
      <c r="P535" s="14"/>
      <c r="Q535" s="14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3.2">
      <c r="A536" s="14"/>
      <c r="B536" s="14"/>
      <c r="C536" s="14"/>
      <c r="D536" s="14"/>
      <c r="E536" s="12"/>
      <c r="F536" s="12"/>
      <c r="G536" s="14"/>
      <c r="H536" s="14"/>
      <c r="I536" s="15"/>
      <c r="J536" s="14"/>
      <c r="K536" s="15"/>
      <c r="L536" s="14"/>
      <c r="M536" s="14"/>
      <c r="N536" s="14"/>
      <c r="O536" s="14"/>
      <c r="P536" s="14"/>
      <c r="Q536" s="14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3.2">
      <c r="A537" s="14"/>
      <c r="B537" s="14"/>
      <c r="C537" s="14"/>
      <c r="D537" s="14"/>
      <c r="E537" s="12"/>
      <c r="F537" s="12"/>
      <c r="G537" s="14"/>
      <c r="H537" s="14"/>
      <c r="I537" s="15"/>
      <c r="J537" s="14"/>
      <c r="K537" s="15"/>
      <c r="L537" s="14"/>
      <c r="M537" s="14"/>
      <c r="N537" s="14"/>
      <c r="O537" s="14"/>
      <c r="P537" s="14"/>
      <c r="Q537" s="14"/>
      <c r="R537" s="7"/>
      <c r="S537" s="7"/>
      <c r="T537" s="73">
        <f>I538-I542</f>
        <v>24.099999999999994</v>
      </c>
      <c r="U537" s="7"/>
      <c r="V537" s="7">
        <f>SUM(U537:U538)</f>
        <v>1185.288</v>
      </c>
      <c r="W537" s="7"/>
      <c r="X537" s="7"/>
      <c r="Y537" s="7"/>
      <c r="Z537" s="7"/>
      <c r="AA537" s="7"/>
    </row>
    <row r="538" spans="1:27" ht="26.4">
      <c r="A538" s="169" t="s">
        <v>126</v>
      </c>
      <c r="B538" s="5">
        <v>0</v>
      </c>
      <c r="C538" s="5">
        <v>0</v>
      </c>
      <c r="D538" s="9">
        <v>42992</v>
      </c>
      <c r="E538" s="10">
        <v>399.7</v>
      </c>
      <c r="F538" s="11" t="s">
        <v>21</v>
      </c>
      <c r="G538" s="12">
        <f>AVERAGE(F539,F540,F541,F546)</f>
        <v>4.0874999999999986</v>
      </c>
      <c r="H538" s="14"/>
      <c r="I538" s="13">
        <v>101.1</v>
      </c>
      <c r="J538" s="14"/>
      <c r="K538" s="13">
        <v>18.5</v>
      </c>
      <c r="L538" s="14"/>
      <c r="M538" s="14"/>
      <c r="N538" s="14"/>
      <c r="O538" s="14"/>
      <c r="P538" s="14"/>
      <c r="Q538" s="14">
        <f>SUM(P538:P550)-104.4</f>
        <v>280.49999999999989</v>
      </c>
      <c r="R538" s="7"/>
      <c r="S538" s="7"/>
      <c r="T538" s="73">
        <f>I543-I556</f>
        <v>54.5</v>
      </c>
      <c r="U538" s="7">
        <f>SUM(T538:T543)*5.24</f>
        <v>1185.288</v>
      </c>
      <c r="V538" s="7"/>
      <c r="W538" s="7"/>
      <c r="X538" s="7"/>
      <c r="Y538" s="7"/>
      <c r="Z538" s="7"/>
      <c r="AA538" s="7"/>
    </row>
    <row r="539" spans="1:27" ht="13.2">
      <c r="A539" s="5" t="s">
        <v>30</v>
      </c>
      <c r="B539" s="5">
        <v>0</v>
      </c>
      <c r="C539" s="5">
        <v>0</v>
      </c>
      <c r="D539" s="9">
        <v>42993</v>
      </c>
      <c r="E539" s="10">
        <v>396.4</v>
      </c>
      <c r="F539" s="12">
        <f>E538-E539</f>
        <v>3.3000000000000114</v>
      </c>
      <c r="G539" s="14"/>
      <c r="H539" s="14"/>
      <c r="I539" s="13">
        <v>97.2</v>
      </c>
      <c r="J539" s="15">
        <f t="shared" ref="J539:J542" si="162">(I538-I539)/(D539-D538)</f>
        <v>3.8999999999999915</v>
      </c>
      <c r="K539" s="13">
        <v>18.3</v>
      </c>
      <c r="L539" s="14"/>
      <c r="M539" s="14"/>
      <c r="N539" s="14"/>
      <c r="O539" s="14"/>
      <c r="P539" s="12">
        <f>E543-E546</f>
        <v>27.099999999999966</v>
      </c>
      <c r="Q539" s="14"/>
      <c r="R539" s="7"/>
      <c r="S539" s="7"/>
      <c r="T539" s="73">
        <f>51-I557</f>
        <v>8.7000000000000028</v>
      </c>
      <c r="U539" s="7"/>
      <c r="V539" s="7"/>
      <c r="W539" s="7"/>
      <c r="X539" s="7"/>
      <c r="Y539" s="7"/>
      <c r="Z539" s="7"/>
      <c r="AA539" s="7"/>
    </row>
    <row r="540" spans="1:27" ht="13.2">
      <c r="A540" s="5" t="s">
        <v>432</v>
      </c>
      <c r="B540" s="5">
        <v>0</v>
      </c>
      <c r="C540" s="5">
        <v>0</v>
      </c>
      <c r="D540" s="9">
        <v>42996</v>
      </c>
      <c r="E540" s="10">
        <v>381.4</v>
      </c>
      <c r="F540" s="12">
        <f t="shared" ref="F540:F542" si="163">(E539-E540)/(D540-D539)</f>
        <v>5</v>
      </c>
      <c r="G540" s="14"/>
      <c r="H540" s="14"/>
      <c r="I540" s="13">
        <v>86.6</v>
      </c>
      <c r="J540" s="15">
        <f t="shared" si="162"/>
        <v>3.5333333333333363</v>
      </c>
      <c r="K540" s="13">
        <v>18.2</v>
      </c>
      <c r="L540" s="14"/>
      <c r="M540" s="14"/>
      <c r="N540" s="14"/>
      <c r="O540" s="14"/>
      <c r="P540" s="12">
        <f>E547-E550</f>
        <v>44.699999999999989</v>
      </c>
      <c r="Q540" s="14"/>
      <c r="R540" s="7"/>
      <c r="S540" s="7"/>
      <c r="T540" s="73">
        <f>65.9-I564</f>
        <v>33.300000000000004</v>
      </c>
      <c r="U540" s="7"/>
      <c r="V540" s="7"/>
      <c r="W540" s="7"/>
      <c r="X540" s="7"/>
      <c r="Y540" s="7"/>
      <c r="Z540" s="7"/>
      <c r="AA540" s="7"/>
    </row>
    <row r="541" spans="1:27" ht="13.2">
      <c r="A541" s="14"/>
      <c r="B541" s="5">
        <v>0</v>
      </c>
      <c r="C541" s="5">
        <v>0</v>
      </c>
      <c r="D541" s="9">
        <v>42998</v>
      </c>
      <c r="E541" s="10">
        <v>372.7</v>
      </c>
      <c r="F541" s="12">
        <f t="shared" si="163"/>
        <v>4.3499999999999943</v>
      </c>
      <c r="G541" s="14"/>
      <c r="H541" s="14"/>
      <c r="I541" s="13">
        <v>79.7</v>
      </c>
      <c r="J541" s="15">
        <f t="shared" si="162"/>
        <v>3.4499999999999957</v>
      </c>
      <c r="K541" s="13">
        <v>18.100000000000001</v>
      </c>
      <c r="L541" s="14"/>
      <c r="M541" s="14"/>
      <c r="N541" s="14"/>
      <c r="O541" s="14"/>
      <c r="P541" s="12">
        <f>E551-E554</f>
        <v>31.800000000000011</v>
      </c>
      <c r="Q541" s="14"/>
      <c r="R541" s="7"/>
      <c r="S541" s="7"/>
      <c r="T541" s="73">
        <f>58.6-I569</f>
        <v>28.700000000000003</v>
      </c>
      <c r="U541" s="7"/>
      <c r="V541" s="7"/>
      <c r="W541" s="7"/>
      <c r="X541" s="7"/>
      <c r="Y541" s="7"/>
      <c r="Z541" s="7"/>
      <c r="AA541" s="7"/>
    </row>
    <row r="542" spans="1:27" ht="13.2">
      <c r="A542" s="14"/>
      <c r="B542" s="5">
        <v>0</v>
      </c>
      <c r="C542" s="5">
        <v>0</v>
      </c>
      <c r="D542" s="17">
        <v>42999</v>
      </c>
      <c r="E542" s="10">
        <v>367</v>
      </c>
      <c r="F542" s="12">
        <f t="shared" si="163"/>
        <v>5.6999999999999886</v>
      </c>
      <c r="G542" s="14"/>
      <c r="H542" s="14"/>
      <c r="I542" s="13">
        <v>77</v>
      </c>
      <c r="J542" s="15">
        <f t="shared" si="162"/>
        <v>2.7000000000000028</v>
      </c>
      <c r="K542" s="13">
        <v>18.100000000000001</v>
      </c>
      <c r="L542" s="14"/>
      <c r="M542" s="14"/>
      <c r="N542" s="14"/>
      <c r="O542" s="14"/>
      <c r="P542" s="12">
        <f>E555-E558</f>
        <v>35.300000000000011</v>
      </c>
      <c r="Q542" s="14"/>
      <c r="R542" s="7"/>
      <c r="S542" s="7"/>
      <c r="T542" s="73">
        <f>87.8-I582</f>
        <v>54.5</v>
      </c>
      <c r="U542" s="7"/>
      <c r="V542" s="7"/>
      <c r="W542" s="7"/>
      <c r="X542" s="7"/>
      <c r="Y542" s="7"/>
      <c r="Z542" s="7"/>
      <c r="AA542" s="7"/>
    </row>
    <row r="543" spans="1:27" ht="13.2">
      <c r="A543" s="14"/>
      <c r="B543" s="5">
        <v>0.5</v>
      </c>
      <c r="C543" s="5">
        <v>0</v>
      </c>
      <c r="D543" s="17">
        <v>42999</v>
      </c>
      <c r="E543" s="10">
        <v>348.2</v>
      </c>
      <c r="F543" s="12"/>
      <c r="G543" s="14"/>
      <c r="H543" s="14"/>
      <c r="I543" s="13">
        <v>91.7</v>
      </c>
      <c r="J543" s="15"/>
      <c r="K543" s="13"/>
      <c r="L543" s="14"/>
      <c r="M543" s="14"/>
      <c r="N543" s="14"/>
      <c r="O543" s="14"/>
      <c r="P543" s="12">
        <f>E559-E562</f>
        <v>29.899999999999977</v>
      </c>
      <c r="Q543" s="14"/>
      <c r="R543" s="7"/>
      <c r="S543" s="7"/>
      <c r="T543" s="73">
        <f>113.8-I591</f>
        <v>46.5</v>
      </c>
      <c r="U543" s="7"/>
      <c r="V543" s="7"/>
      <c r="W543" s="7"/>
      <c r="X543" s="7"/>
      <c r="Y543" s="7"/>
      <c r="Z543" s="7"/>
      <c r="AA543" s="7"/>
    </row>
    <row r="544" spans="1:27" ht="13.2">
      <c r="A544" s="14"/>
      <c r="B544" s="5">
        <v>0.5</v>
      </c>
      <c r="C544" s="5">
        <f t="shared" ref="C544:C609" si="164">D544-$D$7</f>
        <v>1</v>
      </c>
      <c r="D544" s="17">
        <v>43000</v>
      </c>
      <c r="E544" s="10">
        <v>343</v>
      </c>
      <c r="F544" s="12">
        <f t="shared" ref="F544:F546" si="165">(E543-E544)/(D544-D543)</f>
        <v>5.1999999999999886</v>
      </c>
      <c r="G544" s="14"/>
      <c r="H544" s="14"/>
      <c r="I544" s="13">
        <v>88.9</v>
      </c>
      <c r="J544" s="15">
        <f t="shared" ref="J544:J546" si="166">(I543-I544)/(D544-D543)</f>
        <v>2.7999999999999972</v>
      </c>
      <c r="K544" s="13">
        <v>18.399999999999999</v>
      </c>
      <c r="L544" s="14"/>
      <c r="M544" s="14"/>
      <c r="N544" s="14"/>
      <c r="O544" s="14"/>
      <c r="P544" s="12">
        <f>E563-E566</f>
        <v>34.300000000000011</v>
      </c>
      <c r="Q544" s="14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3.2">
      <c r="A545" s="14"/>
      <c r="B545" s="5">
        <v>0.5</v>
      </c>
      <c r="C545" s="5">
        <f t="shared" si="164"/>
        <v>4</v>
      </c>
      <c r="D545" s="9">
        <v>43003</v>
      </c>
      <c r="E545" s="10">
        <v>328.5</v>
      </c>
      <c r="F545" s="12">
        <f t="shared" si="165"/>
        <v>4.833333333333333</v>
      </c>
      <c r="G545" s="14"/>
      <c r="H545" s="14"/>
      <c r="I545" s="13">
        <v>81.400000000000006</v>
      </c>
      <c r="J545" s="15">
        <f t="shared" si="166"/>
        <v>2.5</v>
      </c>
      <c r="K545" s="13">
        <v>19.8</v>
      </c>
      <c r="L545" s="14"/>
      <c r="M545" s="14"/>
      <c r="N545" s="14"/>
      <c r="O545" s="14"/>
      <c r="P545" s="12">
        <f>E567-E570</f>
        <v>31.600000000000023</v>
      </c>
      <c r="Q545" s="14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3.2">
      <c r="A546" s="14"/>
      <c r="B546" s="5">
        <v>0.5</v>
      </c>
      <c r="C546" s="5">
        <f t="shared" si="164"/>
        <v>6</v>
      </c>
      <c r="D546" s="9">
        <v>43005</v>
      </c>
      <c r="E546" s="10">
        <v>321.10000000000002</v>
      </c>
      <c r="F546" s="12">
        <f t="shared" si="165"/>
        <v>3.6999999999999886</v>
      </c>
      <c r="G546" s="14"/>
      <c r="H546" s="14"/>
      <c r="I546" s="13">
        <v>77.400000000000006</v>
      </c>
      <c r="J546" s="15">
        <f t="shared" si="166"/>
        <v>2</v>
      </c>
      <c r="K546" s="13">
        <v>20.399999999999999</v>
      </c>
      <c r="L546" s="14"/>
      <c r="M546" s="14"/>
      <c r="N546" s="14"/>
      <c r="O546" s="14"/>
      <c r="P546" s="12">
        <f>E571-E574</f>
        <v>37.199999999999989</v>
      </c>
      <c r="Q546" s="14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3.2">
      <c r="A547" s="14"/>
      <c r="B547" s="170">
        <v>1</v>
      </c>
      <c r="C547" s="5">
        <f t="shared" si="164"/>
        <v>6</v>
      </c>
      <c r="D547" s="9">
        <v>43005</v>
      </c>
      <c r="E547" s="10">
        <v>315.39999999999998</v>
      </c>
      <c r="F547" s="11"/>
      <c r="G547" s="14"/>
      <c r="H547" s="14"/>
      <c r="I547" s="13" t="s">
        <v>318</v>
      </c>
      <c r="J547" s="15"/>
      <c r="K547" s="13"/>
      <c r="L547" s="14"/>
      <c r="M547" s="14"/>
      <c r="N547" s="14"/>
      <c r="O547" s="14"/>
      <c r="P547" s="12">
        <f>E575-E577</f>
        <v>20.399999999999977</v>
      </c>
      <c r="Q547" s="14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3.2">
      <c r="A548" s="14"/>
      <c r="B548" s="5">
        <v>1</v>
      </c>
      <c r="C548" s="5">
        <f t="shared" si="164"/>
        <v>8</v>
      </c>
      <c r="D548" s="9">
        <v>43007</v>
      </c>
      <c r="E548" s="10">
        <v>303.39999999999998</v>
      </c>
      <c r="F548" s="12">
        <f t="shared" ref="F548:F550" si="167">(E547-E548)/(D548-D547)</f>
        <v>6</v>
      </c>
      <c r="G548" s="14"/>
      <c r="H548" s="14"/>
      <c r="I548" s="13">
        <v>72.599999999999994</v>
      </c>
      <c r="J548" s="15">
        <f>(I546-I548)/(D548-D546)</f>
        <v>2.4000000000000057</v>
      </c>
      <c r="K548" s="13">
        <v>20.5</v>
      </c>
      <c r="L548" s="14"/>
      <c r="M548" s="14"/>
      <c r="N548" s="14"/>
      <c r="O548" s="14"/>
      <c r="P548" s="12">
        <f>E578-E583</f>
        <v>38.5</v>
      </c>
      <c r="Q548" s="14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3.2">
      <c r="A549" s="14"/>
      <c r="B549" s="5">
        <v>1</v>
      </c>
      <c r="C549" s="5">
        <f t="shared" si="164"/>
        <v>11</v>
      </c>
      <c r="D549" s="19">
        <v>43010</v>
      </c>
      <c r="E549" s="11">
        <v>287.3</v>
      </c>
      <c r="F549" s="12">
        <f t="shared" si="167"/>
        <v>5.3666666666666556</v>
      </c>
      <c r="G549" s="14"/>
      <c r="H549" s="14"/>
      <c r="I549" s="13">
        <v>65.8</v>
      </c>
      <c r="J549" s="15">
        <f t="shared" ref="J549:J550" si="168">(I548-I549)/(D549-D548)</f>
        <v>2.2666666666666657</v>
      </c>
      <c r="K549" s="13">
        <v>21.2</v>
      </c>
      <c r="L549" s="14"/>
      <c r="M549" s="14"/>
      <c r="N549" s="14"/>
      <c r="O549" s="14"/>
      <c r="P549" s="12">
        <f>E584-E587</f>
        <v>28.299999999999955</v>
      </c>
      <c r="Q549" s="14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3.2">
      <c r="A550" s="14"/>
      <c r="B550" s="5">
        <v>1</v>
      </c>
      <c r="C550" s="5">
        <f t="shared" si="164"/>
        <v>13</v>
      </c>
      <c r="D550" s="19">
        <v>43012</v>
      </c>
      <c r="E550" s="11">
        <v>270.7</v>
      </c>
      <c r="F550" s="12">
        <f t="shared" si="167"/>
        <v>8.3000000000000114</v>
      </c>
      <c r="G550" s="14"/>
      <c r="H550" s="14"/>
      <c r="I550" s="13">
        <v>60.2</v>
      </c>
      <c r="J550" s="15">
        <f t="shared" si="168"/>
        <v>2.7999999999999972</v>
      </c>
      <c r="K550" s="13">
        <v>22.3</v>
      </c>
      <c r="L550" s="14"/>
      <c r="M550" s="14"/>
      <c r="N550" s="14"/>
      <c r="O550" s="14"/>
      <c r="P550" s="12">
        <f>E588-E591</f>
        <v>25.800000000000011</v>
      </c>
      <c r="Q550" s="14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3.2">
      <c r="A551" s="14"/>
      <c r="B551" s="5">
        <v>2</v>
      </c>
      <c r="C551" s="5">
        <f t="shared" si="164"/>
        <v>14</v>
      </c>
      <c r="D551" s="20">
        <v>43013</v>
      </c>
      <c r="E551" s="11">
        <v>372.6</v>
      </c>
      <c r="F551" s="11"/>
      <c r="G551" s="14"/>
      <c r="H551" s="14"/>
      <c r="I551" s="13" t="s">
        <v>24</v>
      </c>
      <c r="J551" s="15"/>
      <c r="K551" s="13"/>
      <c r="L551" s="14"/>
      <c r="M551" s="14"/>
      <c r="N551" s="14"/>
      <c r="O551" s="14"/>
      <c r="P551" s="14"/>
      <c r="Q551" s="14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3.2">
      <c r="A552" s="14"/>
      <c r="B552" s="5">
        <v>2</v>
      </c>
      <c r="C552" s="5">
        <f t="shared" si="164"/>
        <v>15</v>
      </c>
      <c r="D552" s="20">
        <v>43014</v>
      </c>
      <c r="E552" s="11">
        <v>366.8</v>
      </c>
      <c r="F552" s="12">
        <f t="shared" ref="F552:F554" si="169">(E551-E552)/(D552-D551)</f>
        <v>5.8000000000000114</v>
      </c>
      <c r="G552" s="14"/>
      <c r="H552" s="14"/>
      <c r="I552" s="13">
        <v>55.5</v>
      </c>
      <c r="J552" s="15">
        <f>(93.5-I552)/(D553-D550)</f>
        <v>7.6</v>
      </c>
      <c r="K552" s="13">
        <v>22.5</v>
      </c>
      <c r="L552" s="14"/>
      <c r="M552" s="14"/>
      <c r="N552" s="14"/>
      <c r="O552" s="14"/>
      <c r="P552" s="14"/>
      <c r="Q552" s="14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3.2">
      <c r="A553" s="14"/>
      <c r="B553" s="5">
        <v>2</v>
      </c>
      <c r="C553" s="5">
        <f t="shared" si="164"/>
        <v>18</v>
      </c>
      <c r="D553" s="20">
        <v>43017</v>
      </c>
      <c r="E553" s="11">
        <v>352.7</v>
      </c>
      <c r="F553" s="12">
        <f t="shared" si="169"/>
        <v>4.7000000000000073</v>
      </c>
      <c r="G553" s="14"/>
      <c r="H553" s="14"/>
      <c r="I553" s="13">
        <v>47.8</v>
      </c>
      <c r="J553" s="15">
        <f t="shared" ref="J553:J554" si="170">(I552-I553)/(D553-D552)</f>
        <v>2.5666666666666678</v>
      </c>
      <c r="K553" s="13">
        <v>23.3</v>
      </c>
      <c r="L553" s="14"/>
      <c r="M553" s="14"/>
      <c r="N553" s="14"/>
      <c r="O553" s="14"/>
      <c r="P553" s="14"/>
      <c r="Q553" s="14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3.2">
      <c r="A554" s="14"/>
      <c r="B554" s="5">
        <v>2</v>
      </c>
      <c r="C554" s="5">
        <f t="shared" si="164"/>
        <v>20</v>
      </c>
      <c r="D554" s="20">
        <v>43019</v>
      </c>
      <c r="E554" s="11">
        <v>340.8</v>
      </c>
      <c r="F554" s="12">
        <f t="shared" si="169"/>
        <v>5.9499999999999886</v>
      </c>
      <c r="G554" s="14"/>
      <c r="H554" s="14"/>
      <c r="I554" s="13">
        <v>42</v>
      </c>
      <c r="J554" s="14">
        <f t="shared" si="170"/>
        <v>2.8999999999999986</v>
      </c>
      <c r="K554" s="13">
        <v>24</v>
      </c>
      <c r="L554" s="14"/>
      <c r="M554" s="14"/>
      <c r="N554" s="14"/>
      <c r="O554" s="14"/>
      <c r="P554" s="14"/>
      <c r="Q554" s="14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3.2">
      <c r="A555" s="14"/>
      <c r="B555" s="5">
        <v>3</v>
      </c>
      <c r="C555" s="5">
        <f t="shared" si="164"/>
        <v>21</v>
      </c>
      <c r="D555" s="20">
        <v>43020</v>
      </c>
      <c r="E555" s="11">
        <v>370.1</v>
      </c>
      <c r="F555" s="12"/>
      <c r="G555" s="14"/>
      <c r="H555" s="14"/>
      <c r="I555" s="13" t="s">
        <v>24</v>
      </c>
      <c r="J555" s="14"/>
      <c r="K555" s="13"/>
      <c r="L555" s="14"/>
      <c r="M555" s="14"/>
      <c r="N555" s="14"/>
      <c r="O555" s="14"/>
      <c r="P555" s="14"/>
      <c r="Q555" s="14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3.2">
      <c r="A556" s="14"/>
      <c r="B556" s="5">
        <v>3</v>
      </c>
      <c r="C556" s="5">
        <f t="shared" si="164"/>
        <v>22</v>
      </c>
      <c r="D556" s="20">
        <f>D554+2</f>
        <v>43021</v>
      </c>
      <c r="E556" s="11">
        <v>363</v>
      </c>
      <c r="F556" s="12">
        <f t="shared" ref="F556:F558" si="171">(E555-E556)/(D556-D555)</f>
        <v>7.1000000000000227</v>
      </c>
      <c r="G556" s="12">
        <f>AVERAGE(F544:F591)</f>
        <v>5.5421296296296303</v>
      </c>
      <c r="H556" s="14"/>
      <c r="I556" s="13">
        <v>37.200000000000003</v>
      </c>
      <c r="J556" s="14">
        <f>(I554-I556)/(D556-D554)</f>
        <v>2.3999999999999986</v>
      </c>
      <c r="K556" s="13">
        <v>23.8</v>
      </c>
      <c r="L556" s="14"/>
      <c r="M556" s="14"/>
      <c r="N556" s="14"/>
      <c r="O556" s="14"/>
      <c r="P556" s="14"/>
      <c r="Q556" s="14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3.2">
      <c r="A557" s="14"/>
      <c r="B557" s="5">
        <v>3</v>
      </c>
      <c r="C557" s="5">
        <f t="shared" si="164"/>
        <v>25</v>
      </c>
      <c r="D557" s="20">
        <f>D556+3</f>
        <v>43024</v>
      </c>
      <c r="E557" s="11">
        <v>347.2</v>
      </c>
      <c r="F557" s="12">
        <f t="shared" si="171"/>
        <v>5.2666666666666702</v>
      </c>
      <c r="G557" s="14"/>
      <c r="H557" s="14"/>
      <c r="I557" s="13">
        <v>42.3</v>
      </c>
      <c r="J557" s="14">
        <f>(51-I557)/(D557-D556)</f>
        <v>2.9000000000000008</v>
      </c>
      <c r="K557" s="13">
        <v>25.4</v>
      </c>
      <c r="L557" s="14"/>
      <c r="M557" s="14"/>
      <c r="N557" s="14"/>
      <c r="O557" s="14"/>
      <c r="P557" s="14"/>
      <c r="Q557" s="14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3.2">
      <c r="A558" s="14"/>
      <c r="B558" s="5">
        <v>3</v>
      </c>
      <c r="C558" s="5">
        <f t="shared" si="164"/>
        <v>27</v>
      </c>
      <c r="D558" s="20">
        <f>D557+2</f>
        <v>43026</v>
      </c>
      <c r="E558" s="11">
        <v>334.8</v>
      </c>
      <c r="F558" s="12">
        <f t="shared" si="171"/>
        <v>6.1999999999999886</v>
      </c>
      <c r="G558" s="14"/>
      <c r="H558" s="14"/>
      <c r="I558" s="13">
        <v>59.2</v>
      </c>
      <c r="J558" s="14">
        <f>(65.9-I558)/(D558-D557)</f>
        <v>3.3500000000000014</v>
      </c>
      <c r="K558" s="13">
        <v>26.1</v>
      </c>
      <c r="L558" s="14"/>
      <c r="M558" s="14"/>
      <c r="N558" s="14"/>
      <c r="O558" s="14"/>
      <c r="P558" s="14"/>
      <c r="Q558" s="14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3.2">
      <c r="A559" s="14"/>
      <c r="B559" s="5">
        <v>4</v>
      </c>
      <c r="C559" s="5">
        <f t="shared" si="164"/>
        <v>28</v>
      </c>
      <c r="D559" s="20">
        <v>43027</v>
      </c>
      <c r="E559" s="11">
        <v>399.5</v>
      </c>
      <c r="F559" s="12"/>
      <c r="G559" s="14"/>
      <c r="H559" s="14"/>
      <c r="I559" s="15"/>
      <c r="J559" s="14"/>
      <c r="K559" s="15"/>
      <c r="L559" s="14"/>
      <c r="M559" s="14"/>
      <c r="N559" s="14"/>
      <c r="O559" s="14"/>
      <c r="P559" s="14"/>
      <c r="Q559" s="14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3.2">
      <c r="A560" s="14"/>
      <c r="B560" s="5">
        <v>4</v>
      </c>
      <c r="C560" s="5">
        <f t="shared" si="164"/>
        <v>29</v>
      </c>
      <c r="D560" s="20">
        <f>D558+2</f>
        <v>43028</v>
      </c>
      <c r="E560" s="11">
        <v>390.6</v>
      </c>
      <c r="F560" s="12">
        <f t="shared" ref="F560:F562" si="172">(E559-E560)/(D560-D559)</f>
        <v>8.8999999999999773</v>
      </c>
      <c r="G560" s="14"/>
      <c r="H560" s="14"/>
      <c r="I560" s="13">
        <v>52.2</v>
      </c>
      <c r="J560" s="14">
        <f>(I558-I560)/(D560-D558)</f>
        <v>3.5</v>
      </c>
      <c r="K560" s="13">
        <v>27.5</v>
      </c>
      <c r="L560" s="14"/>
      <c r="M560" s="14"/>
      <c r="N560" s="14"/>
      <c r="O560" s="14"/>
      <c r="P560" s="14"/>
      <c r="Q560" s="14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3.2">
      <c r="A561" s="14"/>
      <c r="B561" s="5">
        <v>4</v>
      </c>
      <c r="C561" s="5">
        <f t="shared" si="164"/>
        <v>32</v>
      </c>
      <c r="D561" s="20">
        <v>43031</v>
      </c>
      <c r="E561" s="11">
        <v>378.2</v>
      </c>
      <c r="F561" s="12">
        <f t="shared" si="172"/>
        <v>4.1333333333333444</v>
      </c>
      <c r="G561" s="14"/>
      <c r="H561" s="14"/>
      <c r="I561" s="13">
        <v>43.8</v>
      </c>
      <c r="J561" s="14">
        <f t="shared" ref="J561:J562" si="173">(I560-I561)/(D561-D560)</f>
        <v>2.800000000000002</v>
      </c>
      <c r="K561" s="13">
        <v>28.3</v>
      </c>
      <c r="L561" s="14"/>
      <c r="M561" s="14"/>
      <c r="N561" s="14"/>
      <c r="O561" s="14"/>
      <c r="P561" s="14"/>
      <c r="Q561" s="14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3.2">
      <c r="A562" s="14"/>
      <c r="B562" s="5">
        <v>4</v>
      </c>
      <c r="C562" s="5">
        <f t="shared" si="164"/>
        <v>34</v>
      </c>
      <c r="D562" s="20">
        <v>43033</v>
      </c>
      <c r="E562" s="11">
        <v>369.6</v>
      </c>
      <c r="F562" s="12">
        <f t="shared" si="172"/>
        <v>4.2999999999999829</v>
      </c>
      <c r="G562" s="14"/>
      <c r="H562" s="14"/>
      <c r="I562" s="13">
        <v>38.200000000000003</v>
      </c>
      <c r="J562" s="14">
        <f t="shared" si="173"/>
        <v>2.7999999999999972</v>
      </c>
      <c r="K562" s="13">
        <v>28.3</v>
      </c>
      <c r="L562" s="14"/>
      <c r="M562" s="14"/>
      <c r="N562" s="14"/>
      <c r="O562" s="14"/>
      <c r="P562" s="14"/>
      <c r="Q562" s="14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3.2">
      <c r="A563" s="14"/>
      <c r="B563" s="5">
        <v>5</v>
      </c>
      <c r="C563" s="5">
        <f t="shared" si="164"/>
        <v>35</v>
      </c>
      <c r="D563" s="20">
        <v>43034</v>
      </c>
      <c r="E563" s="11">
        <v>332.6</v>
      </c>
      <c r="F563" s="12"/>
      <c r="G563" s="14"/>
      <c r="H563" s="14"/>
      <c r="I563" s="15"/>
      <c r="J563" s="14"/>
      <c r="K563" s="15"/>
      <c r="L563" s="14"/>
      <c r="M563" s="14"/>
      <c r="N563" s="14"/>
      <c r="O563" s="14"/>
      <c r="P563" s="14"/>
      <c r="Q563" s="14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3.2">
      <c r="A564" s="14"/>
      <c r="B564" s="5">
        <v>5</v>
      </c>
      <c r="C564" s="5">
        <f t="shared" si="164"/>
        <v>36</v>
      </c>
      <c r="D564" s="20">
        <v>43035</v>
      </c>
      <c r="E564" s="11">
        <v>325.89999999999998</v>
      </c>
      <c r="F564" s="12">
        <f t="shared" ref="F564:F566" si="174">(E563-E564)/(D564-D563)</f>
        <v>6.7000000000000455</v>
      </c>
      <c r="G564" s="14"/>
      <c r="H564" s="14"/>
      <c r="I564" s="13">
        <v>32.6</v>
      </c>
      <c r="J564" s="15">
        <f>(I562-I564)/(D564-D562)</f>
        <v>2.8000000000000007</v>
      </c>
      <c r="K564" s="13">
        <v>29.1</v>
      </c>
      <c r="L564" s="14"/>
      <c r="M564" s="14"/>
      <c r="N564" s="14"/>
      <c r="O564" s="14"/>
      <c r="P564" s="14"/>
      <c r="Q564" s="14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3.2">
      <c r="A565" s="14"/>
      <c r="B565" s="5">
        <v>5</v>
      </c>
      <c r="C565" s="5">
        <f t="shared" si="164"/>
        <v>39</v>
      </c>
      <c r="D565" s="20">
        <v>43038</v>
      </c>
      <c r="E565" s="11">
        <v>307.89999999999998</v>
      </c>
      <c r="F565" s="12">
        <f t="shared" si="174"/>
        <v>6</v>
      </c>
      <c r="G565" s="14"/>
      <c r="H565" s="14"/>
      <c r="I565" s="13">
        <v>48.9</v>
      </c>
      <c r="J565" s="15">
        <f t="shared" ref="J565:J566" si="175">(58.6-I565)/(D565-D564)</f>
        <v>3.2333333333333343</v>
      </c>
      <c r="K565" s="13">
        <v>30.9</v>
      </c>
      <c r="L565" s="14"/>
      <c r="M565" s="14"/>
      <c r="N565" s="14"/>
      <c r="O565" s="14"/>
      <c r="P565" s="14"/>
      <c r="Q565" s="14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3.2">
      <c r="A566" s="14"/>
      <c r="B566" s="5">
        <v>5</v>
      </c>
      <c r="C566" s="5">
        <f t="shared" si="164"/>
        <v>41</v>
      </c>
      <c r="D566" s="20">
        <v>43040</v>
      </c>
      <c r="E566" s="11">
        <v>298.3</v>
      </c>
      <c r="F566" s="12">
        <f t="shared" si="174"/>
        <v>4.7999999999999829</v>
      </c>
      <c r="G566" s="14"/>
      <c r="H566" s="14"/>
      <c r="I566" s="13">
        <v>43.7</v>
      </c>
      <c r="J566" s="15">
        <f t="shared" si="175"/>
        <v>7.4499999999999993</v>
      </c>
      <c r="K566" s="13">
        <v>31.3</v>
      </c>
      <c r="L566" s="14"/>
      <c r="M566" s="14"/>
      <c r="N566" s="14"/>
      <c r="O566" s="14"/>
      <c r="P566" s="14"/>
      <c r="Q566" s="14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3.2">
      <c r="A567" s="14"/>
      <c r="B567" s="5">
        <v>6</v>
      </c>
      <c r="C567" s="5">
        <f t="shared" si="164"/>
        <v>42</v>
      </c>
      <c r="D567" s="20">
        <v>43041</v>
      </c>
      <c r="E567" s="11">
        <v>333.3</v>
      </c>
      <c r="F567" s="12"/>
      <c r="G567" s="14"/>
      <c r="H567" s="14"/>
      <c r="I567" s="15"/>
      <c r="J567" s="14"/>
      <c r="K567" s="15"/>
      <c r="L567" s="14"/>
      <c r="M567" s="14"/>
      <c r="N567" s="14"/>
      <c r="O567" s="14"/>
      <c r="P567" s="14"/>
      <c r="Q567" s="14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3.2">
      <c r="A568" s="14"/>
      <c r="B568" s="5">
        <v>6</v>
      </c>
      <c r="C568" s="5">
        <f t="shared" si="164"/>
        <v>43</v>
      </c>
      <c r="D568" s="20">
        <v>43042</v>
      </c>
      <c r="E568" s="11">
        <v>327.3</v>
      </c>
      <c r="F568" s="12">
        <f t="shared" ref="F568:F570" si="176">(E567-E568)/(D568-D567)</f>
        <v>6</v>
      </c>
      <c r="G568" s="14"/>
      <c r="H568" s="14"/>
      <c r="I568" s="13">
        <v>37.5</v>
      </c>
      <c r="J568" s="15">
        <f>(I566-I568)/(D568-D566)</f>
        <v>3.1000000000000014</v>
      </c>
      <c r="K568" s="13">
        <v>32.200000000000003</v>
      </c>
      <c r="L568" s="14"/>
      <c r="M568" s="14"/>
      <c r="N568" s="14"/>
      <c r="O568" s="14"/>
      <c r="P568" s="14"/>
      <c r="Q568" s="14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3.2">
      <c r="A569" s="14"/>
      <c r="B569" s="5">
        <v>6</v>
      </c>
      <c r="C569" s="5">
        <f t="shared" si="164"/>
        <v>46</v>
      </c>
      <c r="D569" s="20">
        <v>43045</v>
      </c>
      <c r="E569" s="11">
        <v>311.5</v>
      </c>
      <c r="F569" s="12">
        <f t="shared" si="176"/>
        <v>5.2666666666666702</v>
      </c>
      <c r="G569" s="14"/>
      <c r="H569" s="14"/>
      <c r="I569" s="13">
        <v>29.9</v>
      </c>
      <c r="J569" s="15">
        <f>(I568-I569)/(D569-D568)</f>
        <v>2.5333333333333337</v>
      </c>
      <c r="K569" s="13">
        <v>32.799999999999997</v>
      </c>
      <c r="L569" s="14"/>
      <c r="M569" s="14"/>
      <c r="N569" s="14"/>
      <c r="O569" s="14"/>
      <c r="P569" s="14"/>
      <c r="Q569" s="14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3.2">
      <c r="A570" s="14"/>
      <c r="B570" s="5">
        <v>6</v>
      </c>
      <c r="C570" s="5">
        <f t="shared" si="164"/>
        <v>48</v>
      </c>
      <c r="D570" s="20">
        <v>43047</v>
      </c>
      <c r="E570" s="11">
        <v>301.7</v>
      </c>
      <c r="F570" s="12">
        <f t="shared" si="176"/>
        <v>4.9000000000000057</v>
      </c>
      <c r="G570" s="14"/>
      <c r="H570" s="14"/>
      <c r="I570" s="13">
        <v>83.9</v>
      </c>
      <c r="J570" s="14">
        <f>(87.8-I570)/(D570-D569)</f>
        <v>1.9499999999999957</v>
      </c>
      <c r="K570" s="13">
        <v>33.799999999999997</v>
      </c>
      <c r="L570" s="14"/>
      <c r="M570" s="14"/>
      <c r="N570" s="14"/>
      <c r="O570" s="14"/>
      <c r="P570" s="14"/>
      <c r="Q570" s="14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3.2">
      <c r="A571" s="14"/>
      <c r="B571" s="5">
        <v>7</v>
      </c>
      <c r="C571" s="5">
        <f t="shared" si="164"/>
        <v>49</v>
      </c>
      <c r="D571" s="20">
        <v>43048</v>
      </c>
      <c r="E571" s="11">
        <v>349.3</v>
      </c>
      <c r="F571" s="12"/>
      <c r="G571" s="14"/>
      <c r="H571" s="14"/>
      <c r="I571" s="15"/>
      <c r="J571" s="14"/>
      <c r="K571" s="15"/>
      <c r="L571" s="14"/>
      <c r="M571" s="14"/>
      <c r="N571" s="14"/>
      <c r="O571" s="14"/>
      <c r="P571" s="14"/>
      <c r="Q571" s="14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3.2">
      <c r="A572" s="14"/>
      <c r="B572" s="5">
        <v>7</v>
      </c>
      <c r="C572" s="5">
        <f t="shared" si="164"/>
        <v>50</v>
      </c>
      <c r="D572" s="20">
        <v>43049</v>
      </c>
      <c r="E572" s="11">
        <v>343.4</v>
      </c>
      <c r="F572" s="12">
        <f t="shared" ref="F572:F574" si="177">(E571-E572)/(D572-D571)</f>
        <v>5.9000000000000341</v>
      </c>
      <c r="G572" s="14"/>
      <c r="H572" s="14"/>
      <c r="I572" s="13">
        <v>78.2</v>
      </c>
      <c r="J572" s="15">
        <f>(I570-I572)/(D572-D570)</f>
        <v>2.8500000000000014</v>
      </c>
      <c r="K572" s="13">
        <v>34.299999999999997</v>
      </c>
      <c r="L572" s="14"/>
      <c r="M572" s="14"/>
      <c r="N572" s="14"/>
      <c r="O572" s="14"/>
      <c r="P572" s="14"/>
      <c r="Q572" s="14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3.2">
      <c r="A573" s="14"/>
      <c r="B573" s="5">
        <v>7</v>
      </c>
      <c r="C573" s="5">
        <f t="shared" si="164"/>
        <v>53</v>
      </c>
      <c r="D573" s="20">
        <v>43052</v>
      </c>
      <c r="E573" s="11">
        <v>332</v>
      </c>
      <c r="F573" s="12">
        <f t="shared" si="177"/>
        <v>3.7999999999999923</v>
      </c>
      <c r="G573" s="14"/>
      <c r="H573" s="14"/>
      <c r="I573" s="13">
        <v>69.8</v>
      </c>
      <c r="J573" s="15">
        <f t="shared" ref="J573:J574" si="178">(I572-I573)/(D573-D572)</f>
        <v>2.800000000000002</v>
      </c>
      <c r="K573" s="13">
        <v>35.200000000000003</v>
      </c>
      <c r="L573" s="14"/>
      <c r="M573" s="14"/>
      <c r="N573" s="14"/>
      <c r="O573" s="14"/>
      <c r="P573" s="14"/>
      <c r="Q573" s="14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3.2">
      <c r="A574" s="14"/>
      <c r="B574" s="5">
        <v>7</v>
      </c>
      <c r="C574" s="5">
        <f t="shared" si="164"/>
        <v>55</v>
      </c>
      <c r="D574" s="20">
        <v>43054</v>
      </c>
      <c r="E574" s="11">
        <v>312.10000000000002</v>
      </c>
      <c r="F574" s="12">
        <f t="shared" si="177"/>
        <v>9.9499999999999886</v>
      </c>
      <c r="G574" s="14"/>
      <c r="H574" s="14"/>
      <c r="I574" s="13">
        <v>66.099999999999994</v>
      </c>
      <c r="J574" s="15">
        <f t="shared" si="178"/>
        <v>1.8500000000000014</v>
      </c>
      <c r="K574" s="13">
        <v>35.6</v>
      </c>
      <c r="L574" s="14"/>
      <c r="M574" s="14"/>
      <c r="N574" s="14"/>
      <c r="O574" s="14"/>
      <c r="P574" s="14"/>
      <c r="Q574" s="14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3.2">
      <c r="A575" s="14"/>
      <c r="B575" s="5">
        <v>8</v>
      </c>
      <c r="C575" s="5">
        <f t="shared" si="164"/>
        <v>56</v>
      </c>
      <c r="D575" s="20">
        <v>43055</v>
      </c>
      <c r="E575" s="11">
        <v>348.5</v>
      </c>
      <c r="F575" s="12"/>
      <c r="G575" s="14"/>
      <c r="H575" s="14"/>
      <c r="I575" s="15"/>
      <c r="J575" s="14"/>
      <c r="K575" s="15"/>
      <c r="L575" s="14"/>
      <c r="M575" s="14"/>
      <c r="N575" s="14"/>
      <c r="O575" s="14"/>
      <c r="P575" s="14"/>
      <c r="Q575" s="14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3.2">
      <c r="A576" s="14"/>
      <c r="B576" s="5">
        <v>8</v>
      </c>
      <c r="C576" s="5">
        <f t="shared" si="164"/>
        <v>57</v>
      </c>
      <c r="D576" s="20">
        <v>43056</v>
      </c>
      <c r="E576" s="11">
        <v>342</v>
      </c>
      <c r="F576" s="12">
        <f t="shared" ref="F576:F577" si="179">(E575-E576)/(D576-D575)</f>
        <v>6.5</v>
      </c>
      <c r="G576" s="14"/>
      <c r="H576" s="14"/>
      <c r="I576" s="13">
        <v>60.6</v>
      </c>
      <c r="J576" s="15">
        <f>(I574-I576)/(D576-D574)</f>
        <v>2.7499999999999964</v>
      </c>
      <c r="K576" s="13">
        <v>36</v>
      </c>
      <c r="L576" s="14"/>
      <c r="M576" s="14"/>
      <c r="N576" s="14"/>
      <c r="O576" s="14"/>
      <c r="P576" s="14"/>
      <c r="Q576" s="14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3.2">
      <c r="A577" s="14"/>
      <c r="B577" s="5">
        <v>8</v>
      </c>
      <c r="C577" s="5">
        <f t="shared" si="164"/>
        <v>60</v>
      </c>
      <c r="D577" s="20">
        <v>43059</v>
      </c>
      <c r="E577" s="11">
        <v>328.1</v>
      </c>
      <c r="F577" s="12">
        <f t="shared" si="179"/>
        <v>4.6333333333333258</v>
      </c>
      <c r="G577" s="14"/>
      <c r="H577" s="14"/>
      <c r="I577" s="13">
        <v>51.8</v>
      </c>
      <c r="J577" s="15">
        <f>(I576-I577)/(D577-D576)</f>
        <v>2.9333333333333349</v>
      </c>
      <c r="K577" s="13">
        <v>37.299999999999997</v>
      </c>
      <c r="L577" s="14"/>
      <c r="M577" s="14"/>
      <c r="N577" s="14"/>
      <c r="O577" s="14"/>
      <c r="P577" s="14"/>
      <c r="Q577" s="14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3.2">
      <c r="A578" s="14"/>
      <c r="B578" s="5">
        <v>8</v>
      </c>
      <c r="C578" s="5">
        <f t="shared" si="164"/>
        <v>61</v>
      </c>
      <c r="D578" s="20">
        <v>43060</v>
      </c>
      <c r="E578" s="11">
        <v>361.8</v>
      </c>
      <c r="F578" s="12"/>
      <c r="G578" s="14"/>
      <c r="H578" s="14"/>
      <c r="I578" s="15"/>
      <c r="J578" s="14"/>
      <c r="K578" s="15"/>
      <c r="L578" s="14"/>
      <c r="M578" s="14"/>
      <c r="N578" s="14"/>
      <c r="O578" s="14"/>
      <c r="P578" s="14"/>
      <c r="Q578" s="14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3.2">
      <c r="A579" s="14"/>
      <c r="B579" s="5">
        <v>8</v>
      </c>
      <c r="C579" s="5">
        <f t="shared" si="164"/>
        <v>62</v>
      </c>
      <c r="D579" s="20">
        <v>43061</v>
      </c>
      <c r="E579" s="11">
        <v>354.6</v>
      </c>
      <c r="F579" s="12">
        <f>(E578-E579)/(D579-D578)</f>
        <v>7.1999999999999886</v>
      </c>
      <c r="G579" s="14"/>
      <c r="H579" s="14"/>
      <c r="I579" s="13">
        <v>46.4</v>
      </c>
      <c r="J579" s="15">
        <f>(I577-I579)/(D579-D577)</f>
        <v>2.6999999999999993</v>
      </c>
      <c r="K579" s="13">
        <v>37.5</v>
      </c>
      <c r="L579" s="14"/>
      <c r="M579" s="14"/>
      <c r="N579" s="14"/>
      <c r="O579" s="14"/>
      <c r="P579" s="14"/>
      <c r="Q579" s="14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3.2">
      <c r="A580" s="14"/>
      <c r="B580" s="5">
        <v>9</v>
      </c>
      <c r="C580" s="5">
        <f t="shared" si="164"/>
        <v>63</v>
      </c>
      <c r="D580" s="20">
        <v>43062</v>
      </c>
      <c r="E580" s="11"/>
      <c r="F580" s="12"/>
      <c r="G580" s="14"/>
      <c r="H580" s="14"/>
      <c r="I580" s="13"/>
      <c r="J580" s="15"/>
      <c r="K580" s="13"/>
      <c r="L580" s="14"/>
      <c r="M580" s="14"/>
      <c r="N580" s="14"/>
      <c r="O580" s="14"/>
      <c r="P580" s="14"/>
      <c r="Q580" s="14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3.2">
      <c r="A581" s="14"/>
      <c r="B581" s="5">
        <v>9</v>
      </c>
      <c r="C581" s="5">
        <f t="shared" si="164"/>
        <v>64</v>
      </c>
      <c r="D581" s="20">
        <v>43063</v>
      </c>
      <c r="E581" s="11">
        <v>346.2</v>
      </c>
      <c r="F581" s="12">
        <f>(E579-E581)/(D581-D579)</f>
        <v>4.2000000000000171</v>
      </c>
      <c r="G581" s="14"/>
      <c r="H581" s="14"/>
      <c r="I581" s="13">
        <v>40.9</v>
      </c>
      <c r="J581" s="15">
        <f>(I579-I581)/(D581-D579)</f>
        <v>2.75</v>
      </c>
      <c r="K581" s="13">
        <v>37.9</v>
      </c>
      <c r="L581" s="14"/>
      <c r="M581" s="14"/>
      <c r="N581" s="14"/>
      <c r="O581" s="14"/>
      <c r="P581" s="14"/>
      <c r="Q581" s="14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3.2">
      <c r="A582" s="14"/>
      <c r="B582" s="5">
        <v>9</v>
      </c>
      <c r="C582" s="5">
        <f t="shared" si="164"/>
        <v>67</v>
      </c>
      <c r="D582" s="23">
        <v>43066</v>
      </c>
      <c r="E582" s="11">
        <v>333</v>
      </c>
      <c r="F582" s="12">
        <f t="shared" ref="F582:F583" si="180">(E581-E582)/(D582-D581)</f>
        <v>4.3999999999999959</v>
      </c>
      <c r="G582" s="14"/>
      <c r="H582" s="14"/>
      <c r="I582" s="13">
        <v>33.299999999999997</v>
      </c>
      <c r="J582" s="15">
        <f>(I581-I582)/(D582-D581)</f>
        <v>2.5333333333333337</v>
      </c>
      <c r="K582" s="13">
        <v>38.5</v>
      </c>
      <c r="L582" s="14"/>
      <c r="M582" s="14"/>
      <c r="N582" s="14"/>
      <c r="O582" s="14"/>
      <c r="P582" s="14"/>
      <c r="Q582" s="14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3.2">
      <c r="A583" s="14"/>
      <c r="B583" s="5">
        <v>9</v>
      </c>
      <c r="C583" s="5">
        <f t="shared" si="164"/>
        <v>69</v>
      </c>
      <c r="D583" s="23">
        <v>43068</v>
      </c>
      <c r="E583" s="11">
        <v>323.3</v>
      </c>
      <c r="F583" s="12">
        <f t="shared" si="180"/>
        <v>4.8499999999999943</v>
      </c>
      <c r="G583" s="14"/>
      <c r="H583" s="14"/>
      <c r="I583" s="13">
        <v>107</v>
      </c>
      <c r="J583" s="15">
        <f>(113.8-I583)-(D583-D582)</f>
        <v>4.7999999999999972</v>
      </c>
      <c r="K583" s="13">
        <v>39.6</v>
      </c>
      <c r="L583" s="14"/>
      <c r="M583" s="14"/>
      <c r="N583" s="14"/>
      <c r="O583" s="14"/>
      <c r="P583" s="14"/>
      <c r="Q583" s="14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3.2">
      <c r="A584" s="14"/>
      <c r="B584" s="5">
        <v>10</v>
      </c>
      <c r="C584" s="5">
        <f t="shared" si="164"/>
        <v>70</v>
      </c>
      <c r="D584" s="23">
        <v>43069</v>
      </c>
      <c r="E584" s="11">
        <v>347.4</v>
      </c>
      <c r="F584" s="12"/>
      <c r="G584" s="14"/>
      <c r="H584" s="14"/>
      <c r="I584" s="15"/>
      <c r="J584" s="14"/>
      <c r="K584" s="15"/>
      <c r="L584" s="14"/>
      <c r="M584" s="14"/>
      <c r="N584" s="14"/>
      <c r="O584" s="14"/>
      <c r="P584" s="14"/>
      <c r="Q584" s="14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3.2">
      <c r="A585" s="14"/>
      <c r="B585" s="5">
        <v>10</v>
      </c>
      <c r="C585" s="5">
        <f t="shared" si="164"/>
        <v>71</v>
      </c>
      <c r="D585" s="23">
        <v>43070</v>
      </c>
      <c r="E585" s="11">
        <v>342</v>
      </c>
      <c r="F585" s="12">
        <f t="shared" ref="F585:F587" si="181">(E584-E585)/(D585-D584)</f>
        <v>5.3999999999999773</v>
      </c>
      <c r="G585" s="14"/>
      <c r="H585" s="14"/>
      <c r="I585" s="13">
        <v>102.3</v>
      </c>
      <c r="J585" s="15">
        <f>(I583-I585)/(D585-D583)</f>
        <v>2.3500000000000014</v>
      </c>
      <c r="K585" s="13">
        <v>40.200000000000003</v>
      </c>
      <c r="L585" s="14"/>
      <c r="M585" s="14"/>
      <c r="N585" s="14"/>
      <c r="O585" s="14"/>
      <c r="P585" s="14"/>
      <c r="Q585" s="14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3.2">
      <c r="A586" s="14"/>
      <c r="B586" s="5">
        <v>10</v>
      </c>
      <c r="C586" s="5">
        <f t="shared" si="164"/>
        <v>74</v>
      </c>
      <c r="D586" s="23">
        <v>43073</v>
      </c>
      <c r="E586" s="11">
        <v>330.7</v>
      </c>
      <c r="F586" s="12">
        <f t="shared" si="181"/>
        <v>3.7666666666666706</v>
      </c>
      <c r="G586" s="14"/>
      <c r="H586" s="14"/>
      <c r="I586" s="13">
        <v>93.3</v>
      </c>
      <c r="J586" s="15">
        <f t="shared" ref="J586:J587" si="182">(I585-I586)/(D586-D585)</f>
        <v>3</v>
      </c>
      <c r="K586" s="13">
        <v>41</v>
      </c>
      <c r="L586" s="14"/>
      <c r="M586" s="14"/>
      <c r="N586" s="14"/>
      <c r="O586" s="14"/>
      <c r="P586" s="14"/>
      <c r="Q586" s="14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3.2">
      <c r="A587" s="14"/>
      <c r="B587" s="5">
        <v>10</v>
      </c>
      <c r="C587" s="5">
        <f t="shared" si="164"/>
        <v>76</v>
      </c>
      <c r="D587" s="23">
        <v>43075</v>
      </c>
      <c r="E587" s="11">
        <v>319.10000000000002</v>
      </c>
      <c r="F587" s="12">
        <f t="shared" si="181"/>
        <v>5.7999999999999829</v>
      </c>
      <c r="G587" s="14"/>
      <c r="H587" s="14"/>
      <c r="I587" s="13">
        <v>87.9</v>
      </c>
      <c r="J587" s="15">
        <f t="shared" si="182"/>
        <v>2.6999999999999957</v>
      </c>
      <c r="K587" s="13">
        <v>41.6</v>
      </c>
      <c r="L587" s="14"/>
      <c r="M587" s="14"/>
      <c r="N587" s="14"/>
      <c r="O587" s="14"/>
      <c r="P587" s="14"/>
      <c r="Q587" s="14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3.2">
      <c r="A588" s="14"/>
      <c r="B588" s="5">
        <v>11</v>
      </c>
      <c r="C588" s="5">
        <f t="shared" si="164"/>
        <v>77</v>
      </c>
      <c r="D588" s="24">
        <v>43076</v>
      </c>
      <c r="E588" s="11">
        <v>374.8</v>
      </c>
      <c r="F588" s="12"/>
      <c r="G588" s="14"/>
      <c r="H588" s="14"/>
      <c r="I588" s="15"/>
      <c r="J588" s="14"/>
      <c r="K588" s="15"/>
      <c r="L588" s="14"/>
      <c r="M588" s="14"/>
      <c r="N588" s="14"/>
      <c r="O588" s="14"/>
      <c r="P588" s="14"/>
      <c r="Q588" s="14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3.2">
      <c r="A589" s="14"/>
      <c r="B589" s="5">
        <v>11</v>
      </c>
      <c r="C589" s="5">
        <f t="shared" si="164"/>
        <v>78</v>
      </c>
      <c r="D589" s="24">
        <v>43077</v>
      </c>
      <c r="E589" s="11">
        <v>370.2</v>
      </c>
      <c r="F589" s="12">
        <f t="shared" ref="F589:F591" si="183">(E588-E589)/(D589-D588)</f>
        <v>4.6000000000000227</v>
      </c>
      <c r="G589" s="14"/>
      <c r="H589" s="14"/>
      <c r="I589" s="13">
        <v>81.599999999999994</v>
      </c>
      <c r="J589" s="15">
        <f>(I587-I589)/(D589-D587)</f>
        <v>3.1500000000000057</v>
      </c>
      <c r="K589" s="13">
        <v>42.1</v>
      </c>
      <c r="L589" s="14"/>
      <c r="M589" s="14"/>
      <c r="N589" s="14"/>
      <c r="O589" s="14"/>
      <c r="P589" s="14"/>
      <c r="Q589" s="14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3.2">
      <c r="A590" s="14"/>
      <c r="B590" s="5">
        <v>11</v>
      </c>
      <c r="C590" s="5">
        <f t="shared" si="164"/>
        <v>81</v>
      </c>
      <c r="D590" s="24">
        <v>43080</v>
      </c>
      <c r="E590" s="11">
        <v>361.2</v>
      </c>
      <c r="F590" s="12">
        <f t="shared" si="183"/>
        <v>3</v>
      </c>
      <c r="G590" s="14"/>
      <c r="H590" s="14"/>
      <c r="I590" s="13">
        <v>73.599999999999994</v>
      </c>
      <c r="J590" s="15">
        <f t="shared" ref="J590:J591" si="184">(I589-I590)/(D590-D589)</f>
        <v>2.6666666666666665</v>
      </c>
      <c r="K590" s="13">
        <v>42.7</v>
      </c>
      <c r="L590" s="14"/>
      <c r="M590" s="14"/>
      <c r="N590" s="14"/>
      <c r="O590" s="14"/>
      <c r="P590" s="14"/>
      <c r="Q590" s="14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3.2">
      <c r="A591" s="14"/>
      <c r="B591" s="5">
        <v>11</v>
      </c>
      <c r="C591" s="5">
        <f t="shared" si="164"/>
        <v>83</v>
      </c>
      <c r="D591" s="25">
        <v>43082</v>
      </c>
      <c r="E591" s="11">
        <v>349</v>
      </c>
      <c r="F591" s="12">
        <f t="shared" si="183"/>
        <v>6.0999999999999943</v>
      </c>
      <c r="G591" s="14"/>
      <c r="H591" s="14"/>
      <c r="I591" s="13">
        <v>67.3</v>
      </c>
      <c r="J591" s="15">
        <f t="shared" si="184"/>
        <v>3.1499999999999986</v>
      </c>
      <c r="K591" s="13">
        <v>43.3</v>
      </c>
      <c r="L591" s="14"/>
      <c r="M591" s="14"/>
      <c r="N591" s="14"/>
      <c r="O591" s="14"/>
      <c r="P591" s="14"/>
      <c r="Q591" s="14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3.2">
      <c r="A592" s="14"/>
      <c r="B592" s="5">
        <v>12</v>
      </c>
      <c r="C592" s="5">
        <f t="shared" si="164"/>
        <v>84</v>
      </c>
      <c r="D592" s="24">
        <v>43083</v>
      </c>
      <c r="E592" s="12"/>
      <c r="F592" s="12"/>
      <c r="G592" s="14"/>
      <c r="H592" s="14"/>
      <c r="I592" s="15"/>
      <c r="J592" s="14"/>
      <c r="K592" s="13"/>
      <c r="L592" s="14"/>
      <c r="M592" s="14"/>
      <c r="N592" s="14"/>
      <c r="O592" s="14"/>
      <c r="P592" s="14"/>
      <c r="Q592" s="14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3.2">
      <c r="A593" s="174"/>
      <c r="B593" s="170">
        <v>12</v>
      </c>
      <c r="C593" s="170">
        <f t="shared" si="164"/>
        <v>85</v>
      </c>
      <c r="D593" s="178">
        <v>43084</v>
      </c>
      <c r="E593" s="175"/>
      <c r="F593" s="175"/>
      <c r="G593" s="174"/>
      <c r="H593" s="174"/>
      <c r="I593" s="179"/>
      <c r="J593" s="174"/>
      <c r="K593" s="176">
        <v>43.4</v>
      </c>
      <c r="L593" s="174"/>
      <c r="M593" s="14"/>
      <c r="N593" s="14"/>
      <c r="O593" s="14"/>
      <c r="P593" s="14"/>
      <c r="Q593" s="14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3.2">
      <c r="A594" s="14"/>
      <c r="B594" s="5">
        <v>12</v>
      </c>
      <c r="C594" s="5">
        <f t="shared" si="164"/>
        <v>98</v>
      </c>
      <c r="D594" s="32">
        <v>43097</v>
      </c>
      <c r="E594" s="12"/>
      <c r="F594" s="12"/>
      <c r="G594" s="14"/>
      <c r="H594" s="14"/>
      <c r="I594" s="33">
        <v>68.8</v>
      </c>
      <c r="J594" s="14"/>
      <c r="K594" s="33">
        <v>46.2</v>
      </c>
      <c r="L594" s="14"/>
      <c r="M594" s="14"/>
      <c r="N594" s="14"/>
      <c r="O594" s="14"/>
      <c r="P594" s="14"/>
      <c r="Q594" s="14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3.2">
      <c r="A595" s="14"/>
      <c r="B595" s="5">
        <v>12</v>
      </c>
      <c r="C595" s="5">
        <f t="shared" si="164"/>
        <v>105</v>
      </c>
      <c r="D595" s="32">
        <v>43104</v>
      </c>
      <c r="E595" s="12"/>
      <c r="F595" s="12"/>
      <c r="G595" s="14"/>
      <c r="H595" s="14"/>
      <c r="I595" s="33">
        <v>50.6</v>
      </c>
      <c r="J595" s="14"/>
      <c r="K595" s="33">
        <v>44.8</v>
      </c>
      <c r="L595" s="14"/>
      <c r="M595" s="14"/>
      <c r="N595" s="14"/>
      <c r="O595" s="14"/>
      <c r="P595" s="14"/>
      <c r="Q595" s="14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3.2">
      <c r="A596" s="14"/>
      <c r="B596" s="5"/>
      <c r="C596" s="5">
        <f t="shared" si="164"/>
        <v>112</v>
      </c>
      <c r="D596" s="32">
        <v>43111</v>
      </c>
      <c r="E596" s="12"/>
      <c r="F596" s="12"/>
      <c r="G596" s="14"/>
      <c r="H596" s="14"/>
      <c r="I596" s="33">
        <v>42.9</v>
      </c>
      <c r="J596" s="14"/>
      <c r="K596" s="33">
        <v>39.6</v>
      </c>
      <c r="L596" s="14"/>
      <c r="M596" s="14"/>
      <c r="N596" s="14"/>
      <c r="O596" s="14"/>
      <c r="P596" s="14"/>
      <c r="Q596" s="14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3.2">
      <c r="A597" s="14"/>
      <c r="B597" s="14"/>
      <c r="C597" s="5">
        <f t="shared" si="164"/>
        <v>116</v>
      </c>
      <c r="D597" s="20">
        <v>43115</v>
      </c>
      <c r="E597" s="12"/>
      <c r="F597" s="12"/>
      <c r="G597" s="14"/>
      <c r="H597" s="14"/>
      <c r="I597" s="33">
        <v>33.299999999999997</v>
      </c>
      <c r="J597" s="14"/>
      <c r="K597" s="33">
        <v>40.5</v>
      </c>
      <c r="L597" s="14"/>
      <c r="M597" s="14"/>
      <c r="N597" s="14"/>
      <c r="O597" s="14"/>
      <c r="P597" s="14"/>
      <c r="Q597" s="14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3.2">
      <c r="A598" s="14"/>
      <c r="B598" s="14"/>
      <c r="C598" s="5">
        <f t="shared" si="164"/>
        <v>117</v>
      </c>
      <c r="D598" s="32">
        <v>43116</v>
      </c>
      <c r="E598" s="12"/>
      <c r="F598" s="12"/>
      <c r="G598" s="14"/>
      <c r="H598" s="14"/>
      <c r="I598" s="33">
        <v>30.7</v>
      </c>
      <c r="J598" s="14"/>
      <c r="K598" s="33">
        <v>41.1</v>
      </c>
      <c r="L598" s="14"/>
      <c r="M598" s="14"/>
      <c r="N598" s="14"/>
      <c r="O598" s="14"/>
      <c r="P598" s="14"/>
      <c r="Q598" s="14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3.2">
      <c r="A599" s="14"/>
      <c r="B599" s="14"/>
      <c r="C599" s="5">
        <f t="shared" si="164"/>
        <v>118</v>
      </c>
      <c r="D599" s="32">
        <v>43117</v>
      </c>
      <c r="E599" s="12"/>
      <c r="F599" s="12"/>
      <c r="G599" s="14"/>
      <c r="H599" s="14"/>
      <c r="I599" s="33">
        <v>58.4</v>
      </c>
      <c r="J599" s="14"/>
      <c r="K599" s="33">
        <v>41.7</v>
      </c>
      <c r="L599" s="14"/>
      <c r="M599" s="14"/>
      <c r="N599" s="14"/>
      <c r="O599" s="14"/>
      <c r="P599" s="14"/>
      <c r="Q599" s="14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3.2">
      <c r="A600" s="14"/>
      <c r="B600" s="14"/>
      <c r="C600" s="5">
        <f t="shared" si="164"/>
        <v>119</v>
      </c>
      <c r="D600" s="32">
        <v>43118</v>
      </c>
      <c r="E600" s="12"/>
      <c r="F600" s="12"/>
      <c r="G600" s="14"/>
      <c r="H600" s="14"/>
      <c r="I600" s="33">
        <v>54.8</v>
      </c>
      <c r="J600" s="14"/>
      <c r="K600" s="33">
        <v>42.4</v>
      </c>
      <c r="L600" s="14"/>
      <c r="M600" s="14"/>
      <c r="N600" s="14"/>
      <c r="O600" s="14"/>
      <c r="P600" s="14"/>
      <c r="Q600" s="14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3.2">
      <c r="A601" s="14"/>
      <c r="B601" s="14"/>
      <c r="C601" s="5">
        <f t="shared" si="164"/>
        <v>120</v>
      </c>
      <c r="D601" s="217">
        <v>43119</v>
      </c>
      <c r="E601" s="12"/>
      <c r="F601" s="12"/>
      <c r="G601" s="14"/>
      <c r="H601" s="14"/>
      <c r="I601" s="127" t="s">
        <v>71</v>
      </c>
      <c r="J601" s="14"/>
      <c r="K601" s="127">
        <v>41.9</v>
      </c>
      <c r="L601" s="14"/>
      <c r="M601" s="14"/>
      <c r="N601" s="14"/>
      <c r="O601" s="14"/>
      <c r="P601" s="14"/>
      <c r="Q601" s="14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3.2">
      <c r="A602" s="14"/>
      <c r="B602" s="14"/>
      <c r="C602" s="5">
        <f t="shared" si="164"/>
        <v>121</v>
      </c>
      <c r="D602" s="217">
        <v>43120</v>
      </c>
      <c r="E602" s="12"/>
      <c r="F602" s="12"/>
      <c r="G602" s="14"/>
      <c r="H602" s="14"/>
      <c r="I602" s="127" t="s">
        <v>71</v>
      </c>
      <c r="J602" s="14"/>
      <c r="K602" s="127">
        <v>42.4</v>
      </c>
      <c r="L602" s="14"/>
      <c r="M602" s="14"/>
      <c r="N602" s="14"/>
      <c r="O602" s="14"/>
      <c r="P602" s="14"/>
      <c r="Q602" s="14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3.2">
      <c r="A603" s="14"/>
      <c r="B603" s="14"/>
      <c r="C603" s="5">
        <f t="shared" si="164"/>
        <v>122</v>
      </c>
      <c r="D603" s="32">
        <v>43121</v>
      </c>
      <c r="E603" s="12"/>
      <c r="F603" s="12"/>
      <c r="G603" s="14"/>
      <c r="H603" s="14"/>
      <c r="I603" s="33">
        <v>63</v>
      </c>
      <c r="J603" s="14"/>
      <c r="K603" s="33">
        <v>43.3</v>
      </c>
      <c r="L603" s="14"/>
      <c r="M603" s="14"/>
      <c r="N603" s="14"/>
      <c r="O603" s="14"/>
      <c r="P603" s="14"/>
      <c r="Q603" s="14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3.2">
      <c r="A604" s="14"/>
      <c r="B604" s="14"/>
      <c r="C604" s="5">
        <f t="shared" si="164"/>
        <v>123</v>
      </c>
      <c r="D604" s="32">
        <v>43122</v>
      </c>
      <c r="E604" s="12"/>
      <c r="F604" s="12"/>
      <c r="G604" s="14"/>
      <c r="H604" s="14"/>
      <c r="I604" s="33">
        <v>59.4</v>
      </c>
      <c r="J604" s="14"/>
      <c r="K604" s="33">
        <v>43.8</v>
      </c>
      <c r="L604" s="14"/>
      <c r="M604" s="14"/>
      <c r="N604" s="14"/>
      <c r="O604" s="14"/>
      <c r="P604" s="14"/>
      <c r="Q604" s="14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3.2">
      <c r="A605" s="14"/>
      <c r="B605" s="14"/>
      <c r="C605" s="5">
        <f t="shared" si="164"/>
        <v>124</v>
      </c>
      <c r="D605" s="32">
        <v>43123</v>
      </c>
      <c r="E605" s="12"/>
      <c r="F605" s="12"/>
      <c r="G605" s="14"/>
      <c r="H605" s="14"/>
      <c r="I605" s="33">
        <v>55.7</v>
      </c>
      <c r="J605" s="14"/>
      <c r="K605" s="33">
        <v>44.5</v>
      </c>
      <c r="L605" s="14"/>
      <c r="M605" s="14"/>
      <c r="N605" s="14"/>
      <c r="O605" s="14"/>
      <c r="P605" s="14"/>
      <c r="Q605" s="14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3.2">
      <c r="A606" s="14"/>
      <c r="B606" s="14"/>
      <c r="C606" s="5">
        <f t="shared" si="164"/>
        <v>125</v>
      </c>
      <c r="D606" s="52">
        <v>43124</v>
      </c>
      <c r="E606" s="12"/>
      <c r="F606" s="12"/>
      <c r="G606" s="14"/>
      <c r="H606" s="14"/>
      <c r="I606" s="33">
        <v>51.9</v>
      </c>
      <c r="J606" s="14"/>
      <c r="K606" s="33">
        <v>45.1</v>
      </c>
      <c r="L606" s="14"/>
      <c r="M606" s="14"/>
      <c r="N606" s="14"/>
      <c r="O606" s="14"/>
      <c r="P606" s="14"/>
      <c r="Q606" s="14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3.2">
      <c r="A607" s="14"/>
      <c r="B607" s="14"/>
      <c r="C607" s="5">
        <f t="shared" si="164"/>
        <v>126</v>
      </c>
      <c r="D607" s="52">
        <v>43125</v>
      </c>
      <c r="E607" s="12"/>
      <c r="F607" s="12"/>
      <c r="G607" s="14"/>
      <c r="H607" s="14"/>
      <c r="I607" s="33">
        <v>48.1</v>
      </c>
      <c r="J607" s="14"/>
      <c r="K607" s="33">
        <v>45.5</v>
      </c>
      <c r="L607" s="14"/>
      <c r="M607" s="14"/>
      <c r="N607" s="14"/>
      <c r="O607" s="14"/>
      <c r="P607" s="14"/>
      <c r="Q607" s="14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3.2">
      <c r="A608" s="14"/>
      <c r="B608" s="14"/>
      <c r="C608" s="5">
        <f t="shared" si="164"/>
        <v>127</v>
      </c>
      <c r="D608" s="52">
        <v>43126</v>
      </c>
      <c r="E608" s="12"/>
      <c r="F608" s="12"/>
      <c r="G608" s="14"/>
      <c r="H608" s="14"/>
      <c r="I608" s="33">
        <v>44.6</v>
      </c>
      <c r="J608" s="14"/>
      <c r="K608" s="33">
        <v>46.3</v>
      </c>
      <c r="L608" s="14"/>
      <c r="M608" s="14"/>
      <c r="N608" s="14"/>
      <c r="O608" s="14"/>
      <c r="P608" s="14"/>
      <c r="Q608" s="14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3.2">
      <c r="A609" s="14"/>
      <c r="B609" s="14"/>
      <c r="C609" s="5">
        <f t="shared" si="164"/>
        <v>128</v>
      </c>
      <c r="D609" s="52">
        <v>43127</v>
      </c>
      <c r="E609" s="12"/>
      <c r="F609" s="12"/>
      <c r="G609" s="14"/>
      <c r="H609" s="14"/>
      <c r="I609" s="33">
        <v>41.4</v>
      </c>
      <c r="J609" s="14"/>
      <c r="K609" s="33">
        <v>46.7</v>
      </c>
      <c r="L609" s="14"/>
      <c r="M609" s="14"/>
      <c r="N609" s="14"/>
      <c r="O609" s="14"/>
      <c r="P609" s="14"/>
      <c r="Q609" s="14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3.2">
      <c r="A610" s="14"/>
      <c r="B610" s="14"/>
      <c r="C610" s="5">
        <v>129</v>
      </c>
      <c r="D610" s="52">
        <v>43128</v>
      </c>
      <c r="E610" s="12"/>
      <c r="F610" s="12"/>
      <c r="G610" s="14"/>
      <c r="H610" s="14"/>
      <c r="I610" s="33">
        <v>38.4</v>
      </c>
      <c r="J610" s="14"/>
      <c r="K610" s="33">
        <v>46.9</v>
      </c>
      <c r="L610" s="14"/>
      <c r="M610" s="14"/>
      <c r="N610" s="14"/>
      <c r="O610" s="14"/>
      <c r="P610" s="14"/>
      <c r="Q610" s="14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3.2">
      <c r="A611" s="14"/>
      <c r="B611" s="14"/>
      <c r="C611" s="5">
        <v>130</v>
      </c>
      <c r="D611" s="52">
        <v>43129</v>
      </c>
      <c r="E611" s="12"/>
      <c r="F611" s="12"/>
      <c r="G611" s="14"/>
      <c r="H611" s="14"/>
      <c r="I611" s="33">
        <v>35.200000000000003</v>
      </c>
      <c r="J611" s="14"/>
      <c r="K611" s="33">
        <v>47.2</v>
      </c>
      <c r="L611" s="14"/>
      <c r="M611" s="14"/>
      <c r="N611" s="14"/>
      <c r="O611" s="14"/>
      <c r="P611" s="14"/>
      <c r="Q611" s="14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3.2">
      <c r="A612" s="14"/>
      <c r="B612" s="14"/>
      <c r="C612" s="5">
        <v>131</v>
      </c>
      <c r="D612" s="52">
        <v>43130</v>
      </c>
      <c r="E612" s="12"/>
      <c r="F612" s="12"/>
      <c r="G612" s="14"/>
      <c r="H612" s="14"/>
      <c r="I612" s="33">
        <v>68.599999999999994</v>
      </c>
      <c r="J612" s="14"/>
      <c r="K612" s="33">
        <v>48.1</v>
      </c>
      <c r="L612" s="14"/>
      <c r="M612" s="14"/>
      <c r="N612" s="14"/>
      <c r="O612" s="14"/>
      <c r="P612" s="14"/>
      <c r="Q612" s="14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3.2">
      <c r="A613" s="14"/>
      <c r="B613" s="14"/>
      <c r="C613" s="5">
        <v>132</v>
      </c>
      <c r="D613" s="53">
        <v>43131</v>
      </c>
      <c r="E613" s="12"/>
      <c r="F613" s="12"/>
      <c r="G613" s="14"/>
      <c r="H613" s="14"/>
      <c r="I613" s="33">
        <v>64.900000000000006</v>
      </c>
      <c r="J613" s="14"/>
      <c r="K613" s="33">
        <v>49.2</v>
      </c>
      <c r="L613" s="14"/>
      <c r="M613" s="14"/>
      <c r="N613" s="14"/>
      <c r="O613" s="14"/>
      <c r="P613" s="14"/>
      <c r="Q613" s="14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3.2">
      <c r="A614" s="14"/>
      <c r="B614" s="14"/>
      <c r="C614" s="5">
        <v>133</v>
      </c>
      <c r="D614" s="20">
        <v>43132</v>
      </c>
      <c r="E614" s="12"/>
      <c r="F614" s="12"/>
      <c r="G614" s="14"/>
      <c r="H614" s="14"/>
      <c r="I614" s="33">
        <v>61.6</v>
      </c>
      <c r="J614" s="37"/>
      <c r="K614" s="33">
        <v>49.4</v>
      </c>
      <c r="L614" s="14"/>
      <c r="M614" s="14"/>
      <c r="N614" s="14"/>
      <c r="O614" s="14"/>
      <c r="P614" s="14"/>
      <c r="Q614" s="14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3.2">
      <c r="A615" s="14"/>
      <c r="B615" s="14"/>
      <c r="C615" s="5">
        <v>134</v>
      </c>
      <c r="D615" s="20">
        <v>43133</v>
      </c>
      <c r="E615" s="12"/>
      <c r="F615" s="12"/>
      <c r="G615" s="14"/>
      <c r="H615" s="14"/>
      <c r="I615" s="33">
        <v>57.9</v>
      </c>
      <c r="J615" s="37"/>
      <c r="K615" s="33">
        <v>50.3</v>
      </c>
      <c r="L615" s="14"/>
      <c r="M615" s="14"/>
      <c r="N615" s="14"/>
      <c r="O615" s="14"/>
      <c r="P615" s="14"/>
      <c r="Q615" s="14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3.2">
      <c r="A616" s="14"/>
      <c r="B616" s="14"/>
      <c r="C616" s="5">
        <v>135</v>
      </c>
      <c r="D616" s="20">
        <v>43134</v>
      </c>
      <c r="E616" s="12"/>
      <c r="F616" s="12"/>
      <c r="G616" s="14"/>
      <c r="H616" s="14"/>
      <c r="I616" s="33">
        <v>54.8</v>
      </c>
      <c r="J616" s="37"/>
      <c r="K616" s="33">
        <v>50.2</v>
      </c>
      <c r="L616" s="14"/>
      <c r="M616" s="14"/>
      <c r="N616" s="14"/>
      <c r="O616" s="14"/>
      <c r="P616" s="14"/>
      <c r="Q616" s="14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3.2">
      <c r="A617" s="14"/>
      <c r="B617" s="14"/>
      <c r="C617" s="5">
        <v>136</v>
      </c>
      <c r="D617" s="20">
        <v>43135</v>
      </c>
      <c r="E617" s="12"/>
      <c r="F617" s="12"/>
      <c r="G617" s="14"/>
      <c r="H617" s="14"/>
      <c r="I617" s="33">
        <v>52</v>
      </c>
      <c r="J617" s="37"/>
      <c r="K617" s="33">
        <v>50.6</v>
      </c>
      <c r="L617" s="14"/>
      <c r="M617" s="14"/>
      <c r="N617" s="14"/>
      <c r="O617" s="14"/>
      <c r="P617" s="14"/>
      <c r="Q617" s="14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3.2">
      <c r="A618" s="14"/>
      <c r="B618" s="14"/>
      <c r="C618" s="5">
        <v>137</v>
      </c>
      <c r="D618" s="20">
        <v>43136</v>
      </c>
      <c r="E618" s="12"/>
      <c r="F618" s="12"/>
      <c r="G618" s="14"/>
      <c r="H618" s="14"/>
      <c r="I618" s="33">
        <v>49</v>
      </c>
      <c r="J618" s="37"/>
      <c r="K618" s="33">
        <v>50.5</v>
      </c>
      <c r="L618" s="14"/>
      <c r="M618" s="14"/>
      <c r="N618" s="14"/>
      <c r="O618" s="14"/>
      <c r="P618" s="14"/>
      <c r="Q618" s="14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3.2">
      <c r="A619" s="14"/>
      <c r="B619" s="14"/>
      <c r="C619" s="5">
        <v>138</v>
      </c>
      <c r="D619" s="20">
        <v>43137</v>
      </c>
      <c r="E619" s="12"/>
      <c r="F619" s="12"/>
      <c r="G619" s="14"/>
      <c r="H619" s="14"/>
      <c r="I619" s="33">
        <v>45.9</v>
      </c>
      <c r="J619" s="37"/>
      <c r="K619" s="33">
        <v>51</v>
      </c>
      <c r="L619" s="14"/>
      <c r="M619" s="14"/>
      <c r="N619" s="14"/>
      <c r="O619" s="14"/>
      <c r="P619" s="14"/>
      <c r="Q619" s="14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3.2">
      <c r="A620" s="14"/>
      <c r="B620" s="14"/>
      <c r="C620" s="5">
        <v>139</v>
      </c>
      <c r="D620" s="20">
        <v>43138</v>
      </c>
      <c r="E620" s="12"/>
      <c r="F620" s="12"/>
      <c r="G620" s="14"/>
      <c r="H620" s="14"/>
      <c r="I620" s="13">
        <v>42.7</v>
      </c>
      <c r="J620" s="14"/>
      <c r="K620" s="13">
        <v>51.6</v>
      </c>
      <c r="L620" s="14"/>
      <c r="M620" s="14"/>
      <c r="N620" s="14"/>
      <c r="O620" s="14"/>
      <c r="P620" s="14"/>
      <c r="Q620" s="14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3.2">
      <c r="A621" s="14"/>
      <c r="B621" s="14"/>
      <c r="C621" s="5">
        <v>140</v>
      </c>
      <c r="D621" s="20">
        <v>43139</v>
      </c>
      <c r="E621" s="12"/>
      <c r="F621" s="12"/>
      <c r="G621" s="14"/>
      <c r="H621" s="14"/>
      <c r="I621" s="13">
        <v>39.5</v>
      </c>
      <c r="J621" s="14"/>
      <c r="K621" s="13">
        <v>51.8</v>
      </c>
      <c r="L621" s="14"/>
      <c r="M621" s="14"/>
      <c r="N621" s="14"/>
      <c r="O621" s="14"/>
      <c r="P621" s="14"/>
      <c r="Q621" s="14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3.2">
      <c r="A622" s="14"/>
      <c r="B622" s="14"/>
      <c r="C622" s="5">
        <v>141</v>
      </c>
      <c r="D622" s="20">
        <v>43140</v>
      </c>
      <c r="E622" s="12"/>
      <c r="F622" s="12"/>
      <c r="G622" s="14"/>
      <c r="H622" s="14"/>
      <c r="I622" s="13">
        <v>92.6</v>
      </c>
      <c r="J622" s="14"/>
      <c r="K622" s="13">
        <v>52.3</v>
      </c>
      <c r="L622" s="14"/>
      <c r="M622" s="14"/>
      <c r="N622" s="14"/>
      <c r="O622" s="14"/>
      <c r="P622" s="14"/>
      <c r="Q622" s="14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3.2">
      <c r="A623" s="14"/>
      <c r="B623" s="14"/>
      <c r="C623" s="5">
        <v>142</v>
      </c>
      <c r="D623" s="20">
        <v>43141</v>
      </c>
      <c r="E623" s="12"/>
      <c r="F623" s="12"/>
      <c r="G623" s="14"/>
      <c r="H623" s="14"/>
      <c r="I623" s="13">
        <v>89.7</v>
      </c>
      <c r="J623" s="14"/>
      <c r="K623" s="13">
        <v>52.5</v>
      </c>
      <c r="L623" s="14"/>
      <c r="M623" s="14"/>
      <c r="N623" s="14"/>
      <c r="O623" s="14"/>
      <c r="P623" s="14"/>
      <c r="Q623" s="14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3.2">
      <c r="A624" s="14"/>
      <c r="B624" s="14"/>
      <c r="C624" s="5">
        <v>143</v>
      </c>
      <c r="D624" s="20">
        <v>43142</v>
      </c>
      <c r="E624" s="12"/>
      <c r="F624" s="12"/>
      <c r="G624" s="14"/>
      <c r="H624" s="14"/>
      <c r="I624" s="13">
        <v>86.7</v>
      </c>
      <c r="J624" s="14"/>
      <c r="K624" s="13">
        <v>53.4</v>
      </c>
      <c r="L624" s="14"/>
      <c r="M624" s="14"/>
      <c r="N624" s="14"/>
      <c r="O624" s="14"/>
      <c r="P624" s="14"/>
      <c r="Q624" s="14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3.2">
      <c r="A625" s="14"/>
      <c r="B625" s="14"/>
      <c r="C625" s="5">
        <v>144</v>
      </c>
      <c r="D625" s="20">
        <v>43143</v>
      </c>
      <c r="E625" s="12"/>
      <c r="F625" s="12"/>
      <c r="G625" s="14"/>
      <c r="H625" s="14"/>
      <c r="I625" s="13">
        <v>83.3</v>
      </c>
      <c r="J625" s="14"/>
      <c r="K625" s="13">
        <v>53.5</v>
      </c>
      <c r="L625" s="14"/>
      <c r="M625" s="14"/>
      <c r="N625" s="14"/>
      <c r="O625" s="14"/>
      <c r="P625" s="14"/>
      <c r="Q625" s="14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3.2">
      <c r="A626" s="14"/>
      <c r="B626" s="14"/>
      <c r="C626" s="5">
        <v>145</v>
      </c>
      <c r="D626" s="20">
        <v>43144</v>
      </c>
      <c r="E626" s="12"/>
      <c r="F626" s="12"/>
      <c r="G626" s="14"/>
      <c r="H626" s="14"/>
      <c r="I626" s="13">
        <v>80.099999999999994</v>
      </c>
      <c r="J626" s="14"/>
      <c r="K626" s="13">
        <v>54.1</v>
      </c>
      <c r="L626" s="14"/>
      <c r="M626" s="14"/>
      <c r="N626" s="14"/>
      <c r="O626" s="14"/>
      <c r="P626" s="14"/>
      <c r="Q626" s="14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3.2">
      <c r="A627" s="14"/>
      <c r="B627" s="14"/>
      <c r="C627" s="5">
        <v>146</v>
      </c>
      <c r="D627" s="20">
        <v>43145</v>
      </c>
      <c r="E627" s="12"/>
      <c r="F627" s="12"/>
      <c r="G627" s="14"/>
      <c r="H627" s="14"/>
      <c r="I627" s="13">
        <v>76.5</v>
      </c>
      <c r="J627" s="14"/>
      <c r="K627" s="13">
        <v>54.6</v>
      </c>
      <c r="L627" s="14"/>
      <c r="M627" s="14"/>
      <c r="N627" s="14"/>
      <c r="O627" s="14"/>
      <c r="P627" s="14"/>
      <c r="Q627" s="14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3.2">
      <c r="A628" s="14"/>
      <c r="B628" s="14"/>
      <c r="C628" s="5">
        <v>147</v>
      </c>
      <c r="D628" s="20">
        <v>43146</v>
      </c>
      <c r="E628" s="12"/>
      <c r="F628" s="12"/>
      <c r="G628" s="14"/>
      <c r="H628" s="14"/>
      <c r="I628" s="13">
        <v>73.8</v>
      </c>
      <c r="J628" s="14"/>
      <c r="K628" s="13">
        <v>54.6</v>
      </c>
      <c r="L628" s="14"/>
      <c r="M628" s="14"/>
      <c r="N628" s="14"/>
      <c r="O628" s="14"/>
      <c r="P628" s="14"/>
      <c r="Q628" s="14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3.2">
      <c r="A629" s="14"/>
      <c r="B629" s="14"/>
      <c r="C629" s="5">
        <v>148</v>
      </c>
      <c r="D629" s="20">
        <v>43147</v>
      </c>
      <c r="E629" s="12"/>
      <c r="F629" s="12"/>
      <c r="G629" s="14"/>
      <c r="H629" s="14"/>
      <c r="I629" s="13">
        <v>71.2</v>
      </c>
      <c r="J629" s="14"/>
      <c r="K629" s="13">
        <v>54.8</v>
      </c>
      <c r="L629" s="14"/>
      <c r="M629" s="14"/>
      <c r="N629" s="14"/>
      <c r="O629" s="14"/>
      <c r="P629" s="14"/>
      <c r="Q629" s="14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3.2">
      <c r="A630" s="14"/>
      <c r="B630" s="14"/>
      <c r="C630" s="5">
        <v>149</v>
      </c>
      <c r="D630" s="20">
        <v>43148</v>
      </c>
      <c r="E630" s="12"/>
      <c r="F630" s="12"/>
      <c r="G630" s="14"/>
      <c r="H630" s="14"/>
      <c r="I630" s="13">
        <v>68.599999999999994</v>
      </c>
      <c r="J630" s="14"/>
      <c r="K630" s="13">
        <v>54.6</v>
      </c>
      <c r="L630" s="14"/>
      <c r="M630" s="14"/>
      <c r="N630" s="14"/>
      <c r="O630" s="14"/>
      <c r="P630" s="14"/>
      <c r="Q630" s="14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3.2">
      <c r="A631" s="14"/>
      <c r="B631" s="14"/>
      <c r="C631" s="14">
        <f t="shared" ref="C631:C635" si="185">C630+1</f>
        <v>150</v>
      </c>
      <c r="D631" s="20">
        <v>43149</v>
      </c>
      <c r="E631" s="12"/>
      <c r="F631" s="12"/>
      <c r="G631" s="14"/>
      <c r="H631" s="14"/>
      <c r="I631" s="13">
        <v>65.099999999999994</v>
      </c>
      <c r="J631" s="14"/>
      <c r="K631" s="13">
        <v>55.2</v>
      </c>
      <c r="L631" s="14"/>
      <c r="M631" s="14"/>
      <c r="N631" s="14"/>
      <c r="O631" s="14"/>
      <c r="P631" s="14"/>
      <c r="Q631" s="14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3.2">
      <c r="A632" s="14"/>
      <c r="B632" s="14"/>
      <c r="C632" s="14">
        <f t="shared" si="185"/>
        <v>151</v>
      </c>
      <c r="D632" s="20">
        <v>43150</v>
      </c>
      <c r="E632" s="12"/>
      <c r="F632" s="12"/>
      <c r="G632" s="14"/>
      <c r="H632" s="14"/>
      <c r="I632" s="13">
        <v>61.9</v>
      </c>
      <c r="J632" s="14"/>
      <c r="K632" s="13">
        <v>55.5</v>
      </c>
      <c r="L632" s="14"/>
      <c r="M632" s="14"/>
      <c r="N632" s="14"/>
      <c r="O632" s="14"/>
      <c r="P632" s="14"/>
      <c r="Q632" s="14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3.2">
      <c r="A633" s="14"/>
      <c r="B633" s="14"/>
      <c r="C633" s="14">
        <f t="shared" si="185"/>
        <v>152</v>
      </c>
      <c r="D633" s="20">
        <v>43151</v>
      </c>
      <c r="E633" s="12"/>
      <c r="F633" s="12"/>
      <c r="G633" s="14"/>
      <c r="H633" s="14"/>
      <c r="I633" s="13">
        <v>58.7</v>
      </c>
      <c r="J633" s="14"/>
      <c r="K633" s="13">
        <v>55.9</v>
      </c>
      <c r="L633" s="14"/>
      <c r="M633" s="14"/>
      <c r="N633" s="14"/>
      <c r="O633" s="14"/>
      <c r="P633" s="14"/>
      <c r="Q633" s="14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3.2">
      <c r="A634" s="14"/>
      <c r="B634" s="14"/>
      <c r="C634" s="14">
        <f t="shared" si="185"/>
        <v>153</v>
      </c>
      <c r="D634" s="20">
        <v>43152</v>
      </c>
      <c r="E634" s="12"/>
      <c r="F634" s="12"/>
      <c r="G634" s="14"/>
      <c r="H634" s="14"/>
      <c r="I634" s="13">
        <v>55.8</v>
      </c>
      <c r="J634" s="14"/>
      <c r="K634" s="13">
        <v>56.1</v>
      </c>
      <c r="L634" s="14"/>
      <c r="M634" s="14"/>
      <c r="N634" s="14"/>
      <c r="O634" s="14"/>
      <c r="P634" s="14"/>
      <c r="Q634" s="14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3.2">
      <c r="A635" s="14"/>
      <c r="B635" s="14"/>
      <c r="C635" s="14">
        <f t="shared" si="185"/>
        <v>154</v>
      </c>
      <c r="D635" s="20">
        <v>43153</v>
      </c>
      <c r="E635" s="12"/>
      <c r="F635" s="12"/>
      <c r="G635" s="14"/>
      <c r="H635" s="14"/>
      <c r="I635" s="13">
        <v>53.2</v>
      </c>
      <c r="J635" s="14"/>
      <c r="K635" s="13">
        <v>55.8</v>
      </c>
      <c r="L635" s="14"/>
      <c r="M635" s="14"/>
      <c r="N635" s="14"/>
      <c r="O635" s="14"/>
      <c r="P635" s="14"/>
      <c r="Q635" s="14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3.2">
      <c r="A636" s="14"/>
      <c r="B636" s="14"/>
      <c r="C636" s="5">
        <v>155</v>
      </c>
      <c r="D636" s="56">
        <v>43154</v>
      </c>
      <c r="E636" s="12"/>
      <c r="F636" s="12"/>
      <c r="G636" s="14"/>
      <c r="H636" s="14"/>
      <c r="I636" s="13">
        <v>49.8</v>
      </c>
      <c r="J636" s="14"/>
      <c r="K636" s="13">
        <v>56.6</v>
      </c>
      <c r="L636" s="14"/>
      <c r="M636" s="14"/>
      <c r="N636" s="14"/>
      <c r="O636" s="14"/>
      <c r="P636" s="14"/>
      <c r="Q636" s="14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3.2">
      <c r="A637" s="14"/>
      <c r="B637" s="14"/>
      <c r="C637" s="5">
        <v>156</v>
      </c>
      <c r="D637" s="20">
        <v>43155</v>
      </c>
      <c r="E637" s="12"/>
      <c r="F637" s="12"/>
      <c r="G637" s="14"/>
      <c r="H637" s="14"/>
      <c r="I637" s="13">
        <v>46.5</v>
      </c>
      <c r="J637" s="14"/>
      <c r="K637" s="13">
        <v>57.3</v>
      </c>
      <c r="L637" s="14"/>
      <c r="M637" s="14"/>
      <c r="N637" s="14"/>
      <c r="O637" s="14"/>
      <c r="P637" s="14"/>
      <c r="Q637" s="14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3.2">
      <c r="A638" s="14"/>
      <c r="B638" s="14"/>
      <c r="C638" s="5">
        <v>157</v>
      </c>
      <c r="D638" s="20">
        <v>43156</v>
      </c>
      <c r="E638" s="12"/>
      <c r="F638" s="12"/>
      <c r="G638" s="14"/>
      <c r="H638" s="14"/>
      <c r="I638" s="13">
        <v>43.2</v>
      </c>
      <c r="J638" s="14"/>
      <c r="K638" s="13">
        <v>57.3</v>
      </c>
      <c r="L638" s="14"/>
      <c r="M638" s="14"/>
      <c r="N638" s="14"/>
      <c r="O638" s="14"/>
      <c r="P638" s="14"/>
      <c r="Q638" s="14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3.2">
      <c r="A639" s="14"/>
      <c r="B639" s="14"/>
      <c r="C639" s="5">
        <v>158</v>
      </c>
      <c r="D639" s="20">
        <v>43157</v>
      </c>
      <c r="E639" s="12"/>
      <c r="F639" s="12"/>
      <c r="G639" s="14"/>
      <c r="H639" s="14"/>
      <c r="I639" s="13">
        <v>40.1</v>
      </c>
      <c r="J639" s="14"/>
      <c r="K639" s="13">
        <v>57.8</v>
      </c>
      <c r="L639" s="14"/>
      <c r="M639" s="14"/>
      <c r="N639" s="14"/>
      <c r="O639" s="14"/>
      <c r="P639" s="14"/>
      <c r="Q639" s="14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3.2">
      <c r="A640" s="14"/>
      <c r="B640" s="14"/>
      <c r="C640" s="5">
        <v>159</v>
      </c>
      <c r="D640" s="20">
        <v>43158</v>
      </c>
      <c r="E640" s="12"/>
      <c r="F640" s="12"/>
      <c r="G640" s="14"/>
      <c r="H640" s="14"/>
      <c r="I640" s="13" t="s">
        <v>71</v>
      </c>
      <c r="J640" s="14"/>
      <c r="K640" s="13">
        <v>58</v>
      </c>
      <c r="L640" s="14"/>
      <c r="M640" s="14"/>
      <c r="N640" s="14"/>
      <c r="O640" s="14"/>
      <c r="P640" s="14"/>
      <c r="Q640" s="14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3.2">
      <c r="A641" s="14"/>
      <c r="B641" s="14"/>
      <c r="C641" s="5">
        <v>166</v>
      </c>
      <c r="D641" s="20">
        <v>43165</v>
      </c>
      <c r="E641" s="12"/>
      <c r="F641" s="12"/>
      <c r="G641" s="14"/>
      <c r="H641" s="14"/>
      <c r="I641" s="13">
        <v>63.9</v>
      </c>
      <c r="J641" s="14"/>
      <c r="K641" s="13">
        <v>47.4</v>
      </c>
      <c r="L641" s="14"/>
      <c r="M641" s="14"/>
      <c r="N641" s="14"/>
      <c r="O641" s="14"/>
      <c r="P641" s="14"/>
      <c r="Q641" s="14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3.2">
      <c r="A642" s="14"/>
      <c r="B642" s="14"/>
      <c r="C642" s="5">
        <v>173</v>
      </c>
      <c r="D642" s="20">
        <v>43172</v>
      </c>
      <c r="E642" s="12"/>
      <c r="F642" s="12"/>
      <c r="G642" s="14"/>
      <c r="H642" s="14"/>
      <c r="I642" s="13">
        <v>51.2</v>
      </c>
      <c r="J642" s="14"/>
      <c r="K642" s="13">
        <v>41.9</v>
      </c>
      <c r="L642" s="14"/>
      <c r="M642" s="14"/>
      <c r="N642" s="14"/>
      <c r="O642" s="14"/>
      <c r="P642" s="14"/>
      <c r="Q642" s="14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3.2">
      <c r="A643" s="14"/>
      <c r="B643" s="14"/>
      <c r="C643" s="14"/>
      <c r="D643" s="14"/>
      <c r="E643" s="12"/>
      <c r="F643" s="12"/>
      <c r="G643" s="14"/>
      <c r="H643" s="14"/>
      <c r="I643" s="15"/>
      <c r="J643" s="14"/>
      <c r="K643" s="15"/>
      <c r="L643" s="14"/>
      <c r="M643" s="14"/>
      <c r="N643" s="14"/>
      <c r="O643" s="14"/>
      <c r="P643" s="14"/>
      <c r="Q643" s="14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3.2">
      <c r="A644" s="14"/>
      <c r="B644" s="14"/>
      <c r="C644" s="14"/>
      <c r="D644" s="14"/>
      <c r="E644" s="12"/>
      <c r="F644" s="12"/>
      <c r="G644" s="14"/>
      <c r="H644" s="14"/>
      <c r="I644" s="15"/>
      <c r="J644" s="14"/>
      <c r="K644" s="15"/>
      <c r="L644" s="14"/>
      <c r="M644" s="14"/>
      <c r="N644" s="14"/>
      <c r="O644" s="14"/>
      <c r="P644" s="14"/>
      <c r="Q644" s="14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3.2">
      <c r="A645" s="14"/>
      <c r="B645" s="14"/>
      <c r="C645" s="14"/>
      <c r="D645" s="14"/>
      <c r="E645" s="12"/>
      <c r="F645" s="12"/>
      <c r="G645" s="14"/>
      <c r="H645" s="14"/>
      <c r="I645" s="15"/>
      <c r="J645" s="14"/>
      <c r="K645" s="15"/>
      <c r="L645" s="14"/>
      <c r="M645" s="14"/>
      <c r="N645" s="14"/>
      <c r="O645" s="14"/>
      <c r="P645" s="14"/>
      <c r="Q645" s="14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3.2">
      <c r="A646" s="14"/>
      <c r="B646" s="14"/>
      <c r="C646" s="14"/>
      <c r="D646" s="14"/>
      <c r="E646" s="12"/>
      <c r="F646" s="12"/>
      <c r="G646" s="14"/>
      <c r="H646" s="14"/>
      <c r="I646" s="15"/>
      <c r="J646" s="14"/>
      <c r="K646" s="15"/>
      <c r="L646" s="14"/>
      <c r="M646" s="14"/>
      <c r="N646" s="14"/>
      <c r="O646" s="14"/>
      <c r="P646" s="14"/>
      <c r="Q646" s="14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3.2">
      <c r="A647" s="14"/>
      <c r="B647" s="14"/>
      <c r="C647" s="14"/>
      <c r="D647" s="14"/>
      <c r="E647" s="12"/>
      <c r="F647" s="12"/>
      <c r="G647" s="14"/>
      <c r="H647" s="14"/>
      <c r="I647" s="15"/>
      <c r="J647" s="14"/>
      <c r="K647" s="15"/>
      <c r="L647" s="14"/>
      <c r="M647" s="14"/>
      <c r="N647" s="14"/>
      <c r="O647" s="14"/>
      <c r="P647" s="14"/>
      <c r="Q647" s="14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3.2">
      <c r="A648" s="14"/>
      <c r="B648" s="14"/>
      <c r="C648" s="14"/>
      <c r="D648" s="14"/>
      <c r="E648" s="12"/>
      <c r="F648" s="12"/>
      <c r="G648" s="14"/>
      <c r="H648" s="14"/>
      <c r="I648" s="15"/>
      <c r="J648" s="14"/>
      <c r="K648" s="15"/>
      <c r="L648" s="14"/>
      <c r="M648" s="14"/>
      <c r="N648" s="14"/>
      <c r="O648" s="14"/>
      <c r="P648" s="14"/>
      <c r="Q648" s="14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3.2">
      <c r="A649" s="14"/>
      <c r="B649" s="14"/>
      <c r="C649" s="14"/>
      <c r="D649" s="14"/>
      <c r="E649" s="12"/>
      <c r="F649" s="12"/>
      <c r="G649" s="14"/>
      <c r="H649" s="14"/>
      <c r="I649" s="15"/>
      <c r="J649" s="14"/>
      <c r="K649" s="15"/>
      <c r="L649" s="14"/>
      <c r="M649" s="14"/>
      <c r="N649" s="14"/>
      <c r="O649" s="14"/>
      <c r="P649" s="14"/>
      <c r="Q649" s="14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3.2">
      <c r="A650" s="14"/>
      <c r="B650" s="14"/>
      <c r="C650" s="14"/>
      <c r="D650" s="14"/>
      <c r="E650" s="12"/>
      <c r="F650" s="12"/>
      <c r="G650" s="14"/>
      <c r="H650" s="14"/>
      <c r="I650" s="15"/>
      <c r="J650" s="14"/>
      <c r="K650" s="15"/>
      <c r="L650" s="14"/>
      <c r="M650" s="14"/>
      <c r="N650" s="14"/>
      <c r="O650" s="14"/>
      <c r="P650" s="14"/>
      <c r="Q650" s="14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3.2">
      <c r="A651" s="14"/>
      <c r="B651" s="14"/>
      <c r="C651" s="14"/>
      <c r="D651" s="14"/>
      <c r="E651" s="12"/>
      <c r="F651" s="12"/>
      <c r="G651" s="14"/>
      <c r="H651" s="14"/>
      <c r="I651" s="15"/>
      <c r="J651" s="14"/>
      <c r="K651" s="15"/>
      <c r="L651" s="14"/>
      <c r="M651" s="14"/>
      <c r="N651" s="14"/>
      <c r="O651" s="14"/>
      <c r="P651" s="14"/>
      <c r="Q651" s="14"/>
      <c r="R651" s="7"/>
      <c r="S651" s="7"/>
      <c r="T651" s="73">
        <f>I652-I656</f>
        <v>26.700000000000003</v>
      </c>
      <c r="U651" s="7"/>
      <c r="V651" s="7">
        <f>SUM(U651:U652)</f>
        <v>1247.6439999999998</v>
      </c>
      <c r="W651" s="7"/>
      <c r="X651" s="7"/>
      <c r="Y651" s="7"/>
      <c r="Z651" s="7"/>
      <c r="AA651" s="7"/>
    </row>
    <row r="652" spans="1:27" ht="26.4">
      <c r="A652" s="169" t="s">
        <v>131</v>
      </c>
      <c r="B652" s="5">
        <v>0</v>
      </c>
      <c r="C652" s="5">
        <v>0</v>
      </c>
      <c r="D652" s="9">
        <v>42992</v>
      </c>
      <c r="E652" s="10">
        <v>377.1</v>
      </c>
      <c r="F652" s="11" t="s">
        <v>21</v>
      </c>
      <c r="G652" s="12">
        <f>AVERAGE(F653,F654,F655,F660)</f>
        <v>4.283333333333343</v>
      </c>
      <c r="H652" s="14"/>
      <c r="I652" s="13">
        <v>79.900000000000006</v>
      </c>
      <c r="J652" s="14"/>
      <c r="K652" s="13">
        <v>25.4</v>
      </c>
      <c r="L652" s="14"/>
      <c r="M652" s="14"/>
      <c r="N652" s="14"/>
      <c r="O652" s="14"/>
      <c r="P652" s="14"/>
      <c r="Q652" s="14">
        <f>SUM(P652:P664)-104.4</f>
        <v>257.30000000000007</v>
      </c>
      <c r="R652" s="7"/>
      <c r="S652" s="7"/>
      <c r="T652" s="73">
        <f>I657-I664</f>
        <v>39.5</v>
      </c>
      <c r="U652" s="7">
        <f>SUM(T652:T656)*5.24</f>
        <v>1247.6439999999998</v>
      </c>
      <c r="V652" s="7"/>
      <c r="W652" s="7"/>
      <c r="X652" s="7"/>
      <c r="Y652" s="7"/>
      <c r="Z652" s="7"/>
      <c r="AA652" s="7"/>
    </row>
    <row r="653" spans="1:27" ht="13.2">
      <c r="A653" s="5" t="s">
        <v>23</v>
      </c>
      <c r="B653" s="5">
        <v>0</v>
      </c>
      <c r="C653" s="5">
        <v>0</v>
      </c>
      <c r="D653" s="9">
        <v>42993</v>
      </c>
      <c r="E653" s="10">
        <v>373.7</v>
      </c>
      <c r="F653" s="12">
        <f>E652-E653</f>
        <v>3.4000000000000341</v>
      </c>
      <c r="G653" s="14"/>
      <c r="H653" s="14"/>
      <c r="I653" s="13">
        <v>76</v>
      </c>
      <c r="J653" s="14">
        <f t="shared" ref="J653:J656" si="186">(I652-I653)/(D653-D652)</f>
        <v>3.9000000000000057</v>
      </c>
      <c r="K653" s="13">
        <v>24.4</v>
      </c>
      <c r="L653" s="14"/>
      <c r="M653" s="14"/>
      <c r="N653" s="14"/>
      <c r="O653" s="14"/>
      <c r="P653" s="12">
        <f>E657-E660</f>
        <v>25.100000000000023</v>
      </c>
      <c r="Q653" s="14"/>
      <c r="R653" s="7"/>
      <c r="S653" s="7"/>
      <c r="T653" s="73">
        <f>I666-I675</f>
        <v>47.2</v>
      </c>
      <c r="U653" s="7"/>
      <c r="V653" s="7"/>
      <c r="W653" s="7"/>
      <c r="X653" s="7"/>
      <c r="Y653" s="7"/>
      <c r="Z653" s="7"/>
      <c r="AA653" s="7"/>
    </row>
    <row r="654" spans="1:27" ht="13.2">
      <c r="A654" s="14"/>
      <c r="B654" s="5">
        <v>0</v>
      </c>
      <c r="C654" s="5">
        <v>0</v>
      </c>
      <c r="D654" s="9">
        <v>42996</v>
      </c>
      <c r="E654" s="10">
        <v>357.1</v>
      </c>
      <c r="F654" s="12">
        <f t="shared" ref="F654:F656" si="187">(E653-E654)/(D654-D653)</f>
        <v>5.5333333333333217</v>
      </c>
      <c r="G654" s="14"/>
      <c r="H654" s="14"/>
      <c r="I654" s="13">
        <v>64.3</v>
      </c>
      <c r="J654" s="14">
        <f t="shared" si="186"/>
        <v>3.9000000000000008</v>
      </c>
      <c r="K654" s="13">
        <v>24.9</v>
      </c>
      <c r="L654" s="14"/>
      <c r="M654" s="14"/>
      <c r="N654" s="14"/>
      <c r="O654" s="14"/>
      <c r="P654" s="12">
        <f>E661-E664</f>
        <v>40.600000000000023</v>
      </c>
      <c r="Q654" s="14"/>
      <c r="R654" s="7"/>
      <c r="S654" s="7"/>
      <c r="T654" s="73">
        <f>51.9-I679</f>
        <v>19.299999999999997</v>
      </c>
      <c r="U654" s="7"/>
      <c r="V654" s="7"/>
      <c r="W654" s="7"/>
      <c r="X654" s="7"/>
      <c r="Y654" s="7"/>
      <c r="Z654" s="7"/>
      <c r="AA654" s="7"/>
    </row>
    <row r="655" spans="1:27" ht="13.2">
      <c r="A655" s="14"/>
      <c r="B655" s="5">
        <v>0</v>
      </c>
      <c r="C655" s="5">
        <v>0</v>
      </c>
      <c r="D655" s="9">
        <v>42998</v>
      </c>
      <c r="E655" s="10">
        <v>347.4</v>
      </c>
      <c r="F655" s="12">
        <f t="shared" si="187"/>
        <v>4.8500000000000227</v>
      </c>
      <c r="G655" s="14"/>
      <c r="H655" s="14"/>
      <c r="I655" s="13">
        <v>56.9</v>
      </c>
      <c r="J655" s="14">
        <f t="shared" si="186"/>
        <v>3.6999999999999993</v>
      </c>
      <c r="K655" s="13">
        <v>25.4</v>
      </c>
      <c r="L655" s="14"/>
      <c r="M655" s="14"/>
      <c r="N655" s="14"/>
      <c r="O655" s="14"/>
      <c r="P655" s="12">
        <f>E665-E668</f>
        <v>29.300000000000011</v>
      </c>
      <c r="Q655" s="14"/>
      <c r="R655" s="7"/>
      <c r="S655" s="7"/>
      <c r="T655" s="73">
        <f>83-I691</f>
        <v>58.7</v>
      </c>
      <c r="U655" s="7"/>
      <c r="V655" s="7"/>
      <c r="W655" s="7"/>
      <c r="X655" s="7"/>
      <c r="Y655" s="7"/>
      <c r="Z655" s="7"/>
      <c r="AA655" s="7"/>
    </row>
    <row r="656" spans="1:27" ht="13.2">
      <c r="A656" s="14"/>
      <c r="B656" s="5">
        <v>0</v>
      </c>
      <c r="C656" s="5">
        <v>0</v>
      </c>
      <c r="D656" s="17">
        <v>42999</v>
      </c>
      <c r="E656" s="10">
        <v>341.3</v>
      </c>
      <c r="F656" s="12">
        <f t="shared" si="187"/>
        <v>6.0999999999999659</v>
      </c>
      <c r="G656" s="14"/>
      <c r="H656" s="14"/>
      <c r="I656" s="13">
        <v>53.2</v>
      </c>
      <c r="J656" s="14">
        <f t="shared" si="186"/>
        <v>3.6999999999999957</v>
      </c>
      <c r="K656" s="13">
        <v>25.7</v>
      </c>
      <c r="L656" s="14"/>
      <c r="M656" s="14"/>
      <c r="N656" s="14"/>
      <c r="O656" s="14"/>
      <c r="P656" s="12">
        <f>E669-E672</f>
        <v>32.300000000000011</v>
      </c>
      <c r="Q656" s="14"/>
      <c r="R656" s="7"/>
      <c r="S656" s="7"/>
      <c r="T656" s="73">
        <f>85.8-I705</f>
        <v>73.399999999999991</v>
      </c>
      <c r="U656" s="7"/>
      <c r="V656" s="7"/>
      <c r="W656" s="7"/>
      <c r="X656" s="7"/>
      <c r="Y656" s="7"/>
      <c r="Z656" s="7"/>
      <c r="AA656" s="7"/>
    </row>
    <row r="657" spans="1:27" ht="13.2">
      <c r="A657" s="14"/>
      <c r="B657" s="5">
        <v>0.5</v>
      </c>
      <c r="C657" s="5">
        <v>0</v>
      </c>
      <c r="D657" s="17">
        <v>42999</v>
      </c>
      <c r="E657" s="10">
        <v>374.8</v>
      </c>
      <c r="F657" s="12"/>
      <c r="G657" s="14"/>
      <c r="H657" s="14"/>
      <c r="I657" s="13">
        <v>75.3</v>
      </c>
      <c r="J657" s="15"/>
      <c r="K657" s="13"/>
      <c r="L657" s="14"/>
      <c r="M657" s="14"/>
      <c r="N657" s="14"/>
      <c r="O657" s="14"/>
      <c r="P657" s="12">
        <f>E673-E676</f>
        <v>28.599999999999966</v>
      </c>
      <c r="Q657" s="14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3.2">
      <c r="A658" s="14"/>
      <c r="B658" s="5">
        <v>0.5</v>
      </c>
      <c r="C658" s="5">
        <f t="shared" ref="C658:C713" si="188">D658-$D$7</f>
        <v>1</v>
      </c>
      <c r="D658" s="17">
        <v>43000</v>
      </c>
      <c r="E658" s="10">
        <v>371.2</v>
      </c>
      <c r="F658" s="12">
        <f t="shared" ref="F658:F660" si="189">(E657-E658)/(D658-D657)</f>
        <v>3.6000000000000227</v>
      </c>
      <c r="G658" s="14"/>
      <c r="H658" s="14"/>
      <c r="I658" s="13">
        <v>70.8</v>
      </c>
      <c r="J658" s="15">
        <f t="shared" ref="J658:J660" si="190">(I657-I658)/(D658-D657)</f>
        <v>4.5</v>
      </c>
      <c r="K658" s="13">
        <v>26.2</v>
      </c>
      <c r="L658" s="14"/>
      <c r="M658" s="14"/>
      <c r="N658" s="14"/>
      <c r="O658" s="14"/>
      <c r="P658" s="12">
        <f>E677-E680</f>
        <v>29.699999999999989</v>
      </c>
      <c r="Q658" s="14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3.2">
      <c r="A659" s="14"/>
      <c r="B659" s="5">
        <v>0.5</v>
      </c>
      <c r="C659" s="5">
        <f t="shared" si="188"/>
        <v>4</v>
      </c>
      <c r="D659" s="9">
        <v>43003</v>
      </c>
      <c r="E659" s="10">
        <v>356.4</v>
      </c>
      <c r="F659" s="12">
        <f t="shared" si="189"/>
        <v>4.9333333333333371</v>
      </c>
      <c r="G659" s="14"/>
      <c r="H659" s="14"/>
      <c r="I659" s="13">
        <v>60.7</v>
      </c>
      <c r="J659" s="15">
        <f t="shared" si="190"/>
        <v>3.3666666666666649</v>
      </c>
      <c r="K659" s="13">
        <v>27.5</v>
      </c>
      <c r="L659" s="14"/>
      <c r="M659" s="14"/>
      <c r="N659" s="14"/>
      <c r="O659" s="14"/>
      <c r="P659" s="12">
        <f>E681-E684</f>
        <v>28.300000000000011</v>
      </c>
      <c r="Q659" s="14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3.2">
      <c r="A660" s="14"/>
      <c r="B660" s="5">
        <v>0.5</v>
      </c>
      <c r="C660" s="5">
        <f t="shared" si="188"/>
        <v>6</v>
      </c>
      <c r="D660" s="9">
        <v>43005</v>
      </c>
      <c r="E660" s="10">
        <v>349.7</v>
      </c>
      <c r="F660" s="12">
        <f t="shared" si="189"/>
        <v>3.3499999999999943</v>
      </c>
      <c r="G660" s="14"/>
      <c r="H660" s="14"/>
      <c r="I660" s="13">
        <v>55.1</v>
      </c>
      <c r="J660" s="15">
        <f t="shared" si="190"/>
        <v>2.8000000000000007</v>
      </c>
      <c r="K660" s="13">
        <v>28</v>
      </c>
      <c r="L660" s="14"/>
      <c r="M660" s="14"/>
      <c r="N660" s="14"/>
      <c r="O660" s="14"/>
      <c r="P660" s="12">
        <f>E685-E688</f>
        <v>39.800000000000011</v>
      </c>
      <c r="Q660" s="14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3.2">
      <c r="A661" s="14"/>
      <c r="B661" s="170">
        <v>1</v>
      </c>
      <c r="C661" s="5">
        <f t="shared" si="188"/>
        <v>6</v>
      </c>
      <c r="D661" s="9">
        <v>43005</v>
      </c>
      <c r="E661" s="10">
        <v>321.8</v>
      </c>
      <c r="F661" s="11"/>
      <c r="G661" s="14"/>
      <c r="H661" s="14"/>
      <c r="I661" s="13" t="s">
        <v>318</v>
      </c>
      <c r="J661" s="15"/>
      <c r="K661" s="13"/>
      <c r="L661" s="14"/>
      <c r="M661" s="14"/>
      <c r="N661" s="14"/>
      <c r="O661" s="14"/>
      <c r="P661" s="12">
        <f>E689-E691</f>
        <v>17.399999999999977</v>
      </c>
      <c r="Q661" s="14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3.2">
      <c r="A662" s="14"/>
      <c r="B662" s="5">
        <v>1</v>
      </c>
      <c r="C662" s="5">
        <f t="shared" si="188"/>
        <v>8</v>
      </c>
      <c r="D662" s="9">
        <v>43007</v>
      </c>
      <c r="E662" s="10">
        <v>311.3</v>
      </c>
      <c r="F662" s="12">
        <f t="shared" ref="F662:F664" si="191">(E661-E662)/(D662-D661)</f>
        <v>5.25</v>
      </c>
      <c r="G662" s="14"/>
      <c r="H662" s="14"/>
      <c r="I662" s="13">
        <v>49.6</v>
      </c>
      <c r="J662" s="15">
        <f>(I660-I662)/(D662-D660)</f>
        <v>2.75</v>
      </c>
      <c r="K662" s="13">
        <v>28.6</v>
      </c>
      <c r="L662" s="14"/>
      <c r="M662" s="14"/>
      <c r="N662" s="14"/>
      <c r="O662" s="14"/>
      <c r="P662" s="12">
        <f>E692-E697</f>
        <v>39.800000000000011</v>
      </c>
      <c r="Q662" s="14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3.2">
      <c r="A663" s="14"/>
      <c r="B663" s="5">
        <v>1</v>
      </c>
      <c r="C663" s="5">
        <f t="shared" si="188"/>
        <v>11</v>
      </c>
      <c r="D663" s="19">
        <v>43010</v>
      </c>
      <c r="E663" s="11">
        <v>296.5</v>
      </c>
      <c r="F663" s="12">
        <f t="shared" si="191"/>
        <v>4.9333333333333371</v>
      </c>
      <c r="G663" s="14"/>
      <c r="H663" s="14"/>
      <c r="I663" s="13">
        <v>41.1</v>
      </c>
      <c r="J663" s="15">
        <f t="shared" ref="J663:J664" si="192">(I662-I663)/(D663-D662)</f>
        <v>2.8333333333333335</v>
      </c>
      <c r="K663" s="13">
        <v>29.3</v>
      </c>
      <c r="L663" s="14"/>
      <c r="M663" s="14"/>
      <c r="N663" s="14"/>
      <c r="O663" s="14"/>
      <c r="P663" s="12">
        <f>E698-E701</f>
        <v>26.5</v>
      </c>
      <c r="Q663" s="14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3.2">
      <c r="A664" s="14"/>
      <c r="B664" s="5">
        <v>1</v>
      </c>
      <c r="C664" s="5">
        <f t="shared" si="188"/>
        <v>13</v>
      </c>
      <c r="D664" s="19">
        <v>43012</v>
      </c>
      <c r="E664" s="11">
        <v>281.2</v>
      </c>
      <c r="F664" s="12">
        <f t="shared" si="191"/>
        <v>7.6500000000000057</v>
      </c>
      <c r="G664" s="14"/>
      <c r="H664" s="14"/>
      <c r="I664" s="13">
        <v>35.799999999999997</v>
      </c>
      <c r="J664" s="15">
        <f t="shared" si="192"/>
        <v>2.6500000000000021</v>
      </c>
      <c r="K664" s="13">
        <v>29.5</v>
      </c>
      <c r="L664" s="14"/>
      <c r="M664" s="14"/>
      <c r="N664" s="14"/>
      <c r="O664" s="14"/>
      <c r="P664" s="12">
        <f>E702-E705</f>
        <v>24.300000000000011</v>
      </c>
      <c r="Q664" s="14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3.2">
      <c r="A665" s="14"/>
      <c r="B665" s="5">
        <v>2</v>
      </c>
      <c r="C665" s="5">
        <f t="shared" si="188"/>
        <v>14</v>
      </c>
      <c r="D665" s="20">
        <v>43013</v>
      </c>
      <c r="E665" s="11">
        <v>343.2</v>
      </c>
      <c r="F665" s="11"/>
      <c r="G665" s="14"/>
      <c r="H665" s="14"/>
      <c r="I665" s="13" t="s">
        <v>24</v>
      </c>
      <c r="J665" s="15"/>
      <c r="K665" s="13"/>
      <c r="L665" s="14"/>
      <c r="M665" s="14"/>
      <c r="N665" s="14"/>
      <c r="O665" s="14"/>
      <c r="P665" s="14"/>
      <c r="Q665" s="14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3.2">
      <c r="A666" s="14"/>
      <c r="B666" s="5">
        <v>2</v>
      </c>
      <c r="C666" s="5">
        <f t="shared" si="188"/>
        <v>15</v>
      </c>
      <c r="D666" s="20">
        <v>43014</v>
      </c>
      <c r="E666" s="11">
        <v>336.6</v>
      </c>
      <c r="F666" s="12">
        <f t="shared" ref="F666:F667" si="193">(E665-E666)/(D666-D665)</f>
        <v>6.5999999999999659</v>
      </c>
      <c r="G666" s="14"/>
      <c r="H666" s="14"/>
      <c r="I666" s="13">
        <v>80</v>
      </c>
      <c r="J666" s="15"/>
      <c r="K666" s="13">
        <v>30.9</v>
      </c>
      <c r="L666" s="14"/>
      <c r="M666" s="14"/>
      <c r="N666" s="14"/>
      <c r="O666" s="14"/>
      <c r="P666" s="14"/>
      <c r="Q666" s="14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3.2">
      <c r="A667" s="14"/>
      <c r="B667" s="5">
        <v>2</v>
      </c>
      <c r="C667" s="5">
        <f t="shared" si="188"/>
        <v>18</v>
      </c>
      <c r="D667" s="20">
        <v>43017</v>
      </c>
      <c r="E667" s="11">
        <v>324.2</v>
      </c>
      <c r="F667" s="12">
        <f t="shared" si="193"/>
        <v>4.1333333333333444</v>
      </c>
      <c r="G667" s="14"/>
      <c r="H667" s="14"/>
      <c r="I667" s="13">
        <v>70.8</v>
      </c>
      <c r="J667" s="15">
        <f t="shared" ref="J667:J668" si="194">(I666-I667)/(D667-D666)</f>
        <v>3.0666666666666678</v>
      </c>
      <c r="K667" s="13">
        <v>32.700000000000003</v>
      </c>
      <c r="L667" s="14"/>
      <c r="M667" s="14"/>
      <c r="N667" s="14"/>
      <c r="O667" s="14"/>
      <c r="P667" s="14"/>
      <c r="Q667" s="14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3.2">
      <c r="A668" s="14"/>
      <c r="B668" s="5">
        <v>2</v>
      </c>
      <c r="C668" s="5">
        <f t="shared" si="188"/>
        <v>20</v>
      </c>
      <c r="D668" s="20">
        <v>43019</v>
      </c>
      <c r="E668" s="11">
        <v>313.89999999999998</v>
      </c>
      <c r="F668" s="12">
        <f>(E667-E668)-(D668-D667)</f>
        <v>8.3000000000000114</v>
      </c>
      <c r="G668" s="14"/>
      <c r="H668" s="14"/>
      <c r="I668" s="13">
        <v>65.599999999999994</v>
      </c>
      <c r="J668" s="15">
        <f t="shared" si="194"/>
        <v>2.6000000000000014</v>
      </c>
      <c r="K668" s="13">
        <v>32.299999999999997</v>
      </c>
      <c r="L668" s="14"/>
      <c r="M668" s="14"/>
      <c r="N668" s="14"/>
      <c r="O668" s="14"/>
      <c r="P668" s="14"/>
      <c r="Q668" s="14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3.2">
      <c r="A669" s="14"/>
      <c r="B669" s="5">
        <v>3</v>
      </c>
      <c r="C669" s="5">
        <f t="shared" si="188"/>
        <v>21</v>
      </c>
      <c r="D669" s="20">
        <v>43020</v>
      </c>
      <c r="E669" s="11">
        <v>359.2</v>
      </c>
      <c r="F669" s="12"/>
      <c r="G669" s="14"/>
      <c r="H669" s="14"/>
      <c r="I669" s="13" t="s">
        <v>24</v>
      </c>
      <c r="J669" s="14"/>
      <c r="K669" s="15"/>
      <c r="L669" s="14"/>
      <c r="M669" s="14"/>
      <c r="N669" s="14"/>
      <c r="O669" s="14"/>
      <c r="P669" s="14"/>
      <c r="Q669" s="14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3.2">
      <c r="A670" s="14"/>
      <c r="B670" s="5">
        <v>3</v>
      </c>
      <c r="C670" s="5">
        <f t="shared" si="188"/>
        <v>22</v>
      </c>
      <c r="D670" s="20">
        <f>D668+2</f>
        <v>43021</v>
      </c>
      <c r="E670" s="11">
        <v>352.6</v>
      </c>
      <c r="F670" s="12">
        <f t="shared" ref="F670:F672" si="195">(E669-E670)/(D670-D669)</f>
        <v>6.5999999999999659</v>
      </c>
      <c r="G670" s="12">
        <f>AVERAGE(F662:F705)</f>
        <v>5.3898989898989882</v>
      </c>
      <c r="H670" s="14"/>
      <c r="I670" s="13">
        <v>59.7</v>
      </c>
      <c r="J670" s="14">
        <f>(I668-I670)/(D670-D668)</f>
        <v>2.9499999999999957</v>
      </c>
      <c r="K670" s="13">
        <v>33</v>
      </c>
      <c r="L670" s="14"/>
      <c r="M670" s="14"/>
      <c r="N670" s="14"/>
      <c r="O670" s="14"/>
      <c r="P670" s="14"/>
      <c r="Q670" s="14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3.2">
      <c r="A671" s="14"/>
      <c r="B671" s="5">
        <v>3</v>
      </c>
      <c r="C671" s="5">
        <f t="shared" si="188"/>
        <v>25</v>
      </c>
      <c r="D671" s="20">
        <f>D670+3</f>
        <v>43024</v>
      </c>
      <c r="E671" s="11">
        <v>337.8</v>
      </c>
      <c r="F671" s="12">
        <f t="shared" si="195"/>
        <v>4.9333333333333371</v>
      </c>
      <c r="G671" s="14"/>
      <c r="H671" s="14"/>
      <c r="I671" s="13">
        <v>51.6</v>
      </c>
      <c r="J671" s="14">
        <f t="shared" ref="J671:J672" si="196">(I670-I671)/(D671-D670)</f>
        <v>2.7000000000000006</v>
      </c>
      <c r="K671" s="13">
        <v>33.700000000000003</v>
      </c>
      <c r="L671" s="14"/>
      <c r="M671" s="14"/>
      <c r="N671" s="14"/>
      <c r="O671" s="14"/>
      <c r="P671" s="14"/>
      <c r="Q671" s="14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3.2">
      <c r="A672" s="14"/>
      <c r="B672" s="5">
        <v>3</v>
      </c>
      <c r="C672" s="5">
        <f t="shared" si="188"/>
        <v>27</v>
      </c>
      <c r="D672" s="20">
        <f>D671+2</f>
        <v>43026</v>
      </c>
      <c r="E672" s="11">
        <v>326.89999999999998</v>
      </c>
      <c r="F672" s="12">
        <f t="shared" si="195"/>
        <v>5.4500000000000171</v>
      </c>
      <c r="G672" s="14"/>
      <c r="H672" s="14"/>
      <c r="I672" s="13">
        <v>46.5</v>
      </c>
      <c r="J672" s="14">
        <f t="shared" si="196"/>
        <v>2.5500000000000007</v>
      </c>
      <c r="K672" s="13">
        <v>33.700000000000003</v>
      </c>
      <c r="L672" s="14"/>
      <c r="M672" s="14"/>
      <c r="N672" s="14"/>
      <c r="O672" s="14"/>
      <c r="P672" s="14"/>
      <c r="Q672" s="14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3.2">
      <c r="A673" s="14"/>
      <c r="B673" s="5">
        <v>4</v>
      </c>
      <c r="C673" s="5">
        <f t="shared" si="188"/>
        <v>28</v>
      </c>
      <c r="D673" s="20">
        <v>43027</v>
      </c>
      <c r="E673" s="11">
        <v>392.4</v>
      </c>
      <c r="F673" s="12"/>
      <c r="G673" s="14"/>
      <c r="H673" s="14"/>
      <c r="I673" s="15"/>
      <c r="J673" s="14"/>
      <c r="K673" s="15"/>
      <c r="L673" s="14"/>
      <c r="M673" s="14"/>
      <c r="N673" s="14"/>
      <c r="O673" s="14"/>
      <c r="P673" s="14"/>
      <c r="Q673" s="14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3.2">
      <c r="A674" s="14"/>
      <c r="B674" s="5">
        <v>4</v>
      </c>
      <c r="C674" s="5">
        <f t="shared" si="188"/>
        <v>29</v>
      </c>
      <c r="D674" s="20">
        <f>D672+2</f>
        <v>43028</v>
      </c>
      <c r="E674" s="11">
        <v>384.1</v>
      </c>
      <c r="F674" s="12">
        <f t="shared" ref="F674:F676" si="197">(E673-E674)/(D674-D673)</f>
        <v>8.2999999999999545</v>
      </c>
      <c r="G674" s="14"/>
      <c r="H674" s="14"/>
      <c r="I674" s="13">
        <v>41</v>
      </c>
      <c r="J674" s="15">
        <f>(I672-I674)/(D674-D672)</f>
        <v>2.75</v>
      </c>
      <c r="K674" s="13">
        <v>34</v>
      </c>
      <c r="L674" s="14"/>
      <c r="M674" s="14"/>
      <c r="N674" s="14"/>
      <c r="O674" s="14"/>
      <c r="P674" s="14"/>
      <c r="Q674" s="14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3.2">
      <c r="A675" s="14"/>
      <c r="B675" s="5">
        <v>4</v>
      </c>
      <c r="C675" s="5">
        <f t="shared" si="188"/>
        <v>32</v>
      </c>
      <c r="D675" s="20">
        <v>43031</v>
      </c>
      <c r="E675" s="11">
        <v>372.8</v>
      </c>
      <c r="F675" s="12">
        <f t="shared" si="197"/>
        <v>3.7666666666666706</v>
      </c>
      <c r="G675" s="14"/>
      <c r="H675" s="14"/>
      <c r="I675" s="13">
        <v>32.799999999999997</v>
      </c>
      <c r="J675" s="15">
        <f>(I674-I675)/(D675-D674)</f>
        <v>2.7333333333333343</v>
      </c>
      <c r="K675" s="13">
        <v>35</v>
      </c>
      <c r="L675" s="14"/>
      <c r="M675" s="14"/>
      <c r="N675" s="14"/>
      <c r="O675" s="14"/>
      <c r="P675" s="14"/>
      <c r="Q675" s="14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3.2">
      <c r="A676" s="14"/>
      <c r="B676" s="5">
        <v>4</v>
      </c>
      <c r="C676" s="5">
        <f t="shared" si="188"/>
        <v>34</v>
      </c>
      <c r="D676" s="20">
        <v>43033</v>
      </c>
      <c r="E676" s="11">
        <v>363.8</v>
      </c>
      <c r="F676" s="12">
        <f t="shared" si="197"/>
        <v>4.5</v>
      </c>
      <c r="G676" s="14"/>
      <c r="H676" s="14"/>
      <c r="I676" s="13">
        <v>45.9</v>
      </c>
      <c r="J676" s="15">
        <f>(51.9-I676)/(D676-D675)</f>
        <v>3</v>
      </c>
      <c r="K676" s="13">
        <v>35.1</v>
      </c>
      <c r="L676" s="14"/>
      <c r="M676" s="14"/>
      <c r="N676" s="14"/>
      <c r="O676" s="14"/>
      <c r="P676" s="14"/>
      <c r="Q676" s="14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3.2">
      <c r="A677" s="14"/>
      <c r="B677" s="5">
        <v>5</v>
      </c>
      <c r="C677" s="5">
        <f t="shared" si="188"/>
        <v>35</v>
      </c>
      <c r="D677" s="20">
        <v>43034</v>
      </c>
      <c r="E677" s="11">
        <v>334.2</v>
      </c>
      <c r="F677" s="12"/>
      <c r="G677" s="14"/>
      <c r="H677" s="14"/>
      <c r="I677" s="15"/>
      <c r="J677" s="15"/>
      <c r="K677" s="15"/>
      <c r="L677" s="14"/>
      <c r="M677" s="14"/>
      <c r="N677" s="14"/>
      <c r="O677" s="14"/>
      <c r="P677" s="14"/>
      <c r="Q677" s="14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3.2">
      <c r="A678" s="14"/>
      <c r="B678" s="5">
        <v>5</v>
      </c>
      <c r="C678" s="5">
        <f t="shared" si="188"/>
        <v>36</v>
      </c>
      <c r="D678" s="20">
        <v>43035</v>
      </c>
      <c r="E678" s="11">
        <v>329.8</v>
      </c>
      <c r="F678" s="12">
        <f t="shared" ref="F678:F680" si="198">(E677-E678)/(D678-D677)</f>
        <v>4.3999999999999773</v>
      </c>
      <c r="G678" s="14"/>
      <c r="H678" s="14"/>
      <c r="I678" s="13">
        <v>40.9</v>
      </c>
      <c r="J678" s="15">
        <f>(I676-I678)/(D678-D676)</f>
        <v>2.5</v>
      </c>
      <c r="K678" s="13">
        <v>35.4</v>
      </c>
      <c r="L678" s="14"/>
      <c r="M678" s="14"/>
      <c r="N678" s="14"/>
      <c r="O678" s="14"/>
      <c r="P678" s="14"/>
      <c r="Q678" s="14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3.2">
      <c r="A679" s="14"/>
      <c r="B679" s="5">
        <v>5</v>
      </c>
      <c r="C679" s="5">
        <f t="shared" si="188"/>
        <v>39</v>
      </c>
      <c r="D679" s="20">
        <v>43038</v>
      </c>
      <c r="E679" s="11">
        <v>313</v>
      </c>
      <c r="F679" s="12">
        <f t="shared" si="198"/>
        <v>5.6000000000000041</v>
      </c>
      <c r="G679" s="14"/>
      <c r="H679" s="14"/>
      <c r="I679" s="13">
        <v>32.6</v>
      </c>
      <c r="J679" s="15">
        <f>(I678-I679)/(D679-D678)</f>
        <v>2.7666666666666657</v>
      </c>
      <c r="K679" s="13">
        <v>36.6</v>
      </c>
      <c r="L679" s="14"/>
      <c r="M679" s="14"/>
      <c r="N679" s="14"/>
      <c r="O679" s="14"/>
      <c r="P679" s="14"/>
      <c r="Q679" s="14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3.2">
      <c r="A680" s="14"/>
      <c r="B680" s="5">
        <v>5</v>
      </c>
      <c r="C680" s="5">
        <f t="shared" si="188"/>
        <v>41</v>
      </c>
      <c r="D680" s="20">
        <v>43040</v>
      </c>
      <c r="E680" s="11">
        <v>304.5</v>
      </c>
      <c r="F680" s="12">
        <f t="shared" si="198"/>
        <v>4.25</v>
      </c>
      <c r="G680" s="14"/>
      <c r="H680" s="14"/>
      <c r="I680" s="13">
        <v>76.099999999999994</v>
      </c>
      <c r="J680" s="15">
        <f>(83-I680)/(D680-D679)</f>
        <v>3.4500000000000028</v>
      </c>
      <c r="K680" s="13">
        <v>37.200000000000003</v>
      </c>
      <c r="L680" s="14"/>
      <c r="M680" s="14"/>
      <c r="N680" s="14"/>
      <c r="O680" s="14"/>
      <c r="P680" s="14"/>
      <c r="Q680" s="14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3.2">
      <c r="A681" s="14"/>
      <c r="B681" s="5">
        <v>6</v>
      </c>
      <c r="C681" s="5">
        <f t="shared" si="188"/>
        <v>42</v>
      </c>
      <c r="D681" s="20">
        <v>43041</v>
      </c>
      <c r="E681" s="11">
        <v>334.8</v>
      </c>
      <c r="F681" s="12"/>
      <c r="G681" s="14"/>
      <c r="H681" s="14"/>
      <c r="I681" s="15"/>
      <c r="J681" s="14"/>
      <c r="K681" s="15"/>
      <c r="L681" s="14"/>
      <c r="M681" s="14"/>
      <c r="N681" s="14"/>
      <c r="O681" s="14"/>
      <c r="P681" s="14"/>
      <c r="Q681" s="14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3.2">
      <c r="A682" s="14"/>
      <c r="B682" s="5">
        <v>6</v>
      </c>
      <c r="C682" s="5">
        <f t="shared" si="188"/>
        <v>43</v>
      </c>
      <c r="D682" s="20">
        <v>43042</v>
      </c>
      <c r="E682" s="11">
        <v>330.2</v>
      </c>
      <c r="F682" s="12">
        <f t="shared" ref="F682:F684" si="199">(E681-E682)/(D682-D681)</f>
        <v>4.6000000000000227</v>
      </c>
      <c r="G682" s="14"/>
      <c r="H682" s="14"/>
      <c r="I682" s="13">
        <v>71.599999999999994</v>
      </c>
      <c r="J682" s="15">
        <f>(I680-I682)/(D682-D680)</f>
        <v>2.25</v>
      </c>
      <c r="K682" s="13">
        <v>37.299999999999997</v>
      </c>
      <c r="L682" s="14"/>
      <c r="M682" s="14"/>
      <c r="N682" s="14"/>
      <c r="O682" s="14"/>
      <c r="P682" s="14"/>
      <c r="Q682" s="14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3.2">
      <c r="A683" s="14"/>
      <c r="B683" s="5">
        <v>6</v>
      </c>
      <c r="C683" s="5">
        <f t="shared" si="188"/>
        <v>46</v>
      </c>
      <c r="D683" s="20">
        <v>43045</v>
      </c>
      <c r="E683" s="11">
        <v>315.60000000000002</v>
      </c>
      <c r="F683" s="12">
        <f t="shared" si="199"/>
        <v>4.8666666666666556</v>
      </c>
      <c r="G683" s="14"/>
      <c r="H683" s="14"/>
      <c r="I683" s="13">
        <v>62.8</v>
      </c>
      <c r="J683" s="15">
        <f t="shared" ref="J683:J684" si="200">(I682-I683)/(D683-D682)</f>
        <v>2.9333333333333322</v>
      </c>
      <c r="K683" s="13">
        <v>39</v>
      </c>
      <c r="L683" s="14"/>
      <c r="M683" s="14"/>
      <c r="N683" s="14"/>
      <c r="O683" s="14"/>
      <c r="P683" s="14"/>
      <c r="Q683" s="14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3.2">
      <c r="A684" s="14"/>
      <c r="B684" s="5">
        <v>6</v>
      </c>
      <c r="C684" s="5">
        <f t="shared" si="188"/>
        <v>48</v>
      </c>
      <c r="D684" s="20">
        <v>43047</v>
      </c>
      <c r="E684" s="11">
        <v>306.5</v>
      </c>
      <c r="F684" s="12">
        <f t="shared" si="199"/>
        <v>4.5500000000000114</v>
      </c>
      <c r="G684" s="14"/>
      <c r="H684" s="14"/>
      <c r="I684" s="13">
        <v>59.2</v>
      </c>
      <c r="J684" s="15">
        <f t="shared" si="200"/>
        <v>1.7999999999999972</v>
      </c>
      <c r="K684" s="13">
        <v>39.700000000000003</v>
      </c>
      <c r="L684" s="14"/>
      <c r="M684" s="14"/>
      <c r="N684" s="14"/>
      <c r="O684" s="14"/>
      <c r="P684" s="14"/>
      <c r="Q684" s="14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3.2">
      <c r="A685" s="14"/>
      <c r="B685" s="5">
        <v>7</v>
      </c>
      <c r="C685" s="5">
        <f t="shared" si="188"/>
        <v>49</v>
      </c>
      <c r="D685" s="20">
        <v>43048</v>
      </c>
      <c r="E685" s="11">
        <v>343</v>
      </c>
      <c r="F685" s="12"/>
      <c r="G685" s="14"/>
      <c r="H685" s="14"/>
      <c r="I685" s="15"/>
      <c r="J685" s="14"/>
      <c r="K685" s="15"/>
      <c r="L685" s="14"/>
      <c r="M685" s="14"/>
      <c r="N685" s="14"/>
      <c r="O685" s="14"/>
      <c r="P685" s="14"/>
      <c r="Q685" s="14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3.2">
      <c r="A686" s="14"/>
      <c r="B686" s="5">
        <v>7</v>
      </c>
      <c r="C686" s="5">
        <f t="shared" si="188"/>
        <v>50</v>
      </c>
      <c r="D686" s="20">
        <v>43049</v>
      </c>
      <c r="E686" s="11">
        <v>335.7</v>
      </c>
      <c r="F686" s="12">
        <f t="shared" ref="F686:F688" si="201">(E685-E686)/(D686-D685)</f>
        <v>7.3000000000000114</v>
      </c>
      <c r="G686" s="14"/>
      <c r="H686" s="14"/>
      <c r="I686" s="13">
        <v>53.4</v>
      </c>
      <c r="J686" s="15">
        <f>(I684-I686)/(D686-D684)</f>
        <v>2.9000000000000021</v>
      </c>
      <c r="K686" s="13">
        <v>39.9</v>
      </c>
      <c r="L686" s="14"/>
      <c r="M686" s="14"/>
      <c r="N686" s="14"/>
      <c r="O686" s="14"/>
      <c r="P686" s="14"/>
      <c r="Q686" s="14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3.2">
      <c r="A687" s="14"/>
      <c r="B687" s="5">
        <v>7</v>
      </c>
      <c r="C687" s="5">
        <f t="shared" si="188"/>
        <v>53</v>
      </c>
      <c r="D687" s="20">
        <v>43052</v>
      </c>
      <c r="E687" s="11">
        <v>323.10000000000002</v>
      </c>
      <c r="F687" s="12">
        <f t="shared" si="201"/>
        <v>4.1999999999999886</v>
      </c>
      <c r="G687" s="14"/>
      <c r="H687" s="14"/>
      <c r="I687" s="13">
        <v>42.9</v>
      </c>
      <c r="J687" s="15">
        <f t="shared" ref="J687:J688" si="202">(I686-I687)/(D687-D686)</f>
        <v>3.5</v>
      </c>
      <c r="K687" s="13">
        <v>42.5</v>
      </c>
      <c r="L687" s="14"/>
      <c r="M687" s="14"/>
      <c r="N687" s="14"/>
      <c r="O687" s="14"/>
      <c r="P687" s="14"/>
      <c r="Q687" s="14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3.2">
      <c r="A688" s="14"/>
      <c r="B688" s="5">
        <v>7</v>
      </c>
      <c r="C688" s="5">
        <f t="shared" si="188"/>
        <v>55</v>
      </c>
      <c r="D688" s="20">
        <v>43054</v>
      </c>
      <c r="E688" s="11">
        <v>303.2</v>
      </c>
      <c r="F688" s="12">
        <f t="shared" si="201"/>
        <v>9.9500000000000171</v>
      </c>
      <c r="G688" s="14"/>
      <c r="H688" s="14"/>
      <c r="I688" s="13">
        <v>39.1</v>
      </c>
      <c r="J688" s="15">
        <f t="shared" si="202"/>
        <v>1.8999999999999986</v>
      </c>
      <c r="K688" s="13">
        <v>41</v>
      </c>
      <c r="L688" s="14"/>
      <c r="M688" s="14"/>
      <c r="N688" s="14"/>
      <c r="O688" s="14"/>
      <c r="P688" s="14"/>
      <c r="Q688" s="14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3.2">
      <c r="A689" s="14"/>
      <c r="B689" s="5">
        <v>8</v>
      </c>
      <c r="C689" s="5">
        <f t="shared" si="188"/>
        <v>56</v>
      </c>
      <c r="D689" s="20">
        <v>43055</v>
      </c>
      <c r="E689" s="11">
        <v>365.2</v>
      </c>
      <c r="F689" s="12"/>
      <c r="G689" s="14"/>
      <c r="H689" s="14"/>
      <c r="I689" s="15"/>
      <c r="J689" s="14"/>
      <c r="K689" s="15"/>
      <c r="L689" s="14"/>
      <c r="M689" s="14"/>
      <c r="N689" s="14"/>
      <c r="O689" s="14"/>
      <c r="P689" s="14"/>
      <c r="Q689" s="14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3.2">
      <c r="A690" s="14"/>
      <c r="B690" s="5">
        <v>8</v>
      </c>
      <c r="C690" s="5">
        <f t="shared" si="188"/>
        <v>57</v>
      </c>
      <c r="D690" s="20">
        <v>43056</v>
      </c>
      <c r="E690" s="11">
        <v>360.3</v>
      </c>
      <c r="F690" s="12">
        <f t="shared" ref="F690:F691" si="203">(E689-E690)/(D690-D689)</f>
        <v>4.8999999999999773</v>
      </c>
      <c r="G690" s="14"/>
      <c r="H690" s="14"/>
      <c r="I690" s="13">
        <v>32.5</v>
      </c>
      <c r="J690" s="15">
        <f>(I688-I690)/(D690-D688)</f>
        <v>3.3000000000000007</v>
      </c>
      <c r="K690" s="13">
        <v>40.5</v>
      </c>
      <c r="L690" s="14"/>
      <c r="M690" s="14"/>
      <c r="N690" s="14"/>
      <c r="O690" s="14"/>
      <c r="P690" s="14"/>
      <c r="Q690" s="14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3.2">
      <c r="A691" s="14"/>
      <c r="B691" s="5">
        <v>8</v>
      </c>
      <c r="C691" s="5">
        <f t="shared" si="188"/>
        <v>60</v>
      </c>
      <c r="D691" s="20">
        <v>43059</v>
      </c>
      <c r="E691" s="11">
        <v>347.8</v>
      </c>
      <c r="F691" s="12">
        <f t="shared" si="203"/>
        <v>4.166666666666667</v>
      </c>
      <c r="G691" s="14"/>
      <c r="H691" s="14"/>
      <c r="I691" s="13">
        <v>24.3</v>
      </c>
      <c r="J691" s="15">
        <f>(I690-I691)/(D691-D690)</f>
        <v>2.7333333333333329</v>
      </c>
      <c r="K691" s="13">
        <v>42.2</v>
      </c>
      <c r="L691" s="14"/>
      <c r="M691" s="14"/>
      <c r="N691" s="14"/>
      <c r="O691" s="14"/>
      <c r="P691" s="14"/>
      <c r="Q691" s="14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3.2">
      <c r="A692" s="14"/>
      <c r="B692" s="5">
        <v>8</v>
      </c>
      <c r="C692" s="5">
        <f t="shared" si="188"/>
        <v>61</v>
      </c>
      <c r="D692" s="20">
        <v>43060</v>
      </c>
      <c r="E692" s="11">
        <v>347.7</v>
      </c>
      <c r="F692" s="12"/>
      <c r="G692" s="14"/>
      <c r="H692" s="14"/>
      <c r="I692" s="15"/>
      <c r="J692" s="14"/>
      <c r="K692" s="15"/>
      <c r="L692" s="14"/>
      <c r="M692" s="14"/>
      <c r="N692" s="14"/>
      <c r="O692" s="14"/>
      <c r="P692" s="14"/>
      <c r="Q692" s="14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3.2">
      <c r="A693" s="14"/>
      <c r="B693" s="5">
        <v>8</v>
      </c>
      <c r="C693" s="5">
        <f t="shared" si="188"/>
        <v>62</v>
      </c>
      <c r="D693" s="20">
        <v>43061</v>
      </c>
      <c r="E693" s="11">
        <v>339.6</v>
      </c>
      <c r="F693" s="12">
        <f>(E692-E693)/(D693-D692)</f>
        <v>8.0999999999999659</v>
      </c>
      <c r="G693" s="14"/>
      <c r="H693" s="14"/>
      <c r="I693" s="13">
        <v>78.3</v>
      </c>
      <c r="J693" s="14">
        <f>(85.8-I693)/(D693-D692)</f>
        <v>7.5</v>
      </c>
      <c r="K693" s="13">
        <v>43.3</v>
      </c>
      <c r="L693" s="14"/>
      <c r="M693" s="14"/>
      <c r="N693" s="14"/>
      <c r="O693" s="14"/>
      <c r="P693" s="14"/>
      <c r="Q693" s="14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3.2">
      <c r="A694" s="14"/>
      <c r="B694" s="5">
        <v>9</v>
      </c>
      <c r="C694" s="5">
        <f t="shared" si="188"/>
        <v>63</v>
      </c>
      <c r="D694" s="20">
        <v>43062</v>
      </c>
      <c r="E694" s="11"/>
      <c r="F694" s="12"/>
      <c r="G694" s="14"/>
      <c r="H694" s="14"/>
      <c r="I694" s="13"/>
      <c r="J694" s="15"/>
      <c r="K694" s="13"/>
      <c r="L694" s="14"/>
      <c r="M694" s="14"/>
      <c r="N694" s="14"/>
      <c r="O694" s="14"/>
      <c r="P694" s="14"/>
      <c r="Q694" s="14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3.2">
      <c r="A695" s="14"/>
      <c r="B695" s="5">
        <v>9</v>
      </c>
      <c r="C695" s="5">
        <f t="shared" si="188"/>
        <v>64</v>
      </c>
      <c r="D695" s="20">
        <v>43063</v>
      </c>
      <c r="E695" s="11">
        <v>330.7</v>
      </c>
      <c r="F695" s="12">
        <f>(E693-E695)/(D695-D693)</f>
        <v>4.4500000000000171</v>
      </c>
      <c r="G695" s="14"/>
      <c r="H695" s="14"/>
      <c r="I695" s="13">
        <v>71.8</v>
      </c>
      <c r="J695" s="15">
        <f>(I693-I695)/(D695-D693)</f>
        <v>3.25</v>
      </c>
      <c r="K695" s="13">
        <v>43.8</v>
      </c>
      <c r="L695" s="14"/>
      <c r="M695" s="14"/>
      <c r="N695" s="14"/>
      <c r="O695" s="14"/>
      <c r="P695" s="14"/>
      <c r="Q695" s="14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3.2">
      <c r="A696" s="14"/>
      <c r="B696" s="5">
        <v>9</v>
      </c>
      <c r="C696" s="5">
        <f t="shared" si="188"/>
        <v>67</v>
      </c>
      <c r="D696" s="23">
        <v>43066</v>
      </c>
      <c r="E696" s="11">
        <v>318</v>
      </c>
      <c r="F696" s="12">
        <f t="shared" ref="F696:F697" si="204">(E695-E696)/(D696-D695)</f>
        <v>4.2333333333333298</v>
      </c>
      <c r="G696" s="14"/>
      <c r="H696" s="14"/>
      <c r="I696" s="13">
        <v>62.7</v>
      </c>
      <c r="J696" s="15">
        <f t="shared" ref="J696:J697" si="205">(I695-I696)/(D696-D695)</f>
        <v>3.0333333333333314</v>
      </c>
      <c r="K696" s="13">
        <v>45.2</v>
      </c>
      <c r="L696" s="14"/>
      <c r="M696" s="14"/>
      <c r="N696" s="14"/>
      <c r="O696" s="14"/>
      <c r="P696" s="14"/>
      <c r="Q696" s="14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3.2">
      <c r="A697" s="14"/>
      <c r="B697" s="5">
        <v>9</v>
      </c>
      <c r="C697" s="5">
        <f t="shared" si="188"/>
        <v>69</v>
      </c>
      <c r="D697" s="23">
        <v>43068</v>
      </c>
      <c r="E697" s="11">
        <v>307.89999999999998</v>
      </c>
      <c r="F697" s="12">
        <f t="shared" si="204"/>
        <v>5.0500000000000114</v>
      </c>
      <c r="G697" s="14"/>
      <c r="H697" s="14"/>
      <c r="I697" s="13">
        <v>56.5</v>
      </c>
      <c r="J697" s="15">
        <f t="shared" si="205"/>
        <v>3.1000000000000014</v>
      </c>
      <c r="K697" s="13">
        <v>46.4</v>
      </c>
      <c r="L697" s="14"/>
      <c r="M697" s="14"/>
      <c r="N697" s="14"/>
      <c r="O697" s="14"/>
      <c r="P697" s="14"/>
      <c r="Q697" s="14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3.2">
      <c r="A698" s="14"/>
      <c r="B698" s="5">
        <v>10</v>
      </c>
      <c r="C698" s="5">
        <f t="shared" si="188"/>
        <v>70</v>
      </c>
      <c r="D698" s="23">
        <v>43069</v>
      </c>
      <c r="E698" s="11">
        <v>352.6</v>
      </c>
      <c r="F698" s="12"/>
      <c r="G698" s="14"/>
      <c r="H698" s="14"/>
      <c r="I698" s="15"/>
      <c r="J698" s="14"/>
      <c r="K698" s="15"/>
      <c r="L698" s="14"/>
      <c r="M698" s="14"/>
      <c r="N698" s="14"/>
      <c r="O698" s="14"/>
      <c r="P698" s="14"/>
      <c r="Q698" s="14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3.2">
      <c r="A699" s="14"/>
      <c r="B699" s="5">
        <v>10</v>
      </c>
      <c r="C699" s="5">
        <f t="shared" si="188"/>
        <v>71</v>
      </c>
      <c r="D699" s="23">
        <v>43070</v>
      </c>
      <c r="E699" s="11">
        <v>346.4</v>
      </c>
      <c r="F699" s="12">
        <f t="shared" ref="F699:F701" si="206">(E698-E699)/(D699-D698)</f>
        <v>6.2000000000000455</v>
      </c>
      <c r="G699" s="14"/>
      <c r="H699" s="14"/>
      <c r="I699" s="13">
        <v>50</v>
      </c>
      <c r="J699" s="15">
        <f>(I697-I699)/(D699-D697)</f>
        <v>3.25</v>
      </c>
      <c r="K699" s="13">
        <v>47</v>
      </c>
      <c r="L699" s="14"/>
      <c r="M699" s="14"/>
      <c r="N699" s="14"/>
      <c r="O699" s="14"/>
      <c r="P699" s="14"/>
      <c r="Q699" s="14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3.2">
      <c r="A700" s="14"/>
      <c r="B700" s="5">
        <v>10</v>
      </c>
      <c r="C700" s="5">
        <f t="shared" si="188"/>
        <v>74</v>
      </c>
      <c r="D700" s="23">
        <v>43073</v>
      </c>
      <c r="E700" s="11">
        <v>336.5</v>
      </c>
      <c r="F700" s="12">
        <f t="shared" si="206"/>
        <v>3.2999999999999923</v>
      </c>
      <c r="G700" s="14"/>
      <c r="H700" s="14"/>
      <c r="I700" s="13">
        <v>41.2</v>
      </c>
      <c r="J700" s="15">
        <f t="shared" ref="J700:J701" si="207">(I699-I700)/(D700-D699)</f>
        <v>2.9333333333333322</v>
      </c>
      <c r="K700" s="13">
        <v>47.5</v>
      </c>
      <c r="L700" s="14"/>
      <c r="M700" s="14"/>
      <c r="N700" s="14"/>
      <c r="O700" s="14"/>
      <c r="P700" s="14"/>
      <c r="Q700" s="14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3.2">
      <c r="A701" s="14"/>
      <c r="B701" s="5">
        <v>10</v>
      </c>
      <c r="C701" s="5">
        <f t="shared" si="188"/>
        <v>76</v>
      </c>
      <c r="D701" s="23">
        <v>43075</v>
      </c>
      <c r="E701" s="11">
        <v>326.10000000000002</v>
      </c>
      <c r="F701" s="12">
        <f t="shared" si="206"/>
        <v>5.1999999999999886</v>
      </c>
      <c r="G701" s="14"/>
      <c r="H701" s="14"/>
      <c r="I701" s="13">
        <v>35.4</v>
      </c>
      <c r="J701" s="15">
        <f t="shared" si="207"/>
        <v>2.9000000000000021</v>
      </c>
      <c r="K701" s="13">
        <v>48.1</v>
      </c>
      <c r="L701" s="14"/>
      <c r="M701" s="14"/>
      <c r="N701" s="14"/>
      <c r="O701" s="14"/>
      <c r="P701" s="14"/>
      <c r="Q701" s="14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3.2">
      <c r="A702" s="14"/>
      <c r="B702" s="5">
        <v>11</v>
      </c>
      <c r="C702" s="5">
        <f t="shared" si="188"/>
        <v>77</v>
      </c>
      <c r="D702" s="24">
        <v>43076</v>
      </c>
      <c r="E702" s="11">
        <v>377.6</v>
      </c>
      <c r="F702" s="12"/>
      <c r="G702" s="14"/>
      <c r="H702" s="14"/>
      <c r="I702" s="15"/>
      <c r="J702" s="14"/>
      <c r="K702" s="15"/>
      <c r="L702" s="14"/>
      <c r="M702" s="14"/>
      <c r="N702" s="14"/>
      <c r="O702" s="14"/>
      <c r="P702" s="14"/>
      <c r="Q702" s="14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3.2">
      <c r="A703" s="14"/>
      <c r="B703" s="5">
        <v>11</v>
      </c>
      <c r="C703" s="5">
        <f t="shared" si="188"/>
        <v>78</v>
      </c>
      <c r="D703" s="24">
        <v>43077</v>
      </c>
      <c r="E703" s="11">
        <v>374</v>
      </c>
      <c r="F703" s="12">
        <f t="shared" ref="F703:F705" si="208">(E702-E703)/(D703-D702)</f>
        <v>3.6000000000000227</v>
      </c>
      <c r="G703" s="14"/>
      <c r="H703" s="14"/>
      <c r="I703" s="13">
        <v>29</v>
      </c>
      <c r="J703" s="15">
        <f>(I701-I703)/(D703-D701)</f>
        <v>3.1999999999999993</v>
      </c>
      <c r="K703" s="13">
        <v>48.8</v>
      </c>
      <c r="L703" s="14"/>
      <c r="M703" s="14"/>
      <c r="N703" s="14"/>
      <c r="O703" s="14"/>
      <c r="P703" s="14"/>
      <c r="Q703" s="14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3.2">
      <c r="A704" s="14"/>
      <c r="B704" s="5">
        <v>11</v>
      </c>
      <c r="C704" s="5">
        <f t="shared" si="188"/>
        <v>81</v>
      </c>
      <c r="D704" s="24">
        <v>43080</v>
      </c>
      <c r="E704" s="11">
        <v>363.1</v>
      </c>
      <c r="F704" s="12">
        <f t="shared" si="208"/>
        <v>3.6333333333333258</v>
      </c>
      <c r="G704" s="14"/>
      <c r="H704" s="14"/>
      <c r="I704" s="13">
        <v>20.100000000000001</v>
      </c>
      <c r="J704" s="15">
        <f t="shared" ref="J704:J705" si="209">(I703-I704)/(D704-D703)</f>
        <v>2.9666666666666663</v>
      </c>
      <c r="K704" s="13">
        <v>49.8</v>
      </c>
      <c r="L704" s="14"/>
      <c r="M704" s="14"/>
      <c r="N704" s="14"/>
      <c r="O704" s="14"/>
      <c r="P704" s="14"/>
      <c r="Q704" s="14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3.2">
      <c r="A705" s="14"/>
      <c r="B705" s="5">
        <v>11</v>
      </c>
      <c r="C705" s="5">
        <f t="shared" si="188"/>
        <v>83</v>
      </c>
      <c r="D705" s="25">
        <v>43082</v>
      </c>
      <c r="E705" s="11">
        <v>353.3</v>
      </c>
      <c r="F705" s="12">
        <f t="shared" si="208"/>
        <v>4.9000000000000057</v>
      </c>
      <c r="G705" s="14"/>
      <c r="H705" s="14"/>
      <c r="I705" s="13">
        <v>12.4</v>
      </c>
      <c r="J705" s="15">
        <f t="shared" si="209"/>
        <v>3.8500000000000005</v>
      </c>
      <c r="K705" s="13">
        <v>49.5</v>
      </c>
      <c r="L705" s="14"/>
      <c r="M705" s="14"/>
      <c r="N705" s="14"/>
      <c r="O705" s="14"/>
      <c r="P705" s="14"/>
      <c r="Q705" s="14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3.2">
      <c r="A706" s="14"/>
      <c r="B706" s="5">
        <v>12</v>
      </c>
      <c r="C706" s="5">
        <f t="shared" si="188"/>
        <v>84</v>
      </c>
      <c r="D706" s="24">
        <v>43083</v>
      </c>
      <c r="E706" s="12"/>
      <c r="F706" s="12"/>
      <c r="G706" s="14"/>
      <c r="H706" s="14"/>
      <c r="I706" s="13"/>
      <c r="J706" s="14"/>
      <c r="K706" s="13"/>
      <c r="L706" s="14"/>
      <c r="M706" s="14"/>
      <c r="N706" s="14"/>
      <c r="O706" s="14"/>
      <c r="P706" s="14"/>
      <c r="Q706" s="14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3.2">
      <c r="A707" s="174"/>
      <c r="B707" s="170">
        <v>12</v>
      </c>
      <c r="C707" s="170">
        <f t="shared" si="188"/>
        <v>85</v>
      </c>
      <c r="D707" s="178">
        <v>43084</v>
      </c>
      <c r="E707" s="175"/>
      <c r="F707" s="175"/>
      <c r="G707" s="174"/>
      <c r="H707" s="174"/>
      <c r="I707" s="176"/>
      <c r="J707" s="174"/>
      <c r="K707" s="176">
        <v>49.8</v>
      </c>
      <c r="L707" s="174"/>
      <c r="M707" s="14"/>
      <c r="N707" s="14"/>
      <c r="O707" s="14"/>
      <c r="P707" s="14"/>
      <c r="Q707" s="14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3.2">
      <c r="A708" s="14"/>
      <c r="B708" s="5">
        <v>12</v>
      </c>
      <c r="C708" s="5">
        <f t="shared" si="188"/>
        <v>98</v>
      </c>
      <c r="D708" s="32">
        <v>43097</v>
      </c>
      <c r="E708" s="12"/>
      <c r="F708" s="12"/>
      <c r="G708" s="14"/>
      <c r="H708" s="14"/>
      <c r="I708" s="33">
        <v>72.599999999999994</v>
      </c>
      <c r="J708" s="14"/>
      <c r="K708" s="33">
        <v>50.5</v>
      </c>
      <c r="L708" s="14"/>
      <c r="M708" s="14"/>
      <c r="N708" s="14"/>
      <c r="O708" s="14"/>
      <c r="P708" s="14"/>
      <c r="Q708" s="14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3.2">
      <c r="A709" s="14"/>
      <c r="B709" s="5">
        <v>12</v>
      </c>
      <c r="C709" s="5">
        <f t="shared" si="188"/>
        <v>105</v>
      </c>
      <c r="D709" s="32">
        <v>43104</v>
      </c>
      <c r="E709" s="12"/>
      <c r="F709" s="12"/>
      <c r="G709" s="14"/>
      <c r="H709" s="14"/>
      <c r="I709" s="33">
        <v>51.2</v>
      </c>
      <c r="J709" s="14"/>
      <c r="K709" s="33">
        <v>50.8</v>
      </c>
      <c r="L709" s="14"/>
      <c r="M709" s="14"/>
      <c r="N709" s="14"/>
      <c r="O709" s="14"/>
      <c r="P709" s="14"/>
      <c r="Q709" s="14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3.2">
      <c r="A710" s="14"/>
      <c r="B710" s="5"/>
      <c r="C710" s="5">
        <f t="shared" si="188"/>
        <v>112</v>
      </c>
      <c r="D710" s="32">
        <v>43111</v>
      </c>
      <c r="E710" s="12"/>
      <c r="F710" s="12"/>
      <c r="G710" s="14"/>
      <c r="H710" s="14"/>
      <c r="I710" s="33">
        <v>30.9</v>
      </c>
      <c r="J710" s="14"/>
      <c r="K710" s="33">
        <v>50.9</v>
      </c>
      <c r="L710" s="14"/>
      <c r="M710" s="14"/>
      <c r="N710" s="14"/>
      <c r="O710" s="14"/>
      <c r="P710" s="14"/>
      <c r="Q710" s="14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3.2">
      <c r="A711" s="14"/>
      <c r="B711" s="14"/>
      <c r="C711" s="5">
        <f t="shared" si="188"/>
        <v>116</v>
      </c>
      <c r="D711" s="20">
        <v>43115</v>
      </c>
      <c r="E711" s="12"/>
      <c r="F711" s="12"/>
      <c r="G711" s="14"/>
      <c r="H711" s="14"/>
      <c r="I711" s="33"/>
      <c r="J711" s="14"/>
      <c r="K711" s="33"/>
      <c r="L711" s="14"/>
      <c r="M711" s="14"/>
      <c r="N711" s="14"/>
      <c r="O711" s="14"/>
      <c r="P711" s="14"/>
      <c r="Q711" s="14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3.2">
      <c r="A712" s="14"/>
      <c r="B712" s="5"/>
      <c r="C712" s="5">
        <f t="shared" si="188"/>
        <v>117</v>
      </c>
      <c r="D712" s="32">
        <v>43116</v>
      </c>
      <c r="E712" s="12"/>
      <c r="F712" s="12"/>
      <c r="G712" s="14"/>
      <c r="H712" s="14"/>
      <c r="I712" s="33">
        <v>35.299999999999997</v>
      </c>
      <c r="J712" s="14"/>
      <c r="K712" s="33">
        <v>50.9</v>
      </c>
      <c r="L712" s="14"/>
      <c r="M712" s="14"/>
      <c r="N712" s="14"/>
      <c r="O712" s="14"/>
      <c r="P712" s="14"/>
      <c r="Q712" s="14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3.2">
      <c r="A713" s="14"/>
      <c r="B713" s="14"/>
      <c r="C713" s="5">
        <f t="shared" si="188"/>
        <v>124</v>
      </c>
      <c r="D713" s="32">
        <v>43123</v>
      </c>
      <c r="E713" s="12"/>
      <c r="F713" s="12"/>
      <c r="G713" s="14"/>
      <c r="H713" s="14"/>
      <c r="I713" s="33">
        <v>48.6</v>
      </c>
      <c r="J713" s="14"/>
      <c r="K713" s="33">
        <v>51.5</v>
      </c>
      <c r="L713" s="14"/>
      <c r="M713" s="14"/>
      <c r="N713" s="14"/>
      <c r="O713" s="14"/>
      <c r="P713" s="14"/>
      <c r="Q713" s="14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3.2">
      <c r="A714" s="14"/>
      <c r="B714" s="14"/>
      <c r="C714" s="5">
        <v>131</v>
      </c>
      <c r="D714" s="20">
        <v>43130</v>
      </c>
      <c r="E714" s="12"/>
      <c r="F714" s="12"/>
      <c r="G714" s="14"/>
      <c r="H714" s="14"/>
      <c r="I714" s="36">
        <v>27.9</v>
      </c>
      <c r="J714" s="14"/>
      <c r="K714" s="36">
        <v>52.3</v>
      </c>
      <c r="L714" s="14"/>
      <c r="M714" s="14"/>
      <c r="N714" s="14"/>
      <c r="O714" s="14"/>
      <c r="P714" s="14"/>
      <c r="Q714" s="14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3.2">
      <c r="A715" s="14"/>
      <c r="B715" s="14"/>
      <c r="C715" s="5">
        <v>138</v>
      </c>
      <c r="D715" s="20">
        <v>43137</v>
      </c>
      <c r="E715" s="12"/>
      <c r="F715" s="12"/>
      <c r="G715" s="14"/>
      <c r="H715" s="14"/>
      <c r="I715" s="33">
        <v>78.400000000000006</v>
      </c>
      <c r="J715" s="37"/>
      <c r="K715" s="33">
        <v>53</v>
      </c>
      <c r="L715" s="14"/>
      <c r="M715" s="14"/>
      <c r="N715" s="14"/>
      <c r="O715" s="14"/>
      <c r="P715" s="14"/>
      <c r="Q715" s="14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3.2">
      <c r="A716" s="14"/>
      <c r="B716" s="14"/>
      <c r="C716" s="5">
        <v>145</v>
      </c>
      <c r="D716" s="20">
        <v>43144</v>
      </c>
      <c r="E716" s="12"/>
      <c r="F716" s="12"/>
      <c r="G716" s="14"/>
      <c r="H716" s="14"/>
      <c r="I716" s="13">
        <v>57</v>
      </c>
      <c r="J716" s="14"/>
      <c r="K716" s="13">
        <v>53.6</v>
      </c>
      <c r="L716" s="14"/>
      <c r="M716" s="14"/>
      <c r="N716" s="14"/>
      <c r="O716" s="14"/>
      <c r="P716" s="14"/>
      <c r="Q716" s="14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3.2">
      <c r="A717" s="14"/>
      <c r="B717" s="14"/>
      <c r="C717" s="5">
        <v>152</v>
      </c>
      <c r="D717" s="20">
        <v>43151</v>
      </c>
      <c r="E717" s="12"/>
      <c r="F717" s="12"/>
      <c r="G717" s="14"/>
      <c r="H717" s="14"/>
      <c r="I717" s="13">
        <v>35.299999999999997</v>
      </c>
      <c r="J717" s="14"/>
      <c r="K717" s="13">
        <v>54.4</v>
      </c>
      <c r="L717" s="14"/>
      <c r="M717" s="14"/>
      <c r="N717" s="14"/>
      <c r="O717" s="14"/>
      <c r="P717" s="14"/>
      <c r="Q717" s="14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3.2">
      <c r="A718" s="14"/>
      <c r="B718" s="14"/>
      <c r="C718" s="5">
        <v>159</v>
      </c>
      <c r="D718" s="20">
        <v>43158</v>
      </c>
      <c r="E718" s="12"/>
      <c r="F718" s="12"/>
      <c r="G718" s="14"/>
      <c r="H718" s="14"/>
      <c r="I718" s="13">
        <v>45.3</v>
      </c>
      <c r="J718" s="14"/>
      <c r="K718" s="13">
        <v>56</v>
      </c>
      <c r="L718" s="14"/>
      <c r="M718" s="14"/>
      <c r="N718" s="14"/>
      <c r="O718" s="14"/>
      <c r="P718" s="14"/>
      <c r="Q718" s="14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3.2">
      <c r="A719" s="14"/>
      <c r="B719" s="14"/>
      <c r="C719" s="5">
        <v>166</v>
      </c>
      <c r="D719" s="20">
        <v>43165</v>
      </c>
      <c r="E719" s="12"/>
      <c r="F719" s="12"/>
      <c r="G719" s="14"/>
      <c r="H719" s="14"/>
      <c r="I719" s="13">
        <v>23.6</v>
      </c>
      <c r="J719" s="14"/>
      <c r="K719" s="13">
        <v>55.8</v>
      </c>
      <c r="L719" s="14"/>
      <c r="M719" s="14"/>
      <c r="N719" s="14"/>
      <c r="O719" s="14"/>
      <c r="P719" s="14"/>
      <c r="Q719" s="14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3.2">
      <c r="A720" s="14"/>
      <c r="B720" s="14"/>
      <c r="C720" s="5">
        <v>173</v>
      </c>
      <c r="D720" s="20">
        <v>43172</v>
      </c>
      <c r="E720" s="12"/>
      <c r="F720" s="12"/>
      <c r="G720" s="14"/>
      <c r="H720" s="14"/>
      <c r="I720" s="13">
        <v>15.9</v>
      </c>
      <c r="J720" s="14"/>
      <c r="K720" s="13">
        <v>55.9</v>
      </c>
      <c r="L720" s="14"/>
      <c r="M720" s="14"/>
      <c r="N720" s="14"/>
      <c r="O720" s="14"/>
      <c r="P720" s="14"/>
      <c r="Q720" s="14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3.2">
      <c r="A721" s="14"/>
      <c r="B721" s="14"/>
      <c r="C721" s="14"/>
      <c r="D721" s="14"/>
      <c r="E721" s="12"/>
      <c r="F721" s="12"/>
      <c r="G721" s="14"/>
      <c r="H721" s="14"/>
      <c r="I721" s="15"/>
      <c r="J721" s="14"/>
      <c r="K721" s="15"/>
      <c r="L721" s="14"/>
      <c r="M721" s="14"/>
      <c r="N721" s="14"/>
      <c r="O721" s="14"/>
      <c r="P721" s="14"/>
      <c r="Q721" s="14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39.6">
      <c r="A722" s="14"/>
      <c r="B722" s="5" t="s">
        <v>60</v>
      </c>
      <c r="C722" s="97">
        <f t="shared" ref="C722:C749" si="210">1+C721</f>
        <v>1</v>
      </c>
      <c r="D722" s="98">
        <v>43192</v>
      </c>
      <c r="E722" s="12"/>
      <c r="F722" s="12"/>
      <c r="G722" s="14"/>
      <c r="H722" s="14"/>
      <c r="I722" s="15"/>
      <c r="J722" s="14"/>
      <c r="K722" s="105">
        <v>42.9</v>
      </c>
      <c r="L722" s="14"/>
      <c r="M722" s="14"/>
      <c r="N722" s="14"/>
      <c r="O722" s="14"/>
      <c r="P722" s="14"/>
      <c r="Q722" s="14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3.2">
      <c r="A723" s="14"/>
      <c r="B723" s="14"/>
      <c r="C723" s="97">
        <f t="shared" si="210"/>
        <v>2</v>
      </c>
      <c r="D723" s="98">
        <v>43193</v>
      </c>
      <c r="E723" s="12"/>
      <c r="F723" s="12"/>
      <c r="G723" s="14"/>
      <c r="H723" s="14"/>
      <c r="I723" s="15"/>
      <c r="J723" s="14"/>
      <c r="K723" s="105">
        <v>41.5</v>
      </c>
      <c r="L723" s="14"/>
      <c r="M723" s="14"/>
      <c r="N723" s="14"/>
      <c r="O723" s="14"/>
      <c r="P723" s="14"/>
      <c r="Q723" s="14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3.2">
      <c r="A724" s="14"/>
      <c r="B724" s="14"/>
      <c r="C724" s="97">
        <f t="shared" si="210"/>
        <v>3</v>
      </c>
      <c r="D724" s="98">
        <v>43194</v>
      </c>
      <c r="E724" s="12"/>
      <c r="F724" s="12"/>
      <c r="G724" s="14"/>
      <c r="H724" s="14"/>
      <c r="I724" s="15"/>
      <c r="J724" s="14"/>
      <c r="K724" s="105">
        <v>39.299999999999997</v>
      </c>
      <c r="L724" s="14"/>
      <c r="M724" s="14"/>
      <c r="N724" s="14"/>
      <c r="O724" s="14"/>
      <c r="P724" s="14"/>
      <c r="Q724" s="14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3.2">
      <c r="A725" s="14"/>
      <c r="B725" s="14"/>
      <c r="C725" s="97">
        <f t="shared" si="210"/>
        <v>4</v>
      </c>
      <c r="D725" s="98">
        <v>43195</v>
      </c>
      <c r="E725" s="12"/>
      <c r="F725" s="12"/>
      <c r="G725" s="14"/>
      <c r="H725" s="14"/>
      <c r="I725" s="15"/>
      <c r="J725" s="14"/>
      <c r="K725" s="105">
        <v>38.6</v>
      </c>
      <c r="L725" s="14"/>
      <c r="M725" s="14"/>
      <c r="N725" s="14"/>
      <c r="O725" s="14"/>
      <c r="P725" s="14"/>
      <c r="Q725" s="14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3.2">
      <c r="A726" s="14"/>
      <c r="B726" s="14"/>
      <c r="C726" s="97">
        <f t="shared" si="210"/>
        <v>5</v>
      </c>
      <c r="D726" s="98">
        <v>43196</v>
      </c>
      <c r="E726" s="12"/>
      <c r="F726" s="12"/>
      <c r="G726" s="14"/>
      <c r="H726" s="14"/>
      <c r="I726" s="15"/>
      <c r="J726" s="14"/>
      <c r="K726" s="105">
        <v>37.200000000000003</v>
      </c>
      <c r="L726" s="14"/>
      <c r="M726" s="14"/>
      <c r="N726" s="14"/>
      <c r="O726" s="14"/>
      <c r="P726" s="14"/>
      <c r="Q726" s="14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3.2">
      <c r="A727" s="14"/>
      <c r="B727" s="14"/>
      <c r="C727" s="97">
        <f t="shared" si="210"/>
        <v>6</v>
      </c>
      <c r="D727" s="98">
        <v>43197</v>
      </c>
      <c r="E727" s="12"/>
      <c r="F727" s="12"/>
      <c r="G727" s="14"/>
      <c r="H727" s="14"/>
      <c r="I727" s="15"/>
      <c r="J727" s="14"/>
      <c r="K727" s="105">
        <v>36.200000000000003</v>
      </c>
      <c r="L727" s="14"/>
      <c r="M727" s="14"/>
      <c r="N727" s="14"/>
      <c r="O727" s="14"/>
      <c r="P727" s="14"/>
      <c r="Q727" s="14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3.2">
      <c r="A728" s="14"/>
      <c r="B728" s="14"/>
      <c r="C728" s="97">
        <f t="shared" si="210"/>
        <v>7</v>
      </c>
      <c r="D728" s="98">
        <v>43198</v>
      </c>
      <c r="E728" s="12"/>
      <c r="F728" s="12"/>
      <c r="G728" s="14"/>
      <c r="H728" s="14"/>
      <c r="I728" s="15"/>
      <c r="J728" s="14"/>
      <c r="K728" s="105">
        <v>35.200000000000003</v>
      </c>
      <c r="L728" s="14"/>
      <c r="M728" s="14"/>
      <c r="N728" s="14"/>
      <c r="O728" s="14"/>
      <c r="P728" s="14"/>
      <c r="Q728" s="14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3.2">
      <c r="A729" s="14"/>
      <c r="B729" s="14"/>
      <c r="C729" s="97">
        <f t="shared" si="210"/>
        <v>8</v>
      </c>
      <c r="D729" s="98">
        <v>43199</v>
      </c>
      <c r="E729" s="12"/>
      <c r="F729" s="12"/>
      <c r="G729" s="14"/>
      <c r="H729" s="14"/>
      <c r="I729" s="15"/>
      <c r="J729" s="14"/>
      <c r="K729" s="105">
        <v>34.1</v>
      </c>
      <c r="L729" s="14"/>
      <c r="M729" s="14"/>
      <c r="N729" s="14"/>
      <c r="O729" s="14"/>
      <c r="P729" s="14"/>
      <c r="Q729" s="14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3.2">
      <c r="A730" s="14"/>
      <c r="B730" s="14"/>
      <c r="C730" s="97">
        <f t="shared" si="210"/>
        <v>9</v>
      </c>
      <c r="D730" s="98">
        <v>43200</v>
      </c>
      <c r="E730" s="12"/>
      <c r="F730" s="12"/>
      <c r="G730" s="14"/>
      <c r="H730" s="14"/>
      <c r="I730" s="15"/>
      <c r="J730" s="14"/>
      <c r="K730" s="105">
        <v>33.299999999999997</v>
      </c>
      <c r="L730" s="14"/>
      <c r="M730" s="14"/>
      <c r="N730" s="14"/>
      <c r="O730" s="14"/>
      <c r="P730" s="14"/>
      <c r="Q730" s="14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3.2">
      <c r="A731" s="14"/>
      <c r="B731" s="14"/>
      <c r="C731" s="97">
        <f t="shared" si="210"/>
        <v>10</v>
      </c>
      <c r="D731" s="98">
        <v>43201</v>
      </c>
      <c r="E731" s="12"/>
      <c r="F731" s="12"/>
      <c r="G731" s="14"/>
      <c r="H731" s="14"/>
      <c r="I731" s="15"/>
      <c r="J731" s="14"/>
      <c r="K731" s="105">
        <v>32.1</v>
      </c>
      <c r="L731" s="14"/>
      <c r="M731" s="14"/>
      <c r="N731" s="14"/>
      <c r="O731" s="14"/>
      <c r="P731" s="14"/>
      <c r="Q731" s="14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3.2">
      <c r="A732" s="14"/>
      <c r="B732" s="14"/>
      <c r="C732" s="97">
        <f t="shared" si="210"/>
        <v>11</v>
      </c>
      <c r="D732" s="98">
        <v>43202</v>
      </c>
      <c r="E732" s="12"/>
      <c r="F732" s="12"/>
      <c r="G732" s="14"/>
      <c r="H732" s="14"/>
      <c r="I732" s="15"/>
      <c r="J732" s="14"/>
      <c r="K732" s="105">
        <v>31</v>
      </c>
      <c r="L732" s="14"/>
      <c r="M732" s="14"/>
      <c r="N732" s="14"/>
      <c r="O732" s="14"/>
      <c r="P732" s="14"/>
      <c r="Q732" s="14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3.2">
      <c r="A733" s="14"/>
      <c r="B733" s="14"/>
      <c r="C733" s="97">
        <f t="shared" si="210"/>
        <v>12</v>
      </c>
      <c r="D733" s="98">
        <v>43203</v>
      </c>
      <c r="E733" s="12"/>
      <c r="F733" s="12"/>
      <c r="G733" s="14"/>
      <c r="H733" s="14"/>
      <c r="I733" s="15"/>
      <c r="J733" s="14"/>
      <c r="K733" s="105">
        <v>30.4</v>
      </c>
      <c r="L733" s="14"/>
      <c r="M733" s="14"/>
      <c r="N733" s="14"/>
      <c r="O733" s="14"/>
      <c r="P733" s="14"/>
      <c r="Q733" s="14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3.2">
      <c r="A734" s="14"/>
      <c r="B734" s="14"/>
      <c r="C734" s="97">
        <f t="shared" si="210"/>
        <v>13</v>
      </c>
      <c r="D734" s="98">
        <v>43204</v>
      </c>
      <c r="E734" s="12"/>
      <c r="F734" s="12"/>
      <c r="G734" s="14"/>
      <c r="H734" s="14"/>
      <c r="I734" s="15"/>
      <c r="J734" s="14"/>
      <c r="K734" s="105">
        <v>29.6</v>
      </c>
      <c r="L734" s="14"/>
      <c r="M734" s="14"/>
      <c r="N734" s="14"/>
      <c r="O734" s="14"/>
      <c r="P734" s="14"/>
      <c r="Q734" s="14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3.2">
      <c r="A735" s="14"/>
      <c r="B735" s="14"/>
      <c r="C735" s="97">
        <f t="shared" si="210"/>
        <v>14</v>
      </c>
      <c r="D735" s="98">
        <v>43205</v>
      </c>
      <c r="E735" s="12"/>
      <c r="F735" s="12"/>
      <c r="G735" s="14"/>
      <c r="H735" s="14"/>
      <c r="I735" s="15"/>
      <c r="J735" s="14"/>
      <c r="K735" s="105">
        <v>28.6</v>
      </c>
      <c r="L735" s="14"/>
      <c r="M735" s="14"/>
      <c r="N735" s="14"/>
      <c r="O735" s="14"/>
      <c r="P735" s="14"/>
      <c r="Q735" s="14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3.2">
      <c r="A736" s="14"/>
      <c r="B736" s="14"/>
      <c r="C736" s="97">
        <f t="shared" si="210"/>
        <v>15</v>
      </c>
      <c r="D736" s="98">
        <v>43206</v>
      </c>
      <c r="E736" s="12"/>
      <c r="F736" s="12"/>
      <c r="G736" s="14"/>
      <c r="H736" s="14"/>
      <c r="I736" s="15"/>
      <c r="J736" s="14"/>
      <c r="K736" s="105">
        <v>26.3</v>
      </c>
      <c r="L736" s="14"/>
      <c r="M736" s="14"/>
      <c r="N736" s="14"/>
      <c r="O736" s="14"/>
      <c r="P736" s="14"/>
      <c r="Q736" s="14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3.2">
      <c r="A737" s="14"/>
      <c r="B737" s="14"/>
      <c r="C737" s="97">
        <f t="shared" si="210"/>
        <v>16</v>
      </c>
      <c r="D737" s="98">
        <v>43207</v>
      </c>
      <c r="E737" s="12"/>
      <c r="F737" s="12"/>
      <c r="G737" s="14"/>
      <c r="H737" s="14"/>
      <c r="I737" s="15"/>
      <c r="J737" s="14"/>
      <c r="K737" s="105">
        <v>27.7</v>
      </c>
      <c r="L737" s="14"/>
      <c r="M737" s="14"/>
      <c r="N737" s="14"/>
      <c r="O737" s="14"/>
      <c r="P737" s="14"/>
      <c r="Q737" s="14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3.2">
      <c r="A738" s="14"/>
      <c r="B738" s="14"/>
      <c r="C738" s="97">
        <f t="shared" si="210"/>
        <v>17</v>
      </c>
      <c r="D738" s="98">
        <v>43208</v>
      </c>
      <c r="E738" s="12"/>
      <c r="F738" s="12"/>
      <c r="G738" s="14"/>
      <c r="H738" s="14"/>
      <c r="I738" s="15"/>
      <c r="J738" s="14"/>
      <c r="K738" s="105">
        <v>26.8</v>
      </c>
      <c r="L738" s="14"/>
      <c r="M738" s="14"/>
      <c r="N738" s="14"/>
      <c r="O738" s="14"/>
      <c r="P738" s="14"/>
      <c r="Q738" s="14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3.2">
      <c r="A739" s="14"/>
      <c r="B739" s="14"/>
      <c r="C739" s="97">
        <f t="shared" si="210"/>
        <v>18</v>
      </c>
      <c r="D739" s="98">
        <v>43209</v>
      </c>
      <c r="E739" s="12"/>
      <c r="F739" s="12"/>
      <c r="G739" s="14"/>
      <c r="H739" s="14"/>
      <c r="I739" s="15"/>
      <c r="J739" s="14"/>
      <c r="K739" s="105">
        <v>26.6</v>
      </c>
      <c r="L739" s="14"/>
      <c r="M739" s="14"/>
      <c r="N739" s="14"/>
      <c r="O739" s="14"/>
      <c r="P739" s="14"/>
      <c r="Q739" s="14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3.2">
      <c r="A740" s="14"/>
      <c r="B740" s="14"/>
      <c r="C740" s="97">
        <f t="shared" si="210"/>
        <v>19</v>
      </c>
      <c r="D740" s="98">
        <v>43210</v>
      </c>
      <c r="E740" s="12"/>
      <c r="F740" s="12"/>
      <c r="G740" s="14"/>
      <c r="H740" s="14"/>
      <c r="I740" s="15"/>
      <c r="J740" s="14"/>
      <c r="K740" s="105">
        <v>25.8</v>
      </c>
      <c r="L740" s="14"/>
      <c r="M740" s="14"/>
      <c r="N740" s="14"/>
      <c r="O740" s="14"/>
      <c r="P740" s="14"/>
      <c r="Q740" s="14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3.2">
      <c r="A741" s="14"/>
      <c r="B741" s="14"/>
      <c r="C741" s="97">
        <f t="shared" si="210"/>
        <v>20</v>
      </c>
      <c r="D741" s="98">
        <v>43211</v>
      </c>
      <c r="E741" s="12"/>
      <c r="F741" s="12"/>
      <c r="G741" s="14"/>
      <c r="H741" s="14"/>
      <c r="I741" s="15"/>
      <c r="J741" s="14"/>
      <c r="K741" s="105">
        <v>25.3</v>
      </c>
      <c r="L741" s="14"/>
      <c r="M741" s="14"/>
      <c r="N741" s="14"/>
      <c r="O741" s="14"/>
      <c r="P741" s="14"/>
      <c r="Q741" s="14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3.2">
      <c r="A742" s="14"/>
      <c r="B742" s="14"/>
      <c r="C742" s="97">
        <f t="shared" si="210"/>
        <v>21</v>
      </c>
      <c r="D742" s="98">
        <v>43212</v>
      </c>
      <c r="E742" s="12"/>
      <c r="F742" s="12"/>
      <c r="G742" s="14"/>
      <c r="H742" s="14"/>
      <c r="I742" s="15"/>
      <c r="J742" s="14"/>
      <c r="K742" s="105">
        <v>25.2</v>
      </c>
      <c r="L742" s="14"/>
      <c r="M742" s="14"/>
      <c r="N742" s="14"/>
      <c r="O742" s="14"/>
      <c r="P742" s="14"/>
      <c r="Q742" s="14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3.2">
      <c r="A743" s="14"/>
      <c r="B743" s="14"/>
      <c r="C743" s="97">
        <f t="shared" si="210"/>
        <v>22</v>
      </c>
      <c r="D743" s="98">
        <v>43213</v>
      </c>
      <c r="E743" s="12"/>
      <c r="F743" s="12"/>
      <c r="G743" s="14"/>
      <c r="H743" s="14"/>
      <c r="I743" s="15"/>
      <c r="J743" s="14"/>
      <c r="K743" s="105">
        <v>24.3</v>
      </c>
      <c r="L743" s="14"/>
      <c r="M743" s="14"/>
      <c r="N743" s="14"/>
      <c r="O743" s="14"/>
      <c r="P743" s="14"/>
      <c r="Q743" s="14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3.2">
      <c r="A744" s="14"/>
      <c r="B744" s="14"/>
      <c r="C744" s="97">
        <f t="shared" si="210"/>
        <v>23</v>
      </c>
      <c r="D744" s="98">
        <v>43214</v>
      </c>
      <c r="E744" s="12"/>
      <c r="F744" s="12"/>
      <c r="G744" s="14"/>
      <c r="H744" s="14"/>
      <c r="I744" s="15"/>
      <c r="J744" s="14"/>
      <c r="K744" s="105">
        <v>23.9</v>
      </c>
      <c r="L744" s="14"/>
      <c r="M744" s="14"/>
      <c r="N744" s="14"/>
      <c r="O744" s="14"/>
      <c r="P744" s="14"/>
      <c r="Q744" s="14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3.2">
      <c r="A745" s="14"/>
      <c r="B745" s="14"/>
      <c r="C745" s="97">
        <f t="shared" si="210"/>
        <v>24</v>
      </c>
      <c r="D745" s="98">
        <v>43215</v>
      </c>
      <c r="E745" s="12"/>
      <c r="F745" s="12"/>
      <c r="G745" s="14"/>
      <c r="H745" s="14"/>
      <c r="I745" s="15"/>
      <c r="J745" s="14"/>
      <c r="K745" s="105">
        <v>23</v>
      </c>
      <c r="L745" s="14"/>
      <c r="M745" s="14"/>
      <c r="N745" s="14"/>
      <c r="O745" s="14"/>
      <c r="P745" s="14"/>
      <c r="Q745" s="14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3.2">
      <c r="A746" s="14"/>
      <c r="B746" s="14"/>
      <c r="C746" s="97">
        <f t="shared" si="210"/>
        <v>25</v>
      </c>
      <c r="D746" s="98">
        <v>43216</v>
      </c>
      <c r="E746" s="12"/>
      <c r="F746" s="12"/>
      <c r="G746" s="14"/>
      <c r="H746" s="14"/>
      <c r="I746" s="15"/>
      <c r="J746" s="14"/>
      <c r="K746" s="105" t="s">
        <v>75</v>
      </c>
      <c r="L746" s="14"/>
      <c r="M746" s="14"/>
      <c r="N746" s="14"/>
      <c r="O746" s="14"/>
      <c r="P746" s="14"/>
      <c r="Q746" s="14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3.2">
      <c r="A747" s="14"/>
      <c r="B747" s="14"/>
      <c r="C747" s="97">
        <f t="shared" si="210"/>
        <v>26</v>
      </c>
      <c r="D747" s="98">
        <v>43217</v>
      </c>
      <c r="E747" s="12"/>
      <c r="F747" s="12"/>
      <c r="G747" s="14"/>
      <c r="H747" s="14"/>
      <c r="I747" s="15"/>
      <c r="J747" s="14"/>
      <c r="K747" s="105" t="s">
        <v>85</v>
      </c>
      <c r="L747" s="14"/>
      <c r="M747" s="14"/>
      <c r="N747" s="14"/>
      <c r="O747" s="14"/>
      <c r="P747" s="14"/>
      <c r="Q747" s="14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3.2">
      <c r="A748" s="14"/>
      <c r="B748" s="14"/>
      <c r="C748" s="97">
        <f t="shared" si="210"/>
        <v>27</v>
      </c>
      <c r="D748" s="98">
        <v>43218</v>
      </c>
      <c r="E748" s="12"/>
      <c r="F748" s="12"/>
      <c r="G748" s="14"/>
      <c r="H748" s="14"/>
      <c r="I748" s="15"/>
      <c r="J748" s="14"/>
      <c r="K748" s="105" t="s">
        <v>85</v>
      </c>
      <c r="L748" s="14"/>
      <c r="M748" s="14"/>
      <c r="N748" s="14"/>
      <c r="O748" s="14"/>
      <c r="P748" s="14"/>
      <c r="Q748" s="14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3.2">
      <c r="A749" s="14"/>
      <c r="B749" s="14"/>
      <c r="C749" s="97">
        <f t="shared" si="210"/>
        <v>28</v>
      </c>
      <c r="D749" s="98">
        <v>43219</v>
      </c>
      <c r="E749" s="12"/>
      <c r="F749" s="12"/>
      <c r="G749" s="14"/>
      <c r="H749" s="14"/>
      <c r="I749" s="15"/>
      <c r="J749" s="14"/>
      <c r="K749" s="105" t="s">
        <v>63</v>
      </c>
      <c r="L749" s="14"/>
      <c r="M749" s="14"/>
      <c r="N749" s="14"/>
      <c r="O749" s="14"/>
      <c r="P749" s="14"/>
      <c r="Q749" s="14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3.2">
      <c r="A750" s="14"/>
      <c r="B750" s="14"/>
      <c r="C750" s="14"/>
      <c r="D750" s="14"/>
      <c r="E750" s="12"/>
      <c r="F750" s="12"/>
      <c r="G750" s="14"/>
      <c r="H750" s="14"/>
      <c r="I750" s="15"/>
      <c r="J750" s="14"/>
      <c r="K750" s="15"/>
      <c r="L750" s="14"/>
      <c r="M750" s="14"/>
      <c r="N750" s="14"/>
      <c r="O750" s="14"/>
      <c r="P750" s="14"/>
      <c r="Q750" s="14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3.2">
      <c r="A751" s="14"/>
      <c r="B751" s="14"/>
      <c r="C751" s="14"/>
      <c r="D751" s="14"/>
      <c r="E751" s="12"/>
      <c r="F751" s="12"/>
      <c r="G751" s="14"/>
      <c r="H751" s="14"/>
      <c r="I751" s="15"/>
      <c r="J751" s="14"/>
      <c r="K751" s="15"/>
      <c r="L751" s="14"/>
      <c r="M751" s="14"/>
      <c r="N751" s="14"/>
      <c r="O751" s="14"/>
      <c r="P751" s="14"/>
      <c r="Q751" s="14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3.2">
      <c r="A752" s="14"/>
      <c r="B752" s="14"/>
      <c r="C752" s="14"/>
      <c r="D752" s="14"/>
      <c r="E752" s="12"/>
      <c r="F752" s="12"/>
      <c r="G752" s="14"/>
      <c r="H752" s="14"/>
      <c r="I752" s="15"/>
      <c r="J752" s="14"/>
      <c r="K752" s="15"/>
      <c r="L752" s="14"/>
      <c r="M752" s="14"/>
      <c r="N752" s="14"/>
      <c r="O752" s="14"/>
      <c r="P752" s="14"/>
      <c r="Q752" s="14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3.2">
      <c r="A753" s="14"/>
      <c r="B753" s="14"/>
      <c r="C753" s="14"/>
      <c r="D753" s="14"/>
      <c r="E753" s="12"/>
      <c r="F753" s="12"/>
      <c r="G753" s="14"/>
      <c r="H753" s="14"/>
      <c r="I753" s="15"/>
      <c r="J753" s="14"/>
      <c r="K753" s="15"/>
      <c r="L753" s="14"/>
      <c r="M753" s="14"/>
      <c r="N753" s="14"/>
      <c r="O753" s="14"/>
      <c r="P753" s="14"/>
      <c r="Q753" s="14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3.2">
      <c r="A754" s="14"/>
      <c r="B754" s="14"/>
      <c r="C754" s="14"/>
      <c r="D754" s="14"/>
      <c r="E754" s="12"/>
      <c r="F754" s="12"/>
      <c r="G754" s="14"/>
      <c r="H754" s="14"/>
      <c r="I754" s="15"/>
      <c r="J754" s="14"/>
      <c r="K754" s="15"/>
      <c r="L754" s="14"/>
      <c r="M754" s="14"/>
      <c r="N754" s="14"/>
      <c r="O754" s="14"/>
      <c r="P754" s="14"/>
      <c r="Q754" s="14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3.2">
      <c r="A755" s="14"/>
      <c r="B755" s="14"/>
      <c r="C755" s="14"/>
      <c r="D755" s="14"/>
      <c r="E755" s="12"/>
      <c r="F755" s="12"/>
      <c r="G755" s="14"/>
      <c r="H755" s="14"/>
      <c r="I755" s="15"/>
      <c r="J755" s="14"/>
      <c r="K755" s="15"/>
      <c r="L755" s="14"/>
      <c r="M755" s="14"/>
      <c r="N755" s="14"/>
      <c r="O755" s="14"/>
      <c r="P755" s="14"/>
      <c r="Q755" s="14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3.2">
      <c r="A756" s="14"/>
      <c r="B756" s="14"/>
      <c r="C756" s="14"/>
      <c r="D756" s="14"/>
      <c r="E756" s="12"/>
      <c r="F756" s="12"/>
      <c r="G756" s="14"/>
      <c r="H756" s="14"/>
      <c r="I756" s="15"/>
      <c r="J756" s="14"/>
      <c r="K756" s="15"/>
      <c r="L756" s="14"/>
      <c r="M756" s="14"/>
      <c r="N756" s="14"/>
      <c r="O756" s="14"/>
      <c r="P756" s="14"/>
      <c r="Q756" s="14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3.2">
      <c r="A757" s="14"/>
      <c r="B757" s="14"/>
      <c r="C757" s="14"/>
      <c r="D757" s="14"/>
      <c r="E757" s="12"/>
      <c r="F757" s="12"/>
      <c r="G757" s="14"/>
      <c r="H757" s="14"/>
      <c r="I757" s="15"/>
      <c r="J757" s="14"/>
      <c r="K757" s="15"/>
      <c r="L757" s="14"/>
      <c r="M757" s="14"/>
      <c r="N757" s="14"/>
      <c r="O757" s="14"/>
      <c r="P757" s="14"/>
      <c r="Q757" s="14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3.2">
      <c r="A758" s="14"/>
      <c r="B758" s="14"/>
      <c r="C758" s="14"/>
      <c r="D758" s="14"/>
      <c r="E758" s="12"/>
      <c r="F758" s="12"/>
      <c r="G758" s="14"/>
      <c r="H758" s="14"/>
      <c r="I758" s="15"/>
      <c r="J758" s="14"/>
      <c r="K758" s="15"/>
      <c r="L758" s="14"/>
      <c r="M758" s="14"/>
      <c r="N758" s="14"/>
      <c r="O758" s="14"/>
      <c r="P758" s="14"/>
      <c r="Q758" s="14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3.2">
      <c r="A759" s="14"/>
      <c r="B759" s="14"/>
      <c r="C759" s="14"/>
      <c r="D759" s="14"/>
      <c r="E759" s="12"/>
      <c r="F759" s="12"/>
      <c r="G759" s="14"/>
      <c r="H759" s="14"/>
      <c r="I759" s="15"/>
      <c r="J759" s="14"/>
      <c r="K759" s="15"/>
      <c r="L759" s="14"/>
      <c r="M759" s="14"/>
      <c r="N759" s="14"/>
      <c r="O759" s="14"/>
      <c r="P759" s="14"/>
      <c r="Q759" s="14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3.2">
      <c r="A760" s="14"/>
      <c r="B760" s="14"/>
      <c r="C760" s="14"/>
      <c r="D760" s="14"/>
      <c r="E760" s="12"/>
      <c r="F760" s="12"/>
      <c r="G760" s="14"/>
      <c r="H760" s="14"/>
      <c r="I760" s="15"/>
      <c r="J760" s="14"/>
      <c r="K760" s="15"/>
      <c r="L760" s="14"/>
      <c r="M760" s="14"/>
      <c r="N760" s="14"/>
      <c r="O760" s="14"/>
      <c r="P760" s="14"/>
      <c r="Q760" s="14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3.2">
      <c r="A761" s="14"/>
      <c r="B761" s="14"/>
      <c r="C761" s="14"/>
      <c r="D761" s="14"/>
      <c r="E761" s="12"/>
      <c r="F761" s="12"/>
      <c r="G761" s="14"/>
      <c r="H761" s="14"/>
      <c r="I761" s="15"/>
      <c r="J761" s="14"/>
      <c r="K761" s="15"/>
      <c r="L761" s="14"/>
      <c r="M761" s="14"/>
      <c r="N761" s="14"/>
      <c r="O761" s="14"/>
      <c r="P761" s="14"/>
      <c r="Q761" s="14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3.2">
      <c r="A762" s="14"/>
      <c r="B762" s="14"/>
      <c r="C762" s="14"/>
      <c r="D762" s="14"/>
      <c r="E762" s="12"/>
      <c r="F762" s="12"/>
      <c r="G762" s="14"/>
      <c r="H762" s="14"/>
      <c r="I762" s="15"/>
      <c r="J762" s="14"/>
      <c r="K762" s="15"/>
      <c r="L762" s="14"/>
      <c r="M762" s="14"/>
      <c r="N762" s="14"/>
      <c r="O762" s="14"/>
      <c r="P762" s="14"/>
      <c r="Q762" s="14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3.2">
      <c r="A763" s="14"/>
      <c r="B763" s="14"/>
      <c r="C763" s="14"/>
      <c r="D763" s="14"/>
      <c r="E763" s="12"/>
      <c r="F763" s="12"/>
      <c r="G763" s="14"/>
      <c r="H763" s="14"/>
      <c r="I763" s="15"/>
      <c r="J763" s="14"/>
      <c r="K763" s="15"/>
      <c r="L763" s="14"/>
      <c r="M763" s="14"/>
      <c r="N763" s="14"/>
      <c r="O763" s="14"/>
      <c r="P763" s="14"/>
      <c r="Q763" s="14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3.2">
      <c r="A764" s="14"/>
      <c r="B764" s="14"/>
      <c r="C764" s="14"/>
      <c r="D764" s="14"/>
      <c r="E764" s="12"/>
      <c r="F764" s="12"/>
      <c r="G764" s="14"/>
      <c r="H764" s="14"/>
      <c r="I764" s="15"/>
      <c r="J764" s="14"/>
      <c r="K764" s="15"/>
      <c r="L764" s="14"/>
      <c r="M764" s="14"/>
      <c r="N764" s="14"/>
      <c r="O764" s="14"/>
      <c r="P764" s="14"/>
      <c r="Q764" s="14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26.4">
      <c r="A765" s="169" t="s">
        <v>346</v>
      </c>
      <c r="B765" s="84">
        <v>0</v>
      </c>
      <c r="C765" s="84"/>
      <c r="D765" s="218">
        <v>42992</v>
      </c>
      <c r="E765" s="219">
        <v>384.4</v>
      </c>
      <c r="F765" s="220" t="s">
        <v>21</v>
      </c>
      <c r="G765" s="86">
        <f>AVERAGE(F766,F767,F768,F773)</f>
        <v>3.5874999999999915</v>
      </c>
      <c r="H765" s="221"/>
      <c r="I765" s="222">
        <v>80.7</v>
      </c>
      <c r="J765" s="221"/>
      <c r="K765" s="222">
        <v>19.7</v>
      </c>
      <c r="L765" s="14"/>
      <c r="M765" s="14"/>
      <c r="N765" s="14"/>
      <c r="O765" s="14"/>
      <c r="P765" s="14"/>
      <c r="Q765" s="14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3.2">
      <c r="A766" s="14"/>
      <c r="B766" s="84">
        <v>0</v>
      </c>
      <c r="C766" s="84"/>
      <c r="D766" s="218">
        <v>42993</v>
      </c>
      <c r="E766" s="219">
        <v>381.6</v>
      </c>
      <c r="F766" s="86">
        <f>E765-E766</f>
        <v>2.7999999999999545</v>
      </c>
      <c r="G766" s="221"/>
      <c r="H766" s="221"/>
      <c r="I766" s="222">
        <v>78</v>
      </c>
      <c r="J766" s="221">
        <f t="shared" ref="J766:J769" si="211">(I765-I766)/(D766-D765)</f>
        <v>2.7000000000000028</v>
      </c>
      <c r="K766" s="222">
        <v>18.7</v>
      </c>
      <c r="L766" s="14"/>
      <c r="M766" s="14"/>
      <c r="N766" s="14"/>
      <c r="O766" s="14"/>
      <c r="P766" s="14"/>
      <c r="Q766" s="14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3.2">
      <c r="A767" s="14"/>
      <c r="B767" s="84">
        <v>0</v>
      </c>
      <c r="C767" s="84"/>
      <c r="D767" s="218">
        <v>42996</v>
      </c>
      <c r="E767" s="219">
        <v>365.7</v>
      </c>
      <c r="F767" s="86">
        <f t="shared" ref="F767:F769" si="212">(E766-E767)/(D767-D766)</f>
        <v>5.3000000000000114</v>
      </c>
      <c r="G767" s="221"/>
      <c r="H767" s="221"/>
      <c r="I767" s="222">
        <v>65.900000000000006</v>
      </c>
      <c r="J767" s="223">
        <f t="shared" si="211"/>
        <v>4.0333333333333314</v>
      </c>
      <c r="K767" s="222">
        <v>20.3</v>
      </c>
      <c r="L767" s="14"/>
      <c r="M767" s="14"/>
      <c r="N767" s="14"/>
      <c r="O767" s="14"/>
      <c r="P767" s="14"/>
      <c r="Q767" s="14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3.2">
      <c r="A768" s="14"/>
      <c r="B768" s="84">
        <v>0</v>
      </c>
      <c r="C768" s="84"/>
      <c r="D768" s="218">
        <v>42998</v>
      </c>
      <c r="E768" s="219">
        <v>358.2</v>
      </c>
      <c r="F768" s="86">
        <f t="shared" si="212"/>
        <v>3.75</v>
      </c>
      <c r="G768" s="221"/>
      <c r="H768" s="221"/>
      <c r="I768" s="222">
        <v>60</v>
      </c>
      <c r="J768" s="223">
        <f t="shared" si="211"/>
        <v>2.9500000000000028</v>
      </c>
      <c r="K768" s="222">
        <v>19.3</v>
      </c>
      <c r="L768" s="14"/>
      <c r="M768" s="14"/>
      <c r="N768" s="14"/>
      <c r="O768" s="14"/>
      <c r="P768" s="14"/>
      <c r="Q768" s="14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3.2">
      <c r="A769" s="14"/>
      <c r="B769" s="84">
        <v>0</v>
      </c>
      <c r="C769" s="84"/>
      <c r="D769" s="224">
        <v>42999</v>
      </c>
      <c r="E769" s="219">
        <v>352.8</v>
      </c>
      <c r="F769" s="86">
        <f t="shared" si="212"/>
        <v>5.3999999999999773</v>
      </c>
      <c r="G769" s="221"/>
      <c r="H769" s="221"/>
      <c r="I769" s="222">
        <v>57.6</v>
      </c>
      <c r="J769" s="223">
        <f t="shared" si="211"/>
        <v>2.3999999999999986</v>
      </c>
      <c r="K769" s="222">
        <v>19.399999999999999</v>
      </c>
      <c r="L769" s="14"/>
      <c r="M769" s="14"/>
      <c r="N769" s="14"/>
      <c r="O769" s="14"/>
      <c r="P769" s="14"/>
      <c r="Q769" s="14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3.2">
      <c r="A770" s="14"/>
      <c r="B770" s="84">
        <v>0.5</v>
      </c>
      <c r="C770" s="84"/>
      <c r="D770" s="224">
        <v>42999</v>
      </c>
      <c r="E770" s="219">
        <v>390.1</v>
      </c>
      <c r="F770" s="86"/>
      <c r="G770" s="221"/>
      <c r="H770" s="221"/>
      <c r="I770" s="222">
        <v>71.2</v>
      </c>
      <c r="J770" s="223"/>
      <c r="K770" s="222"/>
      <c r="L770" s="14"/>
      <c r="M770" s="14"/>
      <c r="N770" s="14"/>
      <c r="O770" s="14"/>
      <c r="P770" s="14"/>
      <c r="Q770" s="14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3.2">
      <c r="A771" s="14"/>
      <c r="B771" s="84">
        <v>0.5</v>
      </c>
      <c r="C771" s="84"/>
      <c r="D771" s="224">
        <v>43000</v>
      </c>
      <c r="E771" s="219">
        <v>387.6</v>
      </c>
      <c r="F771" s="86">
        <f t="shared" ref="F771:F773" si="213">(E770-E771)/(D771-D770)</f>
        <v>2.5</v>
      </c>
      <c r="G771" s="221"/>
      <c r="H771" s="221"/>
      <c r="I771" s="222">
        <v>67.2</v>
      </c>
      <c r="J771" s="223">
        <f t="shared" ref="J771:J773" si="214">(I770-I771)/(D771-D770)</f>
        <v>4</v>
      </c>
      <c r="K771" s="222">
        <v>20.7</v>
      </c>
      <c r="L771" s="14"/>
      <c r="M771" s="14"/>
      <c r="N771" s="14"/>
      <c r="O771" s="14"/>
      <c r="P771" s="14"/>
      <c r="Q771" s="14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3.2">
      <c r="A772" s="14"/>
      <c r="B772" s="84">
        <v>0.5</v>
      </c>
      <c r="C772" s="84"/>
      <c r="D772" s="218">
        <v>43003</v>
      </c>
      <c r="E772" s="219">
        <v>377.2</v>
      </c>
      <c r="F772" s="86">
        <f t="shared" si="213"/>
        <v>3.4666666666666779</v>
      </c>
      <c r="G772" s="221"/>
      <c r="H772" s="221"/>
      <c r="I772" s="222">
        <v>61.4</v>
      </c>
      <c r="J772" s="223">
        <f t="shared" si="214"/>
        <v>1.9333333333333347</v>
      </c>
      <c r="K772" s="222">
        <v>20</v>
      </c>
      <c r="L772" s="14"/>
      <c r="M772" s="14"/>
      <c r="N772" s="14"/>
      <c r="O772" s="14"/>
      <c r="P772" s="14"/>
      <c r="Q772" s="14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3.2">
      <c r="A773" s="14"/>
      <c r="B773" s="84">
        <v>0.5</v>
      </c>
      <c r="C773" s="84"/>
      <c r="D773" s="218">
        <v>43005</v>
      </c>
      <c r="E773" s="219">
        <v>372.2</v>
      </c>
      <c r="F773" s="86">
        <f t="shared" si="213"/>
        <v>2.5</v>
      </c>
      <c r="G773" s="221"/>
      <c r="H773" s="221"/>
      <c r="I773" s="222">
        <v>57.2</v>
      </c>
      <c r="J773" s="223">
        <f t="shared" si="214"/>
        <v>2.0999999999999979</v>
      </c>
      <c r="K773" s="222">
        <v>20.399999999999999</v>
      </c>
      <c r="L773" s="14"/>
      <c r="M773" s="14"/>
      <c r="N773" s="14"/>
      <c r="O773" s="14"/>
      <c r="P773" s="14"/>
      <c r="Q773" s="14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3.2">
      <c r="A774" s="14"/>
      <c r="B774" s="84">
        <v>1</v>
      </c>
      <c r="C774" s="84"/>
      <c r="D774" s="218">
        <v>43005</v>
      </c>
      <c r="E774" s="219">
        <v>319.10000000000002</v>
      </c>
      <c r="F774" s="220"/>
      <c r="G774" s="221"/>
      <c r="H774" s="221"/>
      <c r="I774" s="222" t="s">
        <v>318</v>
      </c>
      <c r="J774" s="223"/>
      <c r="K774" s="222"/>
      <c r="L774" s="14"/>
      <c r="M774" s="14"/>
      <c r="N774" s="14"/>
      <c r="O774" s="14"/>
      <c r="P774" s="14"/>
      <c r="Q774" s="14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3.2">
      <c r="A775" s="14"/>
      <c r="B775" s="84">
        <v>1</v>
      </c>
      <c r="C775" s="84"/>
      <c r="D775" s="218">
        <v>43007</v>
      </c>
      <c r="E775" s="219">
        <v>309.89999999999998</v>
      </c>
      <c r="F775" s="86">
        <f t="shared" ref="F775:F777" si="215">(E774-E775)/(D775-D774)</f>
        <v>4.6000000000000227</v>
      </c>
      <c r="G775" s="221"/>
      <c r="H775" s="221"/>
      <c r="I775" s="222">
        <v>52.8</v>
      </c>
      <c r="J775" s="223">
        <f>(I773-I775)/(D775-D773)</f>
        <v>2.2000000000000028</v>
      </c>
      <c r="K775" s="222">
        <v>21</v>
      </c>
      <c r="L775" s="14"/>
      <c r="M775" s="14"/>
      <c r="N775" s="14"/>
      <c r="O775" s="14"/>
      <c r="P775" s="14"/>
      <c r="Q775" s="14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3.2">
      <c r="A776" s="14"/>
      <c r="B776" s="84">
        <v>1</v>
      </c>
      <c r="C776" s="84"/>
      <c r="D776" s="225">
        <v>43010</v>
      </c>
      <c r="E776" s="220">
        <v>297.60000000000002</v>
      </c>
      <c r="F776" s="86">
        <f t="shared" si="215"/>
        <v>4.0999999999999845</v>
      </c>
      <c r="G776" s="221"/>
      <c r="H776" s="221"/>
      <c r="I776" s="222">
        <v>46.2</v>
      </c>
      <c r="J776" s="223">
        <f t="shared" ref="J776:J777" si="216">(I775-I776)/(D776-D775)</f>
        <v>2.199999999999998</v>
      </c>
      <c r="K776" s="222">
        <v>21.5</v>
      </c>
      <c r="L776" s="14"/>
      <c r="M776" s="14"/>
      <c r="N776" s="14"/>
      <c r="O776" s="14"/>
      <c r="P776" s="14"/>
      <c r="Q776" s="14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3.2">
      <c r="A777" s="14"/>
      <c r="B777" s="84">
        <v>1</v>
      </c>
      <c r="C777" s="84"/>
      <c r="D777" s="225">
        <v>43012</v>
      </c>
      <c r="E777" s="220">
        <v>284.60000000000002</v>
      </c>
      <c r="F777" s="86">
        <f t="shared" si="215"/>
        <v>6.5</v>
      </c>
      <c r="G777" s="221"/>
      <c r="H777" s="221"/>
      <c r="I777" s="222">
        <v>43.2</v>
      </c>
      <c r="J777" s="223">
        <f t="shared" si="216"/>
        <v>1.5</v>
      </c>
      <c r="K777" s="222">
        <v>20.399999999999999</v>
      </c>
      <c r="L777" s="14"/>
      <c r="M777" s="14"/>
      <c r="N777" s="14"/>
      <c r="O777" s="14"/>
      <c r="P777" s="14"/>
      <c r="Q777" s="14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3.2">
      <c r="A778" s="14"/>
      <c r="B778" s="84">
        <v>1</v>
      </c>
      <c r="C778" s="84"/>
      <c r="D778" s="226">
        <v>43013</v>
      </c>
      <c r="E778" s="220">
        <v>349.2</v>
      </c>
      <c r="F778" s="220"/>
      <c r="G778" s="221"/>
      <c r="H778" s="221"/>
      <c r="I778" s="222" t="s">
        <v>24</v>
      </c>
      <c r="J778" s="223"/>
      <c r="K778" s="222"/>
      <c r="L778" s="14"/>
      <c r="M778" s="14"/>
      <c r="N778" s="14"/>
      <c r="O778" s="14"/>
      <c r="P778" s="14"/>
      <c r="Q778" s="14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3.2">
      <c r="A779" s="14"/>
      <c r="B779" s="84">
        <v>2</v>
      </c>
      <c r="C779" s="84"/>
      <c r="D779" s="226">
        <v>43014</v>
      </c>
      <c r="E779" s="220">
        <v>344.9</v>
      </c>
      <c r="F779" s="86">
        <f>(E778-E779)/(D779-D778)</f>
        <v>4.3000000000000114</v>
      </c>
      <c r="G779" s="221"/>
      <c r="H779" s="221"/>
      <c r="I779" s="222">
        <v>40.299999999999997</v>
      </c>
      <c r="J779" s="223">
        <f>(I777-I779)/(D779-D777)</f>
        <v>1.4500000000000028</v>
      </c>
      <c r="K779" s="222">
        <v>19.399999999999999</v>
      </c>
      <c r="L779" s="14"/>
      <c r="M779" s="14"/>
      <c r="N779" s="14"/>
      <c r="O779" s="14"/>
      <c r="P779" s="14"/>
      <c r="Q779" s="14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3.2">
      <c r="A780" s="14"/>
      <c r="B780" s="84">
        <v>2</v>
      </c>
      <c r="C780" s="84"/>
      <c r="D780" s="226">
        <v>43017</v>
      </c>
      <c r="E780" s="220">
        <v>337.1</v>
      </c>
      <c r="F780" s="86">
        <f>(361.9-E780)/(D780-D779)</f>
        <v>8.2666666666666515</v>
      </c>
      <c r="G780" s="221"/>
      <c r="H780" s="221"/>
      <c r="I780" s="222">
        <v>36.5</v>
      </c>
      <c r="J780" s="223">
        <f t="shared" ref="J780:J781" si="217">(I779-I780)/(D780-D779)</f>
        <v>1.2666666666666657</v>
      </c>
      <c r="K780" s="222">
        <v>18.3</v>
      </c>
      <c r="L780" s="14"/>
      <c r="M780" s="14"/>
      <c r="N780" s="14"/>
      <c r="O780" s="14"/>
      <c r="P780" s="14"/>
      <c r="Q780" s="14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3.2">
      <c r="A781" s="14"/>
      <c r="B781" s="84">
        <v>2</v>
      </c>
      <c r="C781" s="84"/>
      <c r="D781" s="226">
        <v>43019</v>
      </c>
      <c r="E781" s="220">
        <v>330.8</v>
      </c>
      <c r="F781" s="86">
        <f>(E780-E781)/(D781-D780)</f>
        <v>3.1500000000000057</v>
      </c>
      <c r="G781" s="221"/>
      <c r="H781" s="221"/>
      <c r="I781" s="222">
        <v>33.700000000000003</v>
      </c>
      <c r="J781" s="223">
        <f t="shared" si="217"/>
        <v>1.3999999999999986</v>
      </c>
      <c r="K781" s="222">
        <v>17.2</v>
      </c>
      <c r="L781" s="14"/>
      <c r="M781" s="14"/>
      <c r="N781" s="14"/>
      <c r="O781" s="14"/>
      <c r="P781" s="14"/>
      <c r="Q781" s="14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3.2">
      <c r="A782" s="14"/>
      <c r="B782" s="84">
        <v>2</v>
      </c>
      <c r="C782" s="84"/>
      <c r="D782" s="226">
        <v>43020</v>
      </c>
      <c r="E782" s="220">
        <v>350.5</v>
      </c>
      <c r="F782" s="86"/>
      <c r="G782" s="221"/>
      <c r="H782" s="221"/>
      <c r="I782" s="222" t="s">
        <v>24</v>
      </c>
      <c r="J782" s="221"/>
      <c r="K782" s="227"/>
      <c r="L782" s="14"/>
      <c r="M782" s="14"/>
      <c r="N782" s="14"/>
      <c r="O782" s="14"/>
      <c r="P782" s="14"/>
      <c r="Q782" s="14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3.2">
      <c r="A783" s="14"/>
      <c r="B783" s="84">
        <v>3</v>
      </c>
      <c r="C783" s="84"/>
      <c r="D783" s="226">
        <f>D781+2</f>
        <v>43021</v>
      </c>
      <c r="E783" s="84">
        <v>347.1</v>
      </c>
      <c r="F783" s="86">
        <f>(E782-E783)/(D783-D782)</f>
        <v>3.3999999999999773</v>
      </c>
      <c r="G783" s="86">
        <f>(AVERAGE(F771:F783))</f>
        <v>4.2783333333333333</v>
      </c>
      <c r="H783" s="221"/>
      <c r="I783" s="222">
        <v>81</v>
      </c>
      <c r="J783" s="221"/>
      <c r="K783" s="222">
        <v>16.5</v>
      </c>
      <c r="L783" s="14"/>
      <c r="M783" s="14"/>
      <c r="N783" s="14"/>
      <c r="O783" s="14"/>
      <c r="P783" s="14"/>
      <c r="Q783" s="14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3.2">
      <c r="A784" s="14"/>
      <c r="B784" s="84">
        <v>3</v>
      </c>
      <c r="C784" s="84"/>
      <c r="D784" s="226">
        <f>D783+3</f>
        <v>43024</v>
      </c>
      <c r="E784" s="86"/>
      <c r="F784" s="86"/>
      <c r="G784" s="221"/>
      <c r="H784" s="221"/>
      <c r="I784" s="227"/>
      <c r="J784" s="221"/>
      <c r="K784" s="227"/>
      <c r="L784" s="14"/>
      <c r="M784" s="14"/>
      <c r="N784" s="14"/>
      <c r="O784" s="14"/>
      <c r="P784" s="14"/>
      <c r="Q784" s="14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3.2">
      <c r="A785" s="14"/>
      <c r="B785" s="5">
        <v>3</v>
      </c>
      <c r="C785" s="5"/>
      <c r="D785" s="20">
        <f t="shared" ref="D785:D786" si="218">D784+2</f>
        <v>43026</v>
      </c>
      <c r="E785" s="12"/>
      <c r="F785" s="12"/>
      <c r="G785" s="14"/>
      <c r="H785" s="14"/>
      <c r="I785" s="15"/>
      <c r="J785" s="14"/>
      <c r="K785" s="15"/>
      <c r="L785" s="14"/>
      <c r="M785" s="14"/>
      <c r="N785" s="14"/>
      <c r="O785" s="14"/>
      <c r="P785" s="14"/>
      <c r="Q785" s="14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3.2">
      <c r="A786" s="14"/>
      <c r="B786" s="5">
        <v>3</v>
      </c>
      <c r="C786" s="5"/>
      <c r="D786" s="20">
        <f t="shared" si="218"/>
        <v>43028</v>
      </c>
      <c r="E786" s="12"/>
      <c r="F786" s="12"/>
      <c r="G786" s="14"/>
      <c r="H786" s="14"/>
      <c r="I786" s="15"/>
      <c r="J786" s="14"/>
      <c r="K786" s="15"/>
      <c r="L786" s="14"/>
      <c r="M786" s="14"/>
      <c r="N786" s="14"/>
      <c r="O786" s="14"/>
      <c r="P786" s="14"/>
      <c r="Q786" s="14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3.2">
      <c r="A787" s="14"/>
      <c r="B787" s="5">
        <v>3</v>
      </c>
      <c r="C787" s="5"/>
      <c r="D787" s="20">
        <v>43031</v>
      </c>
      <c r="E787" s="12"/>
      <c r="F787" s="12"/>
      <c r="G787" s="14"/>
      <c r="H787" s="14"/>
      <c r="I787" s="15"/>
      <c r="J787" s="14"/>
      <c r="K787" s="15"/>
      <c r="L787" s="14"/>
      <c r="M787" s="14"/>
      <c r="N787" s="14"/>
      <c r="O787" s="14"/>
      <c r="P787" s="14"/>
      <c r="Q787" s="14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3.2">
      <c r="A788" s="14"/>
      <c r="B788" s="5">
        <v>4</v>
      </c>
      <c r="C788" s="5"/>
      <c r="D788" s="20">
        <v>43033</v>
      </c>
      <c r="E788" s="12"/>
      <c r="F788" s="12"/>
      <c r="G788" s="14"/>
      <c r="H788" s="14"/>
      <c r="I788" s="15"/>
      <c r="J788" s="14"/>
      <c r="K788" s="15"/>
      <c r="L788" s="14"/>
      <c r="M788" s="14"/>
      <c r="N788" s="14"/>
      <c r="O788" s="14"/>
      <c r="P788" s="14"/>
      <c r="Q788" s="14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3.2">
      <c r="A789" s="14"/>
      <c r="B789" s="5">
        <v>4</v>
      </c>
      <c r="C789" s="5"/>
      <c r="D789" s="20">
        <v>43035</v>
      </c>
      <c r="E789" s="12"/>
      <c r="F789" s="12"/>
      <c r="G789" s="14"/>
      <c r="H789" s="14"/>
      <c r="I789" s="15"/>
      <c r="J789" s="14"/>
      <c r="K789" s="15"/>
      <c r="L789" s="14"/>
      <c r="M789" s="14"/>
      <c r="N789" s="14"/>
      <c r="O789" s="14"/>
      <c r="P789" s="14"/>
      <c r="Q789" s="14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3.2">
      <c r="A790" s="14"/>
      <c r="B790" s="5">
        <v>5</v>
      </c>
      <c r="C790" s="5"/>
      <c r="D790" s="20">
        <v>43038</v>
      </c>
      <c r="E790" s="12"/>
      <c r="F790" s="12"/>
      <c r="G790" s="14"/>
      <c r="H790" s="14"/>
      <c r="I790" s="15"/>
      <c r="J790" s="14"/>
      <c r="K790" s="15"/>
      <c r="L790" s="14"/>
      <c r="M790" s="14"/>
      <c r="N790" s="14"/>
      <c r="O790" s="14"/>
      <c r="P790" s="14"/>
      <c r="Q790" s="14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3.2">
      <c r="A791" s="14"/>
      <c r="B791" s="5">
        <v>5</v>
      </c>
      <c r="C791" s="5"/>
      <c r="D791" s="20">
        <v>43040</v>
      </c>
      <c r="E791" s="12"/>
      <c r="F791" s="12"/>
      <c r="G791" s="14"/>
      <c r="H791" s="14"/>
      <c r="I791" s="15"/>
      <c r="J791" s="14"/>
      <c r="K791" s="15"/>
      <c r="L791" s="14"/>
      <c r="M791" s="14"/>
      <c r="N791" s="14"/>
      <c r="O791" s="14"/>
      <c r="P791" s="14"/>
      <c r="Q791" s="14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3.2">
      <c r="A792" s="14"/>
      <c r="B792" s="5">
        <v>5</v>
      </c>
      <c r="C792" s="5"/>
      <c r="D792" s="20">
        <v>43042</v>
      </c>
      <c r="E792" s="12"/>
      <c r="F792" s="12"/>
      <c r="G792" s="14"/>
      <c r="H792" s="14"/>
      <c r="I792" s="15"/>
      <c r="J792" s="14"/>
      <c r="K792" s="15"/>
      <c r="L792" s="14"/>
      <c r="M792" s="14"/>
      <c r="N792" s="14"/>
      <c r="O792" s="14"/>
      <c r="P792" s="14"/>
      <c r="Q792" s="14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3.2">
      <c r="A793" s="14"/>
      <c r="B793" s="5">
        <v>6</v>
      </c>
      <c r="C793" s="5"/>
      <c r="D793" s="20">
        <v>43045</v>
      </c>
      <c r="E793" s="12"/>
      <c r="F793" s="12"/>
      <c r="G793" s="14"/>
      <c r="H793" s="14"/>
      <c r="I793" s="15"/>
      <c r="J793" s="14"/>
      <c r="K793" s="15"/>
      <c r="L793" s="14"/>
      <c r="M793" s="14"/>
      <c r="N793" s="14"/>
      <c r="O793" s="14"/>
      <c r="P793" s="14"/>
      <c r="Q793" s="14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3.2">
      <c r="A794" s="14"/>
      <c r="B794" s="5">
        <v>6</v>
      </c>
      <c r="C794" s="5"/>
      <c r="D794" s="20">
        <v>43047</v>
      </c>
      <c r="E794" s="12"/>
      <c r="F794" s="12"/>
      <c r="G794" s="14"/>
      <c r="H794" s="14"/>
      <c r="I794" s="15"/>
      <c r="J794" s="14"/>
      <c r="K794" s="15"/>
      <c r="L794" s="14"/>
      <c r="M794" s="14"/>
      <c r="N794" s="14"/>
      <c r="O794" s="14"/>
      <c r="P794" s="14"/>
      <c r="Q794" s="14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3.2">
      <c r="A795" s="14"/>
      <c r="B795" s="5">
        <v>6</v>
      </c>
      <c r="C795" s="5"/>
      <c r="D795" s="20">
        <v>43049</v>
      </c>
      <c r="E795" s="12"/>
      <c r="F795" s="12"/>
      <c r="G795" s="14"/>
      <c r="H795" s="14"/>
      <c r="I795" s="15"/>
      <c r="J795" s="14"/>
      <c r="K795" s="15"/>
      <c r="L795" s="14"/>
      <c r="M795" s="14"/>
      <c r="N795" s="14"/>
      <c r="O795" s="14"/>
      <c r="P795" s="14"/>
      <c r="Q795" s="14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3.2">
      <c r="A796" s="14"/>
      <c r="B796" s="5">
        <v>7</v>
      </c>
      <c r="C796" s="5"/>
      <c r="D796" s="20">
        <v>43052</v>
      </c>
      <c r="E796" s="12"/>
      <c r="F796" s="12"/>
      <c r="G796" s="14"/>
      <c r="H796" s="14"/>
      <c r="I796" s="15"/>
      <c r="J796" s="14"/>
      <c r="K796" s="15"/>
      <c r="L796" s="14"/>
      <c r="M796" s="14"/>
      <c r="N796" s="14"/>
      <c r="O796" s="14"/>
      <c r="P796" s="14"/>
      <c r="Q796" s="14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3.2">
      <c r="A797" s="14"/>
      <c r="B797" s="5">
        <v>7</v>
      </c>
      <c r="C797" s="5"/>
      <c r="D797" s="20">
        <v>43054</v>
      </c>
      <c r="E797" s="12"/>
      <c r="F797" s="12"/>
      <c r="G797" s="14"/>
      <c r="H797" s="14"/>
      <c r="I797" s="15"/>
      <c r="J797" s="14"/>
      <c r="K797" s="15"/>
      <c r="L797" s="14"/>
      <c r="M797" s="14"/>
      <c r="N797" s="14"/>
      <c r="O797" s="14"/>
      <c r="P797" s="14"/>
      <c r="Q797" s="14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3.2">
      <c r="A798" s="14"/>
      <c r="B798" s="5">
        <v>7</v>
      </c>
      <c r="C798" s="5"/>
      <c r="D798" s="20">
        <v>43056</v>
      </c>
      <c r="E798" s="12"/>
      <c r="F798" s="12"/>
      <c r="G798" s="14"/>
      <c r="H798" s="14"/>
      <c r="I798" s="15"/>
      <c r="J798" s="14"/>
      <c r="K798" s="15"/>
      <c r="L798" s="14"/>
      <c r="M798" s="14"/>
      <c r="N798" s="14"/>
      <c r="O798" s="14"/>
      <c r="P798" s="14"/>
      <c r="Q798" s="14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3.2">
      <c r="A799" s="14"/>
      <c r="B799" s="5">
        <v>8</v>
      </c>
      <c r="C799" s="5"/>
      <c r="D799" s="20">
        <v>43059</v>
      </c>
      <c r="E799" s="12"/>
      <c r="F799" s="12"/>
      <c r="G799" s="14"/>
      <c r="H799" s="14"/>
      <c r="I799" s="15"/>
      <c r="J799" s="14"/>
      <c r="K799" s="15"/>
      <c r="L799" s="14"/>
      <c r="M799" s="14"/>
      <c r="N799" s="14"/>
      <c r="O799" s="14"/>
      <c r="P799" s="14"/>
      <c r="Q799" s="14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3.2">
      <c r="A800" s="14"/>
      <c r="B800" s="5">
        <v>8</v>
      </c>
      <c r="C800" s="5"/>
      <c r="D800" s="20">
        <v>43061</v>
      </c>
      <c r="E800" s="12"/>
      <c r="F800" s="12"/>
      <c r="G800" s="14"/>
      <c r="H800" s="14"/>
      <c r="I800" s="15"/>
      <c r="J800" s="14"/>
      <c r="K800" s="15"/>
      <c r="L800" s="14"/>
      <c r="M800" s="14"/>
      <c r="N800" s="14"/>
      <c r="O800" s="14"/>
      <c r="P800" s="14"/>
      <c r="Q800" s="14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3.2">
      <c r="A801" s="14"/>
      <c r="B801" s="5">
        <v>8</v>
      </c>
      <c r="C801" s="5"/>
      <c r="D801" s="20">
        <v>43063</v>
      </c>
      <c r="E801" s="12"/>
      <c r="F801" s="12"/>
      <c r="G801" s="14"/>
      <c r="H801" s="14"/>
      <c r="I801" s="15"/>
      <c r="J801" s="14"/>
      <c r="K801" s="15"/>
      <c r="L801" s="14"/>
      <c r="M801" s="14"/>
      <c r="N801" s="14"/>
      <c r="O801" s="14"/>
      <c r="P801" s="14"/>
      <c r="Q801" s="14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3.2">
      <c r="A802" s="14"/>
      <c r="B802" s="5">
        <v>9</v>
      </c>
      <c r="C802" s="5"/>
      <c r="D802" s="20">
        <v>43066</v>
      </c>
      <c r="E802" s="12"/>
      <c r="F802" s="12"/>
      <c r="G802" s="14"/>
      <c r="H802" s="14"/>
      <c r="I802" s="15"/>
      <c r="J802" s="14"/>
      <c r="K802" s="15"/>
      <c r="L802" s="14"/>
      <c r="M802" s="14"/>
      <c r="N802" s="14"/>
      <c r="O802" s="14"/>
      <c r="P802" s="14"/>
      <c r="Q802" s="14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3.2">
      <c r="A803" s="14"/>
      <c r="B803" s="5">
        <v>9</v>
      </c>
      <c r="C803" s="5"/>
      <c r="D803" s="20">
        <v>43068</v>
      </c>
      <c r="E803" s="12"/>
      <c r="F803" s="12"/>
      <c r="G803" s="14"/>
      <c r="H803" s="14"/>
      <c r="I803" s="15"/>
      <c r="J803" s="14"/>
      <c r="K803" s="15"/>
      <c r="L803" s="14"/>
      <c r="M803" s="14"/>
      <c r="N803" s="14"/>
      <c r="O803" s="14"/>
      <c r="P803" s="14"/>
      <c r="Q803" s="14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3.2">
      <c r="A804" s="14"/>
      <c r="B804" s="5">
        <v>9</v>
      </c>
      <c r="C804" s="5"/>
      <c r="D804" s="20">
        <v>43070</v>
      </c>
      <c r="E804" s="12"/>
      <c r="F804" s="12"/>
      <c r="G804" s="14"/>
      <c r="H804" s="14"/>
      <c r="I804" s="15"/>
      <c r="J804" s="14"/>
      <c r="K804" s="15"/>
      <c r="L804" s="14"/>
      <c r="M804" s="14"/>
      <c r="N804" s="14"/>
      <c r="O804" s="14"/>
      <c r="P804" s="14"/>
      <c r="Q804" s="14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3.2">
      <c r="A805" s="14"/>
      <c r="B805" s="5">
        <v>10</v>
      </c>
      <c r="C805" s="5"/>
      <c r="D805" s="20">
        <v>43073</v>
      </c>
      <c r="E805" s="12"/>
      <c r="F805" s="12"/>
      <c r="G805" s="14"/>
      <c r="H805" s="14"/>
      <c r="I805" s="15"/>
      <c r="J805" s="14"/>
      <c r="K805" s="15"/>
      <c r="L805" s="14"/>
      <c r="M805" s="14"/>
      <c r="N805" s="14"/>
      <c r="O805" s="14"/>
      <c r="P805" s="14"/>
      <c r="Q805" s="14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3.2">
      <c r="A806" s="14"/>
      <c r="B806" s="5">
        <v>10</v>
      </c>
      <c r="C806" s="5"/>
      <c r="D806" s="20">
        <v>43075</v>
      </c>
      <c r="E806" s="12"/>
      <c r="F806" s="12"/>
      <c r="G806" s="14"/>
      <c r="H806" s="14"/>
      <c r="I806" s="15"/>
      <c r="J806" s="14"/>
      <c r="K806" s="15"/>
      <c r="L806" s="14"/>
      <c r="M806" s="14"/>
      <c r="N806" s="14"/>
      <c r="O806" s="14"/>
      <c r="P806" s="14"/>
      <c r="Q806" s="14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3.2">
      <c r="A807" s="14"/>
      <c r="B807" s="5">
        <v>10</v>
      </c>
      <c r="C807" s="5"/>
      <c r="D807" s="24">
        <v>43076</v>
      </c>
      <c r="E807" s="12"/>
      <c r="F807" s="12"/>
      <c r="G807" s="14"/>
      <c r="H807" s="14"/>
      <c r="I807" s="15"/>
      <c r="J807" s="14"/>
      <c r="K807" s="15"/>
      <c r="L807" s="14"/>
      <c r="M807" s="14"/>
      <c r="N807" s="14"/>
      <c r="O807" s="14"/>
      <c r="P807" s="14"/>
      <c r="Q807" s="14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3.2">
      <c r="A808" s="14"/>
      <c r="B808" s="5">
        <v>11</v>
      </c>
      <c r="C808" s="5"/>
      <c r="D808" s="24">
        <v>43077</v>
      </c>
      <c r="E808" s="12"/>
      <c r="F808" s="12"/>
      <c r="G808" s="14"/>
      <c r="H808" s="14"/>
      <c r="I808" s="15"/>
      <c r="J808" s="14"/>
      <c r="K808" s="15"/>
      <c r="L808" s="14"/>
      <c r="M808" s="14"/>
      <c r="N808" s="14"/>
      <c r="O808" s="14"/>
      <c r="P808" s="14"/>
      <c r="Q808" s="14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3.2">
      <c r="A809" s="14"/>
      <c r="B809" s="5">
        <v>11</v>
      </c>
      <c r="C809" s="5"/>
      <c r="D809" s="34">
        <v>43080</v>
      </c>
      <c r="E809" s="12"/>
      <c r="F809" s="12"/>
      <c r="G809" s="14"/>
      <c r="H809" s="14"/>
      <c r="I809" s="15"/>
      <c r="J809" s="14"/>
      <c r="K809" s="15"/>
      <c r="L809" s="14"/>
      <c r="M809" s="14"/>
      <c r="N809" s="14"/>
      <c r="O809" s="14"/>
      <c r="P809" s="14"/>
      <c r="Q809" s="14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3.2">
      <c r="A810" s="14"/>
      <c r="B810" s="5"/>
      <c r="C810" s="5"/>
      <c r="D810" s="25">
        <v>43082</v>
      </c>
      <c r="E810" s="12"/>
      <c r="F810" s="12"/>
      <c r="G810" s="14"/>
      <c r="H810" s="14"/>
      <c r="I810" s="15"/>
      <c r="J810" s="14"/>
      <c r="K810" s="15"/>
      <c r="L810" s="14"/>
      <c r="M810" s="14"/>
      <c r="N810" s="14"/>
      <c r="O810" s="14"/>
      <c r="P810" s="14"/>
      <c r="Q810" s="14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3.2">
      <c r="A811" s="14"/>
      <c r="B811" s="5"/>
      <c r="C811" s="5"/>
      <c r="D811" s="24">
        <v>43084</v>
      </c>
      <c r="E811" s="12"/>
      <c r="F811" s="12"/>
      <c r="G811" s="14"/>
      <c r="H811" s="14"/>
      <c r="I811" s="15"/>
      <c r="J811" s="14"/>
      <c r="K811" s="15"/>
      <c r="L811" s="14"/>
      <c r="M811" s="14"/>
      <c r="N811" s="14"/>
      <c r="O811" s="14"/>
      <c r="P811" s="14"/>
      <c r="Q811" s="14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3.2">
      <c r="A812" s="14"/>
      <c r="B812" s="5"/>
      <c r="C812" s="5"/>
      <c r="D812" s="32">
        <v>43097</v>
      </c>
      <c r="E812" s="12"/>
      <c r="F812" s="12"/>
      <c r="G812" s="14"/>
      <c r="H812" s="14"/>
      <c r="I812" s="15"/>
      <c r="J812" s="14"/>
      <c r="K812" s="15"/>
      <c r="L812" s="14"/>
      <c r="M812" s="14"/>
      <c r="N812" s="14"/>
      <c r="O812" s="14"/>
      <c r="P812" s="14"/>
      <c r="Q812" s="14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3.2">
      <c r="A813" s="14"/>
      <c r="B813" s="5"/>
      <c r="C813" s="5"/>
      <c r="D813" s="32">
        <v>43104</v>
      </c>
      <c r="E813" s="12"/>
      <c r="F813" s="12"/>
      <c r="G813" s="14"/>
      <c r="H813" s="14"/>
      <c r="I813" s="15"/>
      <c r="J813" s="14"/>
      <c r="K813" s="15"/>
      <c r="L813" s="14"/>
      <c r="M813" s="14"/>
      <c r="N813" s="14"/>
      <c r="O813" s="14"/>
      <c r="P813" s="14"/>
      <c r="Q813" s="14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3.2">
      <c r="A814" s="14"/>
      <c r="B814" s="5"/>
      <c r="C814" s="5"/>
      <c r="D814" s="32">
        <v>43111</v>
      </c>
      <c r="E814" s="12"/>
      <c r="F814" s="12"/>
      <c r="G814" s="14"/>
      <c r="H814" s="14"/>
      <c r="I814" s="15"/>
      <c r="J814" s="14"/>
      <c r="K814" s="15"/>
      <c r="L814" s="14"/>
      <c r="M814" s="14"/>
      <c r="N814" s="14"/>
      <c r="O814" s="14"/>
      <c r="P814" s="14"/>
      <c r="Q814" s="14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3.2">
      <c r="A815" s="14"/>
      <c r="B815" s="5"/>
      <c r="C815" s="5"/>
      <c r="D815" s="34">
        <v>43115</v>
      </c>
      <c r="E815" s="12"/>
      <c r="F815" s="12"/>
      <c r="G815" s="14"/>
      <c r="H815" s="14"/>
      <c r="I815" s="15"/>
      <c r="J815" s="14"/>
      <c r="K815" s="15"/>
      <c r="L815" s="14"/>
      <c r="M815" s="14"/>
      <c r="N815" s="14"/>
      <c r="O815" s="14"/>
      <c r="P815" s="14"/>
      <c r="Q815" s="14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3.2">
      <c r="A816" s="14"/>
      <c r="B816" s="5"/>
      <c r="C816" s="5"/>
      <c r="D816" s="14"/>
      <c r="E816" s="12"/>
      <c r="F816" s="12"/>
      <c r="G816" s="14"/>
      <c r="H816" s="14"/>
      <c r="I816" s="15"/>
      <c r="J816" s="14"/>
      <c r="K816" s="15"/>
      <c r="L816" s="14"/>
      <c r="M816" s="14"/>
      <c r="N816" s="14"/>
      <c r="O816" s="14"/>
      <c r="P816" s="14"/>
      <c r="Q816" s="14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3.2">
      <c r="A817" s="14"/>
      <c r="B817" s="5"/>
      <c r="C817" s="5"/>
      <c r="D817" s="14"/>
      <c r="E817" s="12"/>
      <c r="F817" s="12"/>
      <c r="G817" s="14"/>
      <c r="H817" s="14"/>
      <c r="I817" s="15"/>
      <c r="J817" s="14"/>
      <c r="K817" s="15"/>
      <c r="L817" s="14"/>
      <c r="M817" s="14"/>
      <c r="N817" s="14"/>
      <c r="O817" s="14"/>
      <c r="P817" s="14"/>
      <c r="Q817" s="14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3.2">
      <c r="A818" s="14"/>
      <c r="B818" s="5"/>
      <c r="C818" s="5"/>
      <c r="D818" s="14"/>
      <c r="E818" s="12"/>
      <c r="F818" s="12"/>
      <c r="G818" s="14"/>
      <c r="H818" s="14"/>
      <c r="I818" s="15"/>
      <c r="J818" s="14"/>
      <c r="K818" s="15"/>
      <c r="L818" s="14"/>
      <c r="M818" s="14"/>
      <c r="N818" s="14"/>
      <c r="O818" s="14"/>
      <c r="P818" s="14"/>
      <c r="Q818" s="14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3.2">
      <c r="A819" s="14"/>
      <c r="B819" s="5"/>
      <c r="C819" s="5"/>
      <c r="D819" s="14"/>
      <c r="E819" s="12"/>
      <c r="F819" s="12"/>
      <c r="G819" s="14"/>
      <c r="H819" s="14"/>
      <c r="I819" s="15"/>
      <c r="J819" s="14"/>
      <c r="K819" s="15"/>
      <c r="L819" s="14"/>
      <c r="M819" s="14"/>
      <c r="N819" s="14"/>
      <c r="O819" s="14"/>
      <c r="P819" s="14"/>
      <c r="Q819" s="14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3.2">
      <c r="A820" s="14"/>
      <c r="B820" s="5"/>
      <c r="C820" s="5"/>
      <c r="D820" s="14"/>
      <c r="E820" s="12"/>
      <c r="F820" s="12"/>
      <c r="G820" s="14"/>
      <c r="H820" s="14"/>
      <c r="I820" s="15"/>
      <c r="J820" s="14"/>
      <c r="K820" s="15"/>
      <c r="L820" s="14"/>
      <c r="M820" s="14"/>
      <c r="N820" s="14"/>
      <c r="O820" s="14"/>
      <c r="P820" s="14"/>
      <c r="Q820" s="14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3.2">
      <c r="A821" s="14"/>
      <c r="B821" s="5"/>
      <c r="C821" s="5"/>
      <c r="D821" s="14"/>
      <c r="E821" s="12"/>
      <c r="F821" s="12"/>
      <c r="G821" s="14"/>
      <c r="H821" s="14"/>
      <c r="I821" s="15"/>
      <c r="J821" s="14"/>
      <c r="K821" s="15"/>
      <c r="L821" s="14"/>
      <c r="M821" s="14"/>
      <c r="N821" s="14"/>
      <c r="O821" s="14"/>
      <c r="P821" s="14"/>
      <c r="Q821" s="14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3.2">
      <c r="A822" s="14"/>
      <c r="B822" s="5"/>
      <c r="C822" s="5"/>
      <c r="D822" s="14"/>
      <c r="E822" s="12"/>
      <c r="F822" s="12"/>
      <c r="G822" s="14"/>
      <c r="H822" s="14"/>
      <c r="I822" s="15"/>
      <c r="J822" s="14"/>
      <c r="K822" s="15"/>
      <c r="L822" s="14"/>
      <c r="M822" s="14"/>
      <c r="N822" s="14"/>
      <c r="O822" s="14"/>
      <c r="P822" s="14"/>
      <c r="Q822" s="14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3.2">
      <c r="A823" s="14"/>
      <c r="B823" s="5"/>
      <c r="C823" s="5"/>
      <c r="D823" s="14"/>
      <c r="E823" s="12"/>
      <c r="F823" s="12"/>
      <c r="G823" s="14"/>
      <c r="H823" s="14"/>
      <c r="I823" s="15"/>
      <c r="J823" s="14"/>
      <c r="K823" s="15"/>
      <c r="L823" s="14"/>
      <c r="M823" s="14"/>
      <c r="N823" s="14"/>
      <c r="O823" s="14"/>
      <c r="P823" s="14"/>
      <c r="Q823" s="14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3.2">
      <c r="A824" s="14"/>
      <c r="B824" s="5"/>
      <c r="C824" s="5"/>
      <c r="D824" s="14"/>
      <c r="E824" s="12"/>
      <c r="F824" s="12"/>
      <c r="G824" s="14"/>
      <c r="H824" s="14"/>
      <c r="I824" s="15"/>
      <c r="J824" s="14"/>
      <c r="K824" s="15"/>
      <c r="L824" s="14"/>
      <c r="M824" s="14"/>
      <c r="N824" s="14"/>
      <c r="O824" s="14"/>
      <c r="P824" s="14"/>
      <c r="Q824" s="14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3.2">
      <c r="A825" s="14"/>
      <c r="B825" s="5"/>
      <c r="C825" s="5"/>
      <c r="D825" s="14"/>
      <c r="E825" s="12"/>
      <c r="F825" s="12"/>
      <c r="G825" s="14"/>
      <c r="H825" s="14"/>
      <c r="I825" s="15"/>
      <c r="J825" s="14"/>
      <c r="K825" s="15"/>
      <c r="L825" s="14"/>
      <c r="M825" s="14"/>
      <c r="N825" s="14"/>
      <c r="O825" s="14"/>
      <c r="P825" s="14"/>
      <c r="Q825" s="14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3.2">
      <c r="A826" s="14"/>
      <c r="B826" s="5"/>
      <c r="C826" s="5"/>
      <c r="D826" s="14"/>
      <c r="E826" s="12"/>
      <c r="F826" s="12"/>
      <c r="G826" s="14"/>
      <c r="H826" s="14"/>
      <c r="I826" s="15"/>
      <c r="J826" s="14"/>
      <c r="K826" s="15"/>
      <c r="L826" s="14"/>
      <c r="M826" s="14"/>
      <c r="N826" s="14"/>
      <c r="O826" s="14"/>
      <c r="P826" s="14"/>
      <c r="Q826" s="14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3.2">
      <c r="A827" s="14"/>
      <c r="B827" s="5"/>
      <c r="C827" s="5"/>
      <c r="D827" s="14"/>
      <c r="E827" s="12"/>
      <c r="F827" s="12"/>
      <c r="G827" s="14"/>
      <c r="H827" s="14"/>
      <c r="I827" s="15"/>
      <c r="J827" s="14"/>
      <c r="K827" s="15"/>
      <c r="L827" s="14"/>
      <c r="M827" s="14"/>
      <c r="N827" s="14"/>
      <c r="O827" s="14"/>
      <c r="P827" s="14"/>
      <c r="Q827" s="14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3.2">
      <c r="A828" s="14"/>
      <c r="B828" s="5"/>
      <c r="C828" s="5"/>
      <c r="D828" s="14"/>
      <c r="E828" s="12"/>
      <c r="F828" s="12"/>
      <c r="G828" s="14"/>
      <c r="H828" s="14"/>
      <c r="I828" s="15"/>
      <c r="J828" s="14"/>
      <c r="K828" s="15"/>
      <c r="L828" s="14"/>
      <c r="M828" s="14"/>
      <c r="N828" s="14"/>
      <c r="O828" s="14"/>
      <c r="P828" s="14"/>
      <c r="Q828" s="14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3.2">
      <c r="A829" s="14"/>
      <c r="B829" s="5"/>
      <c r="C829" s="5"/>
      <c r="D829" s="14"/>
      <c r="E829" s="12"/>
      <c r="F829" s="12"/>
      <c r="G829" s="14"/>
      <c r="H829" s="14"/>
      <c r="I829" s="15"/>
      <c r="J829" s="14"/>
      <c r="K829" s="15"/>
      <c r="L829" s="14"/>
      <c r="M829" s="14"/>
      <c r="N829" s="14"/>
      <c r="O829" s="14"/>
      <c r="P829" s="14"/>
      <c r="Q829" s="14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3.2">
      <c r="A830" s="14"/>
      <c r="B830" s="5"/>
      <c r="C830" s="5"/>
      <c r="D830" s="14"/>
      <c r="E830" s="12"/>
      <c r="F830" s="12"/>
      <c r="G830" s="14"/>
      <c r="H830" s="14"/>
      <c r="I830" s="15"/>
      <c r="J830" s="14"/>
      <c r="K830" s="15"/>
      <c r="L830" s="14"/>
      <c r="M830" s="14"/>
      <c r="N830" s="14"/>
      <c r="O830" s="14"/>
      <c r="P830" s="14"/>
      <c r="Q830" s="14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3.2">
      <c r="A831" s="14"/>
      <c r="B831" s="5"/>
      <c r="C831" s="5"/>
      <c r="D831" s="14"/>
      <c r="E831" s="12"/>
      <c r="F831" s="12"/>
      <c r="G831" s="14"/>
      <c r="H831" s="14"/>
      <c r="I831" s="15"/>
      <c r="J831" s="14"/>
      <c r="K831" s="15"/>
      <c r="L831" s="14"/>
      <c r="M831" s="14"/>
      <c r="N831" s="14"/>
      <c r="O831" s="14"/>
      <c r="P831" s="14"/>
      <c r="Q831" s="14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3.2">
      <c r="A832" s="14"/>
      <c r="B832" s="5"/>
      <c r="C832" s="5"/>
      <c r="D832" s="14"/>
      <c r="E832" s="12"/>
      <c r="F832" s="12"/>
      <c r="G832" s="14"/>
      <c r="H832" s="14"/>
      <c r="I832" s="15"/>
      <c r="J832" s="14"/>
      <c r="K832" s="15"/>
      <c r="L832" s="14"/>
      <c r="M832" s="14"/>
      <c r="N832" s="14"/>
      <c r="O832" s="14"/>
      <c r="P832" s="14"/>
      <c r="Q832" s="14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3.2">
      <c r="A833" s="14"/>
      <c r="B833" s="5"/>
      <c r="C833" s="5"/>
      <c r="D833" s="14"/>
      <c r="E833" s="12"/>
      <c r="F833" s="12"/>
      <c r="G833" s="14"/>
      <c r="H833" s="14"/>
      <c r="I833" s="15"/>
      <c r="J833" s="14"/>
      <c r="K833" s="15"/>
      <c r="L833" s="14"/>
      <c r="M833" s="14"/>
      <c r="N833" s="14"/>
      <c r="O833" s="14"/>
      <c r="P833" s="14"/>
      <c r="Q833" s="14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3.2">
      <c r="A834" s="14"/>
      <c r="B834" s="5"/>
      <c r="C834" s="5"/>
      <c r="D834" s="14"/>
      <c r="E834" s="12"/>
      <c r="F834" s="12"/>
      <c r="G834" s="14"/>
      <c r="H834" s="14"/>
      <c r="I834" s="15"/>
      <c r="J834" s="14"/>
      <c r="K834" s="15"/>
      <c r="L834" s="14"/>
      <c r="M834" s="14"/>
      <c r="N834" s="14"/>
      <c r="O834" s="14"/>
      <c r="P834" s="14"/>
      <c r="Q834" s="14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3.2">
      <c r="A835" s="14"/>
      <c r="B835" s="5"/>
      <c r="C835" s="5"/>
      <c r="D835" s="14"/>
      <c r="E835" s="12"/>
      <c r="F835" s="12"/>
      <c r="G835" s="14"/>
      <c r="H835" s="14"/>
      <c r="I835" s="15"/>
      <c r="J835" s="14"/>
      <c r="K835" s="15"/>
      <c r="L835" s="14"/>
      <c r="M835" s="14"/>
      <c r="N835" s="14"/>
      <c r="O835" s="14"/>
      <c r="P835" s="14"/>
      <c r="Q835" s="14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3.2">
      <c r="A836" s="14"/>
      <c r="B836" s="5"/>
      <c r="C836" s="5"/>
      <c r="D836" s="14"/>
      <c r="E836" s="12"/>
      <c r="F836" s="12"/>
      <c r="G836" s="14"/>
      <c r="H836" s="14"/>
      <c r="I836" s="15"/>
      <c r="J836" s="14"/>
      <c r="K836" s="15"/>
      <c r="L836" s="14"/>
      <c r="M836" s="14"/>
      <c r="N836" s="14"/>
      <c r="O836" s="14"/>
      <c r="P836" s="14"/>
      <c r="Q836" s="14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3.2">
      <c r="A837" s="14"/>
      <c r="B837" s="5"/>
      <c r="C837" s="5"/>
      <c r="D837" s="14"/>
      <c r="E837" s="12"/>
      <c r="F837" s="12"/>
      <c r="G837" s="14"/>
      <c r="H837" s="14"/>
      <c r="I837" s="15"/>
      <c r="J837" s="14"/>
      <c r="K837" s="15"/>
      <c r="L837" s="14"/>
      <c r="M837" s="14"/>
      <c r="N837" s="14"/>
      <c r="O837" s="14"/>
      <c r="P837" s="14"/>
      <c r="Q837" s="14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3.2">
      <c r="A838" s="14"/>
      <c r="B838" s="5"/>
      <c r="C838" s="5"/>
      <c r="D838" s="14"/>
      <c r="E838" s="12"/>
      <c r="F838" s="12"/>
      <c r="G838" s="14"/>
      <c r="H838" s="14"/>
      <c r="I838" s="15"/>
      <c r="J838" s="14"/>
      <c r="K838" s="15"/>
      <c r="L838" s="14"/>
      <c r="M838" s="14"/>
      <c r="N838" s="14"/>
      <c r="O838" s="14"/>
      <c r="P838" s="14"/>
      <c r="Q838" s="14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3.2">
      <c r="A839" s="14"/>
      <c r="B839" s="5"/>
      <c r="C839" s="5"/>
      <c r="D839" s="14"/>
      <c r="E839" s="12"/>
      <c r="F839" s="12"/>
      <c r="G839" s="14"/>
      <c r="H839" s="14"/>
      <c r="I839" s="15"/>
      <c r="J839" s="14"/>
      <c r="K839" s="15"/>
      <c r="L839" s="14"/>
      <c r="M839" s="14"/>
      <c r="N839" s="14"/>
      <c r="O839" s="14"/>
      <c r="P839" s="14"/>
      <c r="Q839" s="14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3.2">
      <c r="A840" s="14"/>
      <c r="B840" s="5"/>
      <c r="C840" s="5"/>
      <c r="D840" s="14"/>
      <c r="E840" s="12"/>
      <c r="F840" s="12"/>
      <c r="G840" s="14"/>
      <c r="H840" s="14"/>
      <c r="I840" s="15"/>
      <c r="J840" s="14"/>
      <c r="K840" s="15"/>
      <c r="L840" s="14"/>
      <c r="M840" s="14"/>
      <c r="N840" s="14"/>
      <c r="O840" s="14"/>
      <c r="P840" s="14"/>
      <c r="Q840" s="14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3.2">
      <c r="A841" s="14"/>
      <c r="B841" s="5"/>
      <c r="C841" s="5"/>
      <c r="D841" s="14"/>
      <c r="E841" s="12"/>
      <c r="F841" s="12"/>
      <c r="G841" s="14"/>
      <c r="H841" s="14"/>
      <c r="I841" s="15"/>
      <c r="J841" s="14"/>
      <c r="K841" s="15"/>
      <c r="L841" s="14"/>
      <c r="M841" s="14"/>
      <c r="N841" s="14"/>
      <c r="O841" s="14"/>
      <c r="P841" s="14"/>
      <c r="Q841" s="14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3.2">
      <c r="A842" s="14"/>
      <c r="B842" s="5"/>
      <c r="C842" s="5"/>
      <c r="D842" s="14"/>
      <c r="E842" s="12"/>
      <c r="F842" s="12"/>
      <c r="G842" s="14"/>
      <c r="H842" s="14"/>
      <c r="I842" s="15"/>
      <c r="J842" s="14"/>
      <c r="K842" s="15"/>
      <c r="L842" s="14"/>
      <c r="M842" s="14"/>
      <c r="N842" s="14"/>
      <c r="O842" s="14"/>
      <c r="P842" s="14"/>
      <c r="Q842" s="14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3.2">
      <c r="A843" s="14"/>
      <c r="B843" s="5"/>
      <c r="C843" s="5"/>
      <c r="D843" s="14"/>
      <c r="E843" s="12"/>
      <c r="F843" s="12"/>
      <c r="G843" s="14"/>
      <c r="H843" s="14"/>
      <c r="I843" s="15"/>
      <c r="J843" s="14"/>
      <c r="K843" s="15"/>
      <c r="L843" s="14"/>
      <c r="M843" s="14"/>
      <c r="N843" s="14"/>
      <c r="O843" s="14"/>
      <c r="P843" s="14"/>
      <c r="Q843" s="14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3.2">
      <c r="A844" s="14"/>
      <c r="B844" s="5"/>
      <c r="C844" s="5"/>
      <c r="D844" s="14"/>
      <c r="E844" s="12"/>
      <c r="F844" s="12"/>
      <c r="G844" s="14"/>
      <c r="H844" s="14"/>
      <c r="I844" s="15"/>
      <c r="J844" s="14"/>
      <c r="K844" s="15"/>
      <c r="L844" s="14"/>
      <c r="M844" s="14"/>
      <c r="N844" s="14"/>
      <c r="O844" s="14"/>
      <c r="P844" s="14"/>
      <c r="Q844" s="14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3.2">
      <c r="A845" s="14"/>
      <c r="B845" s="5"/>
      <c r="C845" s="5"/>
      <c r="D845" s="14"/>
      <c r="E845" s="12"/>
      <c r="F845" s="12"/>
      <c r="G845" s="14"/>
      <c r="H845" s="14"/>
      <c r="I845" s="15"/>
      <c r="J845" s="14"/>
      <c r="K845" s="15"/>
      <c r="L845" s="14"/>
      <c r="M845" s="14"/>
      <c r="N845" s="14"/>
      <c r="O845" s="14"/>
      <c r="P845" s="14"/>
      <c r="Q845" s="14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3.2">
      <c r="A846" s="14"/>
      <c r="B846" s="5"/>
      <c r="C846" s="5"/>
      <c r="D846" s="14"/>
      <c r="E846" s="12"/>
      <c r="F846" s="12"/>
      <c r="G846" s="14"/>
      <c r="H846" s="14"/>
      <c r="I846" s="15"/>
      <c r="J846" s="14"/>
      <c r="K846" s="15"/>
      <c r="L846" s="14"/>
      <c r="M846" s="14"/>
      <c r="N846" s="14"/>
      <c r="O846" s="14"/>
      <c r="P846" s="14"/>
      <c r="Q846" s="14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3.2">
      <c r="A847" s="14"/>
      <c r="B847" s="5"/>
      <c r="C847" s="5"/>
      <c r="D847" s="14"/>
      <c r="E847" s="12"/>
      <c r="F847" s="12"/>
      <c r="G847" s="14"/>
      <c r="H847" s="14"/>
      <c r="I847" s="15"/>
      <c r="J847" s="14"/>
      <c r="K847" s="15"/>
      <c r="L847" s="14"/>
      <c r="M847" s="14"/>
      <c r="N847" s="14"/>
      <c r="O847" s="14"/>
      <c r="P847" s="14"/>
      <c r="Q847" s="14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3.2">
      <c r="A848" s="14"/>
      <c r="B848" s="5"/>
      <c r="C848" s="5"/>
      <c r="D848" s="14"/>
      <c r="E848" s="12"/>
      <c r="F848" s="12"/>
      <c r="G848" s="14"/>
      <c r="H848" s="14"/>
      <c r="I848" s="15"/>
      <c r="J848" s="14"/>
      <c r="K848" s="15"/>
      <c r="L848" s="14"/>
      <c r="M848" s="14"/>
      <c r="N848" s="14"/>
      <c r="O848" s="14"/>
      <c r="P848" s="14"/>
      <c r="Q848" s="14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3.2">
      <c r="A849" s="14"/>
      <c r="B849" s="5"/>
      <c r="C849" s="5"/>
      <c r="D849" s="14"/>
      <c r="E849" s="12"/>
      <c r="F849" s="12"/>
      <c r="G849" s="14"/>
      <c r="H849" s="14"/>
      <c r="I849" s="15"/>
      <c r="J849" s="14"/>
      <c r="K849" s="15"/>
      <c r="L849" s="14"/>
      <c r="M849" s="14"/>
      <c r="N849" s="14"/>
      <c r="O849" s="14"/>
      <c r="P849" s="14"/>
      <c r="Q849" s="14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3.2">
      <c r="A850" s="14"/>
      <c r="B850" s="5"/>
      <c r="C850" s="5"/>
      <c r="D850" s="14"/>
      <c r="E850" s="12"/>
      <c r="F850" s="12"/>
      <c r="G850" s="14"/>
      <c r="H850" s="14"/>
      <c r="I850" s="15"/>
      <c r="J850" s="14"/>
      <c r="K850" s="15"/>
      <c r="L850" s="14"/>
      <c r="M850" s="14"/>
      <c r="N850" s="14"/>
      <c r="O850" s="14"/>
      <c r="P850" s="14"/>
      <c r="Q850" s="14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3.2">
      <c r="A851" s="14"/>
      <c r="B851" s="5"/>
      <c r="C851" s="5"/>
      <c r="D851" s="14"/>
      <c r="E851" s="12"/>
      <c r="F851" s="12"/>
      <c r="G851" s="14"/>
      <c r="H851" s="14"/>
      <c r="I851" s="15"/>
      <c r="J851" s="14"/>
      <c r="K851" s="15"/>
      <c r="L851" s="14"/>
      <c r="M851" s="14"/>
      <c r="N851" s="14"/>
      <c r="O851" s="14"/>
      <c r="P851" s="14"/>
      <c r="Q851" s="14"/>
      <c r="R851" s="7"/>
      <c r="S851" s="7"/>
      <c r="T851" s="73">
        <f>I852-I856</f>
        <v>25.400000000000006</v>
      </c>
      <c r="U851" s="7"/>
      <c r="V851" s="7">
        <f>SUM(U851:U852)</f>
        <v>1322.576</v>
      </c>
      <c r="W851" s="7"/>
      <c r="X851" s="7"/>
      <c r="Y851" s="7"/>
      <c r="Z851" s="7"/>
      <c r="AA851" s="7"/>
    </row>
    <row r="852" spans="1:27" ht="26.4">
      <c r="A852" s="169" t="s">
        <v>128</v>
      </c>
      <c r="B852" s="5">
        <v>0</v>
      </c>
      <c r="C852" s="5">
        <v>0</v>
      </c>
      <c r="D852" s="9">
        <v>42992</v>
      </c>
      <c r="E852" s="10">
        <v>358.7</v>
      </c>
      <c r="F852" s="11" t="s">
        <v>21</v>
      </c>
      <c r="G852" s="12">
        <f>AVERAGE(F853,F854,F855,F860)</f>
        <v>4.7666666666666657</v>
      </c>
      <c r="H852" s="14"/>
      <c r="I852" s="13">
        <v>120.2</v>
      </c>
      <c r="J852" s="14"/>
      <c r="K852" s="13">
        <v>18.899999999999999</v>
      </c>
      <c r="L852" s="19">
        <f t="shared" ref="L852:L870" si="219">D852</f>
        <v>42992</v>
      </c>
      <c r="M852" s="14"/>
      <c r="N852" s="14"/>
      <c r="O852" s="14"/>
      <c r="P852" s="14"/>
      <c r="Q852" s="14">
        <f>SUM(P852:P864)</f>
        <v>391.49999999999994</v>
      </c>
      <c r="R852" s="7"/>
      <c r="S852" s="7"/>
      <c r="T852" s="73">
        <f>I857-I864</f>
        <v>38.300000000000004</v>
      </c>
      <c r="U852" s="7">
        <f>SUM(T852:T857)*5.24</f>
        <v>1322.576</v>
      </c>
      <c r="V852" s="7"/>
      <c r="W852" s="7"/>
      <c r="X852" s="7"/>
      <c r="Y852" s="7"/>
      <c r="Z852" s="7"/>
      <c r="AA852" s="7"/>
    </row>
    <row r="853" spans="1:27" ht="13.2">
      <c r="A853" s="5" t="s">
        <v>30</v>
      </c>
      <c r="B853" s="5">
        <v>0</v>
      </c>
      <c r="C853" s="5">
        <v>0</v>
      </c>
      <c r="D853" s="9">
        <v>42993</v>
      </c>
      <c r="E853" s="10">
        <v>352.4</v>
      </c>
      <c r="F853" s="12">
        <f>E852-E853</f>
        <v>6.3000000000000114</v>
      </c>
      <c r="G853" s="14"/>
      <c r="H853" s="14"/>
      <c r="I853" s="13">
        <v>116.1</v>
      </c>
      <c r="J853" s="16">
        <f t="shared" ref="J853:J856" si="220">(I852-I853)/(D853-D852)</f>
        <v>4.1000000000000085</v>
      </c>
      <c r="K853" s="13">
        <v>18.5</v>
      </c>
      <c r="L853" s="19">
        <f t="shared" si="219"/>
        <v>42993</v>
      </c>
      <c r="M853" s="14"/>
      <c r="N853" s="14"/>
      <c r="O853" s="14"/>
      <c r="P853" s="12">
        <f>E857-E860</f>
        <v>25.800000000000011</v>
      </c>
      <c r="Q853" s="14"/>
      <c r="R853" s="7"/>
      <c r="S853" s="7"/>
      <c r="T853" s="73">
        <f>I866-I871</f>
        <v>32.599999999999994</v>
      </c>
      <c r="U853" s="7"/>
      <c r="V853" s="7"/>
      <c r="W853" s="7"/>
      <c r="X853" s="7"/>
      <c r="Y853" s="7"/>
      <c r="Z853" s="7"/>
      <c r="AA853" s="7"/>
    </row>
    <row r="854" spans="1:27" ht="13.2">
      <c r="A854" s="5" t="s">
        <v>438</v>
      </c>
      <c r="B854" s="5">
        <v>0</v>
      </c>
      <c r="C854" s="5">
        <v>0</v>
      </c>
      <c r="D854" s="9">
        <v>42996</v>
      </c>
      <c r="E854" s="10">
        <v>338.7</v>
      </c>
      <c r="F854" s="12">
        <f t="shared" ref="F854:F856" si="221">(E853-E854)/(D854-D853)</f>
        <v>4.5666666666666629</v>
      </c>
      <c r="G854" s="14"/>
      <c r="H854" s="14"/>
      <c r="I854" s="13">
        <v>106</v>
      </c>
      <c r="J854" s="16">
        <f t="shared" si="220"/>
        <v>3.3666666666666649</v>
      </c>
      <c r="K854" s="13">
        <v>19</v>
      </c>
      <c r="L854" s="19">
        <f t="shared" si="219"/>
        <v>42996</v>
      </c>
      <c r="M854" s="14"/>
      <c r="N854" s="14"/>
      <c r="O854" s="14"/>
      <c r="P854" s="12">
        <f>E861-E864</f>
        <v>41.899999999999977</v>
      </c>
      <c r="Q854" s="14"/>
      <c r="R854" s="7"/>
      <c r="S854" s="7"/>
      <c r="T854" s="73">
        <f>64.2-I879</f>
        <v>45</v>
      </c>
      <c r="U854" s="7"/>
      <c r="V854" s="7"/>
      <c r="W854" s="7"/>
      <c r="X854" s="7"/>
      <c r="Y854" s="7"/>
      <c r="Z854" s="7"/>
      <c r="AA854" s="7"/>
    </row>
    <row r="855" spans="1:27" ht="13.2">
      <c r="A855" s="14"/>
      <c r="B855" s="5">
        <v>0</v>
      </c>
      <c r="C855" s="5">
        <v>0</v>
      </c>
      <c r="D855" s="9">
        <v>42998</v>
      </c>
      <c r="E855" s="10">
        <v>329.3</v>
      </c>
      <c r="F855" s="12">
        <f t="shared" si="221"/>
        <v>4.6999999999999886</v>
      </c>
      <c r="G855" s="14"/>
      <c r="H855" s="14"/>
      <c r="I855" s="13">
        <v>98.4</v>
      </c>
      <c r="J855" s="16">
        <f t="shared" si="220"/>
        <v>3.7999999999999972</v>
      </c>
      <c r="K855" s="13">
        <v>19.7</v>
      </c>
      <c r="L855" s="19">
        <f t="shared" si="219"/>
        <v>42998</v>
      </c>
      <c r="M855" s="14"/>
      <c r="N855" s="14"/>
      <c r="O855" s="14"/>
      <c r="P855" s="12">
        <f>E865-E868</f>
        <v>29.900000000000034</v>
      </c>
      <c r="Q855" s="14"/>
      <c r="R855" s="7"/>
      <c r="S855" s="7"/>
      <c r="T855" s="73">
        <f>62.7-I883</f>
        <v>22.1</v>
      </c>
      <c r="U855" s="7"/>
      <c r="V855" s="7"/>
      <c r="W855" s="7"/>
      <c r="X855" s="7"/>
      <c r="Y855" s="7"/>
      <c r="Z855" s="7"/>
      <c r="AA855" s="7"/>
    </row>
    <row r="856" spans="1:27" ht="13.2">
      <c r="A856" s="14"/>
      <c r="B856" s="5">
        <v>0</v>
      </c>
      <c r="C856" s="5">
        <v>0</v>
      </c>
      <c r="D856" s="17">
        <v>42999</v>
      </c>
      <c r="E856" s="10">
        <v>322.39999999999998</v>
      </c>
      <c r="F856" s="12">
        <f t="shared" si="221"/>
        <v>6.9000000000000341</v>
      </c>
      <c r="G856" s="14"/>
      <c r="H856" s="14"/>
      <c r="I856" s="13">
        <v>94.8</v>
      </c>
      <c r="J856" s="16">
        <f t="shared" si="220"/>
        <v>3.6000000000000085</v>
      </c>
      <c r="K856" s="13">
        <v>20.2</v>
      </c>
      <c r="L856" s="19">
        <f t="shared" si="219"/>
        <v>42999</v>
      </c>
      <c r="M856" s="14"/>
      <c r="N856" s="14"/>
      <c r="O856" s="14"/>
      <c r="P856" s="12">
        <f>E869-E872</f>
        <v>39.600000000000023</v>
      </c>
      <c r="Q856" s="14"/>
      <c r="R856" s="7"/>
      <c r="S856" s="7"/>
      <c r="T856" s="73">
        <f>103.6-I897</f>
        <v>68.399999999999991</v>
      </c>
      <c r="U856" s="7"/>
      <c r="V856" s="7"/>
      <c r="W856" s="7"/>
      <c r="X856" s="7"/>
      <c r="Y856" s="7"/>
      <c r="Z856" s="7"/>
      <c r="AA856" s="7"/>
    </row>
    <row r="857" spans="1:27" ht="13.2">
      <c r="A857" s="14"/>
      <c r="B857" s="5">
        <v>0.5</v>
      </c>
      <c r="C857" s="5">
        <v>0</v>
      </c>
      <c r="D857" s="17">
        <v>42999</v>
      </c>
      <c r="E857" s="10">
        <v>401.2</v>
      </c>
      <c r="F857" s="12"/>
      <c r="G857" s="14"/>
      <c r="H857" s="14"/>
      <c r="I857" s="13">
        <v>64.7</v>
      </c>
      <c r="J857" s="16"/>
      <c r="K857" s="13"/>
      <c r="L857" s="19">
        <f t="shared" si="219"/>
        <v>42999</v>
      </c>
      <c r="M857" s="14"/>
      <c r="N857" s="14"/>
      <c r="O857" s="14"/>
      <c r="P857" s="12">
        <f>E873-E876</f>
        <v>32.199999999999989</v>
      </c>
      <c r="Q857" s="14"/>
      <c r="R857" s="7"/>
      <c r="S857" s="7"/>
      <c r="T857" s="73">
        <f>83.9-I905</f>
        <v>46.000000000000007</v>
      </c>
      <c r="U857" s="7"/>
      <c r="V857" s="7"/>
      <c r="W857" s="7"/>
      <c r="X857" s="7"/>
      <c r="Y857" s="7"/>
      <c r="Z857" s="7"/>
      <c r="AA857" s="7"/>
    </row>
    <row r="858" spans="1:27" ht="13.2">
      <c r="A858" s="14"/>
      <c r="B858" s="5">
        <v>0.5</v>
      </c>
      <c r="C858" s="5">
        <f t="shared" ref="C858:C923" si="222">D858-$D$7</f>
        <v>1</v>
      </c>
      <c r="D858" s="17">
        <v>43000</v>
      </c>
      <c r="E858" s="10">
        <v>398</v>
      </c>
      <c r="F858" s="12">
        <f t="shared" ref="F858:F860" si="223">(E857-E858)/(D858-D857)</f>
        <v>3.1999999999999886</v>
      </c>
      <c r="G858" s="14"/>
      <c r="H858" s="14"/>
      <c r="I858" s="13">
        <v>61</v>
      </c>
      <c r="J858" s="16">
        <f t="shared" ref="J858:J860" si="224">(I857-I858)/(D858-D857)</f>
        <v>3.7000000000000028</v>
      </c>
      <c r="K858" s="13">
        <v>20.399999999999999</v>
      </c>
      <c r="L858" s="19">
        <f t="shared" si="219"/>
        <v>43000</v>
      </c>
      <c r="M858" s="14"/>
      <c r="N858" s="14"/>
      <c r="O858" s="14"/>
      <c r="P858" s="12">
        <f>E877-E880</f>
        <v>34.899999999999977</v>
      </c>
      <c r="Q858" s="14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3.2">
      <c r="A859" s="14"/>
      <c r="B859" s="5">
        <v>0.5</v>
      </c>
      <c r="C859" s="5">
        <f t="shared" si="222"/>
        <v>4</v>
      </c>
      <c r="D859" s="9">
        <v>43003</v>
      </c>
      <c r="E859" s="10">
        <v>382.4</v>
      </c>
      <c r="F859" s="12">
        <f t="shared" si="223"/>
        <v>5.2000000000000073</v>
      </c>
      <c r="G859" s="14"/>
      <c r="H859" s="14"/>
      <c r="I859" s="13">
        <v>51.6</v>
      </c>
      <c r="J859" s="16">
        <f t="shared" si="224"/>
        <v>3.1333333333333329</v>
      </c>
      <c r="K859" s="13">
        <v>22.5</v>
      </c>
      <c r="L859" s="19">
        <f t="shared" si="219"/>
        <v>43003</v>
      </c>
      <c r="M859" s="14"/>
      <c r="N859" s="14"/>
      <c r="O859" s="14"/>
      <c r="P859" s="12">
        <f>E881-E884</f>
        <v>30.199999999999989</v>
      </c>
      <c r="Q859" s="14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3.2">
      <c r="A860" s="14"/>
      <c r="B860" s="5">
        <v>0.5</v>
      </c>
      <c r="C860" s="5">
        <f t="shared" si="222"/>
        <v>6</v>
      </c>
      <c r="D860" s="9">
        <v>43005</v>
      </c>
      <c r="E860" s="10">
        <v>375.4</v>
      </c>
      <c r="F860" s="12">
        <f t="shared" si="223"/>
        <v>3.5</v>
      </c>
      <c r="G860" s="14"/>
      <c r="H860" s="14"/>
      <c r="I860" s="13">
        <v>46.7</v>
      </c>
      <c r="J860" s="16">
        <f t="shared" si="224"/>
        <v>2.4499999999999993</v>
      </c>
      <c r="K860" s="13">
        <v>22.4</v>
      </c>
      <c r="L860" s="19">
        <f t="shared" si="219"/>
        <v>43005</v>
      </c>
      <c r="M860" s="14"/>
      <c r="N860" s="14"/>
      <c r="O860" s="14"/>
      <c r="P860" s="12">
        <f>E885-E888</f>
        <v>37.300000000000011</v>
      </c>
      <c r="Q860" s="14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3.2">
      <c r="A861" s="14"/>
      <c r="B861" s="170">
        <v>1</v>
      </c>
      <c r="C861" s="5">
        <f t="shared" si="222"/>
        <v>6</v>
      </c>
      <c r="D861" s="9">
        <v>43005</v>
      </c>
      <c r="E861" s="10">
        <v>341</v>
      </c>
      <c r="F861" s="11"/>
      <c r="H861" s="14"/>
      <c r="I861" s="13" t="s">
        <v>318</v>
      </c>
      <c r="J861" s="16"/>
      <c r="K861" s="13"/>
      <c r="L861" s="19">
        <f t="shared" si="219"/>
        <v>43005</v>
      </c>
      <c r="M861" s="14"/>
      <c r="N861" s="14"/>
      <c r="O861" s="14"/>
      <c r="P861" s="12">
        <f>E889-E891</f>
        <v>22.599999999999966</v>
      </c>
      <c r="Q861" s="14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3.2">
      <c r="A862" s="14"/>
      <c r="B862" s="5">
        <v>1</v>
      </c>
      <c r="C862" s="5">
        <f t="shared" si="222"/>
        <v>8</v>
      </c>
      <c r="D862" s="9">
        <v>43007</v>
      </c>
      <c r="E862" s="10">
        <v>329.4</v>
      </c>
      <c r="F862" s="12">
        <f t="shared" ref="F862:F864" si="225">(E861-E862)/(D862-D861)</f>
        <v>5.8000000000000114</v>
      </c>
      <c r="G862" s="14"/>
      <c r="H862" s="14"/>
      <c r="I862" s="13">
        <v>40.799999999999997</v>
      </c>
      <c r="J862" s="16">
        <f>(I860-I862)/(D862-D860)</f>
        <v>2.9500000000000028</v>
      </c>
      <c r="K862" s="13">
        <v>23.5</v>
      </c>
      <c r="L862" s="19">
        <f t="shared" si="219"/>
        <v>43007</v>
      </c>
      <c r="M862" s="14"/>
      <c r="N862" s="14"/>
      <c r="O862" s="14"/>
      <c r="P862" s="12">
        <f>E892-E897</f>
        <v>41.5</v>
      </c>
      <c r="Q862" s="14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3.2">
      <c r="A863" s="14"/>
      <c r="B863" s="5">
        <v>1</v>
      </c>
      <c r="C863" s="5">
        <f t="shared" si="222"/>
        <v>11</v>
      </c>
      <c r="D863" s="19">
        <v>43010</v>
      </c>
      <c r="E863" s="11">
        <v>314.39999999999998</v>
      </c>
      <c r="F863" s="12">
        <f t="shared" si="225"/>
        <v>5</v>
      </c>
      <c r="G863" s="14"/>
      <c r="H863" s="14"/>
      <c r="I863" s="13">
        <v>32.9</v>
      </c>
      <c r="J863" s="16">
        <f t="shared" ref="J863:J864" si="226">(I862-I863)/(D863-D862)</f>
        <v>2.6333333333333329</v>
      </c>
      <c r="K863" s="13">
        <v>24.3</v>
      </c>
      <c r="L863" s="19">
        <f t="shared" si="219"/>
        <v>43010</v>
      </c>
      <c r="M863" s="14"/>
      <c r="N863" s="14"/>
      <c r="O863" s="14"/>
      <c r="P863" s="12">
        <f>E898-E901</f>
        <v>28.199999999999989</v>
      </c>
      <c r="Q863" s="14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3.2">
      <c r="A864" s="14"/>
      <c r="B864" s="5">
        <v>1</v>
      </c>
      <c r="C864" s="5">
        <f t="shared" si="222"/>
        <v>13</v>
      </c>
      <c r="D864" s="19">
        <v>43012</v>
      </c>
      <c r="E864" s="11">
        <v>299.10000000000002</v>
      </c>
      <c r="F864" s="12">
        <f t="shared" si="225"/>
        <v>7.6499999999999773</v>
      </c>
      <c r="G864" s="14"/>
      <c r="H864" s="14"/>
      <c r="I864" s="13">
        <v>26.4</v>
      </c>
      <c r="J864" s="16">
        <f t="shared" si="226"/>
        <v>3.25</v>
      </c>
      <c r="K864" s="13">
        <v>25.3</v>
      </c>
      <c r="L864" s="19">
        <f t="shared" si="219"/>
        <v>43012</v>
      </c>
      <c r="M864" s="14"/>
      <c r="N864" s="14"/>
      <c r="O864" s="14"/>
      <c r="P864" s="12">
        <f>E902-E905</f>
        <v>27.399999999999977</v>
      </c>
      <c r="Q864" s="14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3.2">
      <c r="A865" s="14"/>
      <c r="B865" s="5">
        <v>2</v>
      </c>
      <c r="C865" s="5">
        <f t="shared" si="222"/>
        <v>14</v>
      </c>
      <c r="D865" s="20">
        <v>43013</v>
      </c>
      <c r="E865" s="11">
        <v>368.6</v>
      </c>
      <c r="F865" s="11"/>
      <c r="G865" s="14"/>
      <c r="H865" s="14"/>
      <c r="I865" s="13" t="s">
        <v>24</v>
      </c>
      <c r="J865" s="16"/>
      <c r="K865" s="13"/>
      <c r="L865" s="19">
        <f t="shared" si="219"/>
        <v>43013</v>
      </c>
      <c r="M865" s="14"/>
      <c r="N865" s="14"/>
      <c r="O865" s="14"/>
      <c r="P865" s="14"/>
      <c r="Q865" s="14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3.2">
      <c r="A866" s="14"/>
      <c r="B866" s="5">
        <v>2</v>
      </c>
      <c r="C866" s="5">
        <f t="shared" si="222"/>
        <v>15</v>
      </c>
      <c r="D866" s="20">
        <v>43014</v>
      </c>
      <c r="E866" s="11">
        <v>362.9</v>
      </c>
      <c r="F866" s="12">
        <f t="shared" ref="F866:F868" si="227">(E865-E866)/(D866-D865)</f>
        <v>5.7000000000000455</v>
      </c>
      <c r="G866" s="14"/>
      <c r="H866" s="14"/>
      <c r="I866" s="13">
        <v>64.8</v>
      </c>
      <c r="J866" s="16">
        <f>(70.4-I866)/(D866-D864)</f>
        <v>2.8000000000000043</v>
      </c>
      <c r="K866" s="13">
        <v>25.1</v>
      </c>
      <c r="L866" s="19">
        <f t="shared" si="219"/>
        <v>43014</v>
      </c>
      <c r="M866" s="14"/>
      <c r="N866" s="14"/>
      <c r="O866" s="14"/>
      <c r="P866" s="14"/>
      <c r="Q866" s="14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3.2">
      <c r="A867" s="14"/>
      <c r="B867" s="5">
        <v>2</v>
      </c>
      <c r="C867" s="5">
        <f t="shared" si="222"/>
        <v>18</v>
      </c>
      <c r="D867" s="20">
        <v>43017</v>
      </c>
      <c r="E867" s="11">
        <v>349.5</v>
      </c>
      <c r="F867" s="12">
        <f t="shared" si="227"/>
        <v>4.4666666666666588</v>
      </c>
      <c r="G867" s="14"/>
      <c r="H867" s="14"/>
      <c r="I867" s="13">
        <v>54.4</v>
      </c>
      <c r="J867" s="16">
        <f t="shared" ref="J867:J868" si="228">(I866-I867)/(D867-D866)</f>
        <v>3.4666666666666663</v>
      </c>
      <c r="K867" s="13">
        <v>26.1</v>
      </c>
      <c r="L867" s="19">
        <f t="shared" si="219"/>
        <v>43017</v>
      </c>
      <c r="M867" s="14"/>
      <c r="N867" s="14"/>
      <c r="O867" s="14"/>
      <c r="P867" s="14"/>
      <c r="Q867" s="14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3.2">
      <c r="A868" s="14"/>
      <c r="B868" s="5">
        <v>2</v>
      </c>
      <c r="C868" s="5">
        <f t="shared" si="222"/>
        <v>20</v>
      </c>
      <c r="D868" s="20">
        <v>43019</v>
      </c>
      <c r="E868" s="11">
        <v>338.7</v>
      </c>
      <c r="F868" s="12">
        <f t="shared" si="227"/>
        <v>5.4000000000000057</v>
      </c>
      <c r="G868" s="14"/>
      <c r="H868" s="14"/>
      <c r="I868" s="13">
        <v>48.1</v>
      </c>
      <c r="J868" s="16">
        <f t="shared" si="228"/>
        <v>3.1499999999999986</v>
      </c>
      <c r="K868" s="13">
        <v>26.8</v>
      </c>
      <c r="L868" s="19">
        <f t="shared" si="219"/>
        <v>43019</v>
      </c>
      <c r="M868" s="14"/>
      <c r="N868" s="14"/>
      <c r="O868" s="14"/>
      <c r="P868" s="14"/>
      <c r="Q868" s="14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3.2">
      <c r="A869" s="14"/>
      <c r="B869" s="5">
        <v>3</v>
      </c>
      <c r="C869" s="5">
        <f t="shared" si="222"/>
        <v>21</v>
      </c>
      <c r="D869" s="20">
        <v>43020</v>
      </c>
      <c r="E869" s="11">
        <v>349</v>
      </c>
      <c r="F869" s="12"/>
      <c r="G869" s="14"/>
      <c r="H869" s="14"/>
      <c r="I869" s="13" t="s">
        <v>24</v>
      </c>
      <c r="J869" s="14"/>
      <c r="K869" s="14"/>
      <c r="L869" s="19">
        <f t="shared" si="219"/>
        <v>43020</v>
      </c>
      <c r="M869" s="14"/>
      <c r="N869" s="14"/>
      <c r="O869" s="14"/>
      <c r="P869" s="14"/>
      <c r="Q869" s="14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3.2">
      <c r="A870" s="14"/>
      <c r="B870" s="5">
        <v>3</v>
      </c>
      <c r="C870" s="5">
        <f t="shared" si="222"/>
        <v>22</v>
      </c>
      <c r="D870" s="20">
        <f>D868+2</f>
        <v>43021</v>
      </c>
      <c r="E870" s="11">
        <v>341.4</v>
      </c>
      <c r="F870" s="12">
        <f t="shared" ref="F870:F872" si="229">(E869-E870)/(D870-D869)</f>
        <v>7.6000000000000227</v>
      </c>
      <c r="G870" s="12">
        <f>AVERAGE(F858:F905)</f>
        <v>5.5615740740740751</v>
      </c>
      <c r="H870" s="14"/>
      <c r="I870" s="13">
        <v>41.6</v>
      </c>
      <c r="J870" s="14">
        <f>(90.5-I870)/(D870-D868)</f>
        <v>24.45</v>
      </c>
      <c r="K870" s="13">
        <v>27.5</v>
      </c>
      <c r="L870" s="19">
        <f t="shared" si="219"/>
        <v>43021</v>
      </c>
      <c r="M870" s="14"/>
      <c r="N870" s="14"/>
      <c r="O870" s="14"/>
      <c r="P870" s="14"/>
      <c r="Q870" s="14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3.2">
      <c r="A871" s="14"/>
      <c r="B871" s="5">
        <v>3</v>
      </c>
      <c r="C871" s="5">
        <f t="shared" si="222"/>
        <v>25</v>
      </c>
      <c r="D871" s="20">
        <f>D870+3</f>
        <v>43024</v>
      </c>
      <c r="E871" s="11">
        <v>321.8</v>
      </c>
      <c r="F871" s="12">
        <f t="shared" si="229"/>
        <v>6.5333333333333217</v>
      </c>
      <c r="G871" s="14"/>
      <c r="H871" s="14"/>
      <c r="I871" s="5">
        <v>32.200000000000003</v>
      </c>
      <c r="J871" s="14"/>
      <c r="K871" s="13">
        <v>28.7</v>
      </c>
      <c r="L871" s="14"/>
      <c r="M871" s="14"/>
      <c r="N871" s="14"/>
      <c r="O871" s="14"/>
      <c r="P871" s="14"/>
      <c r="Q871" s="14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3.2">
      <c r="A872" s="14"/>
      <c r="B872" s="5">
        <v>3</v>
      </c>
      <c r="C872" s="5">
        <f t="shared" si="222"/>
        <v>27</v>
      </c>
      <c r="D872" s="20">
        <f>D871+2</f>
        <v>43026</v>
      </c>
      <c r="E872" s="11">
        <v>309.39999999999998</v>
      </c>
      <c r="F872" s="12">
        <f t="shared" si="229"/>
        <v>6.2000000000000171</v>
      </c>
      <c r="G872" s="14"/>
      <c r="H872" s="14"/>
      <c r="I872" s="13">
        <v>57</v>
      </c>
      <c r="J872" s="14">
        <f>(64.2-I872)/(D872-D871)</f>
        <v>3.6000000000000014</v>
      </c>
      <c r="K872" s="13">
        <v>29.6</v>
      </c>
      <c r="L872" s="14"/>
      <c r="M872" s="14"/>
      <c r="N872" s="14"/>
      <c r="O872" s="14"/>
      <c r="P872" s="14"/>
      <c r="Q872" s="14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3.2">
      <c r="A873" s="14"/>
      <c r="B873" s="5">
        <v>4</v>
      </c>
      <c r="C873" s="5">
        <f t="shared" si="222"/>
        <v>28</v>
      </c>
      <c r="D873" s="20">
        <v>43027</v>
      </c>
      <c r="E873" s="11">
        <v>386.4</v>
      </c>
      <c r="F873" s="12"/>
      <c r="G873" s="14"/>
      <c r="H873" s="14"/>
      <c r="I873" s="15"/>
      <c r="J873" s="14"/>
      <c r="K873" s="15"/>
      <c r="L873" s="14"/>
      <c r="M873" s="14"/>
      <c r="N873" s="14"/>
      <c r="O873" s="14"/>
      <c r="P873" s="14"/>
      <c r="Q873" s="14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3.2">
      <c r="A874" s="14"/>
      <c r="B874" s="5">
        <v>4</v>
      </c>
      <c r="C874" s="5">
        <f t="shared" si="222"/>
        <v>29</v>
      </c>
      <c r="D874" s="20">
        <f>D872+2</f>
        <v>43028</v>
      </c>
      <c r="E874" s="11">
        <v>377.7</v>
      </c>
      <c r="F874" s="12">
        <f t="shared" ref="F874:F876" si="230">(E873-E874)/(D874-D873)</f>
        <v>8.6999999999999886</v>
      </c>
      <c r="G874" s="14"/>
      <c r="H874" s="14"/>
      <c r="I874" s="13">
        <v>50.9</v>
      </c>
      <c r="J874" s="15">
        <f>(I872-I874)/(D874-D872)</f>
        <v>3.0500000000000007</v>
      </c>
      <c r="K874" s="13">
        <v>29.6</v>
      </c>
      <c r="L874" s="14"/>
      <c r="M874" s="14"/>
      <c r="N874" s="14"/>
      <c r="O874" s="14"/>
      <c r="P874" s="14"/>
      <c r="Q874" s="14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3.2">
      <c r="A875" s="14"/>
      <c r="B875" s="5">
        <v>4</v>
      </c>
      <c r="C875" s="5">
        <f t="shared" si="222"/>
        <v>32</v>
      </c>
      <c r="D875" s="20">
        <v>43031</v>
      </c>
      <c r="E875" s="11">
        <v>363.2</v>
      </c>
      <c r="F875" s="12">
        <f t="shared" si="230"/>
        <v>4.833333333333333</v>
      </c>
      <c r="G875" s="14"/>
      <c r="H875" s="14"/>
      <c r="I875" s="13">
        <v>40.299999999999997</v>
      </c>
      <c r="J875" s="15">
        <f t="shared" ref="J875:J876" si="231">(I874-I875)/(D875-D874)</f>
        <v>3.5333333333333337</v>
      </c>
      <c r="K875" s="13">
        <v>31.8</v>
      </c>
      <c r="L875" s="14"/>
      <c r="M875" s="14"/>
      <c r="N875" s="14"/>
      <c r="O875" s="14"/>
      <c r="P875" s="14"/>
      <c r="Q875" s="14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3.2">
      <c r="A876" s="14"/>
      <c r="B876" s="5">
        <v>4</v>
      </c>
      <c r="C876" s="5">
        <f t="shared" si="222"/>
        <v>34</v>
      </c>
      <c r="D876" s="20">
        <v>43033</v>
      </c>
      <c r="E876" s="11">
        <v>354.2</v>
      </c>
      <c r="F876" s="12">
        <f t="shared" si="230"/>
        <v>4.5</v>
      </c>
      <c r="G876" s="14"/>
      <c r="H876" s="14"/>
      <c r="I876" s="13">
        <v>34</v>
      </c>
      <c r="J876" s="15">
        <f t="shared" si="231"/>
        <v>3.1499999999999986</v>
      </c>
      <c r="K876" s="13">
        <v>31.8</v>
      </c>
      <c r="L876" s="14"/>
      <c r="M876" s="14"/>
      <c r="N876" s="14"/>
      <c r="O876" s="14"/>
      <c r="P876" s="14"/>
      <c r="Q876" s="14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3.2">
      <c r="A877" s="14"/>
      <c r="B877" s="5">
        <v>5</v>
      </c>
      <c r="C877" s="5">
        <f t="shared" si="222"/>
        <v>35</v>
      </c>
      <c r="D877" s="20">
        <v>43034</v>
      </c>
      <c r="E877" s="11">
        <v>314</v>
      </c>
      <c r="F877" s="12"/>
      <c r="G877" s="14"/>
      <c r="H877" s="14"/>
      <c r="I877" s="15"/>
      <c r="J877" s="14"/>
      <c r="K877" s="15"/>
      <c r="L877" s="14"/>
      <c r="M877" s="14"/>
      <c r="N877" s="14"/>
      <c r="O877" s="14"/>
      <c r="P877" s="14"/>
      <c r="Q877" s="14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3.2">
      <c r="A878" s="14"/>
      <c r="B878" s="5">
        <v>5</v>
      </c>
      <c r="C878" s="5">
        <f t="shared" si="222"/>
        <v>36</v>
      </c>
      <c r="D878" s="20">
        <v>43035</v>
      </c>
      <c r="E878" s="11">
        <v>309.10000000000002</v>
      </c>
      <c r="F878" s="12">
        <f t="shared" ref="F878:F880" si="232">(E877-E878)/(D878-D877)</f>
        <v>4.8999999999999773</v>
      </c>
      <c r="G878" s="14"/>
      <c r="H878" s="14"/>
      <c r="I878" s="13">
        <v>27.6</v>
      </c>
      <c r="J878" s="14">
        <f>(I876-I878)/(D878-D876)</f>
        <v>3.1999999999999993</v>
      </c>
      <c r="K878" s="13">
        <v>33.200000000000003</v>
      </c>
      <c r="L878" s="14"/>
      <c r="M878" s="14"/>
      <c r="N878" s="14"/>
      <c r="O878" s="14"/>
      <c r="P878" s="14"/>
      <c r="Q878" s="14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3.2">
      <c r="A879" s="14"/>
      <c r="B879" s="5">
        <v>5</v>
      </c>
      <c r="C879" s="5">
        <f t="shared" si="222"/>
        <v>39</v>
      </c>
      <c r="D879" s="20">
        <v>43038</v>
      </c>
      <c r="E879" s="11">
        <v>289.60000000000002</v>
      </c>
      <c r="F879" s="12">
        <f t="shared" si="232"/>
        <v>6.5</v>
      </c>
      <c r="G879" s="14"/>
      <c r="H879" s="14"/>
      <c r="I879" s="13">
        <v>19.2</v>
      </c>
      <c r="J879" s="14">
        <f>(I878-I879)/(D879-D878)</f>
        <v>2.8000000000000007</v>
      </c>
      <c r="K879" s="13">
        <v>33.6</v>
      </c>
      <c r="L879" s="14"/>
      <c r="M879" s="14"/>
      <c r="N879" s="14"/>
      <c r="O879" s="14"/>
      <c r="P879" s="14"/>
      <c r="Q879" s="14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3.2">
      <c r="A880" s="14"/>
      <c r="B880" s="5">
        <v>5</v>
      </c>
      <c r="C880" s="5">
        <f t="shared" si="222"/>
        <v>41</v>
      </c>
      <c r="D880" s="20">
        <v>43040</v>
      </c>
      <c r="E880" s="11">
        <v>279.10000000000002</v>
      </c>
      <c r="F880" s="12">
        <f t="shared" si="232"/>
        <v>5.25</v>
      </c>
      <c r="G880" s="14"/>
      <c r="H880" s="14"/>
      <c r="I880" s="13">
        <v>55.1</v>
      </c>
      <c r="J880" s="14">
        <f>(62.7-I880)/(D880-D879)</f>
        <v>3.8000000000000007</v>
      </c>
      <c r="K880" s="13">
        <v>35</v>
      </c>
      <c r="L880" s="14"/>
      <c r="M880" s="14"/>
      <c r="N880" s="14"/>
      <c r="O880" s="14"/>
      <c r="P880" s="14"/>
      <c r="Q880" s="14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3.2">
      <c r="A881" s="14"/>
      <c r="B881" s="5">
        <v>6</v>
      </c>
      <c r="C881" s="5">
        <f t="shared" si="222"/>
        <v>42</v>
      </c>
      <c r="D881" s="20">
        <v>43041</v>
      </c>
      <c r="E881" s="11">
        <v>351.3</v>
      </c>
      <c r="F881" s="12"/>
      <c r="G881" s="14"/>
      <c r="H881" s="14"/>
      <c r="I881" s="15"/>
      <c r="J881" s="14"/>
      <c r="K881" s="15"/>
      <c r="L881" s="14"/>
      <c r="M881" s="14"/>
      <c r="N881" s="14"/>
      <c r="O881" s="14"/>
      <c r="P881" s="14"/>
      <c r="Q881" s="14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3.2">
      <c r="A882" s="14"/>
      <c r="B882" s="5">
        <v>6</v>
      </c>
      <c r="C882" s="5">
        <f t="shared" si="222"/>
        <v>43</v>
      </c>
      <c r="D882" s="20">
        <v>43042</v>
      </c>
      <c r="E882" s="11">
        <v>347.4</v>
      </c>
      <c r="F882" s="12">
        <f t="shared" ref="F882:F884" si="233">(E881-E882)/(D882-D881)</f>
        <v>3.9000000000000341</v>
      </c>
      <c r="G882" s="14"/>
      <c r="H882" s="14"/>
      <c r="I882" s="13">
        <v>50.2</v>
      </c>
      <c r="J882" s="14">
        <f>(I880-I882)/(D882-D880)</f>
        <v>2.4499999999999993</v>
      </c>
      <c r="K882" s="13">
        <v>35.1</v>
      </c>
      <c r="L882" s="14"/>
      <c r="M882" s="14"/>
      <c r="N882" s="14"/>
      <c r="O882" s="14"/>
      <c r="P882" s="14"/>
      <c r="Q882" s="14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3.2">
      <c r="A883" s="14"/>
      <c r="B883" s="5">
        <v>6</v>
      </c>
      <c r="C883" s="5">
        <f t="shared" si="222"/>
        <v>46</v>
      </c>
      <c r="D883" s="20">
        <v>43045</v>
      </c>
      <c r="E883" s="11">
        <v>331.3</v>
      </c>
      <c r="F883" s="12">
        <f t="shared" si="233"/>
        <v>5.3666666666666556</v>
      </c>
      <c r="G883" s="14"/>
      <c r="H883" s="14"/>
      <c r="I883" s="13">
        <v>40.6</v>
      </c>
      <c r="J883" s="15">
        <f>(I882-I883)/(D883-D882)</f>
        <v>3.2000000000000006</v>
      </c>
      <c r="K883" s="13">
        <v>36.6</v>
      </c>
      <c r="L883" s="14"/>
      <c r="M883" s="14"/>
      <c r="N883" s="14"/>
      <c r="O883" s="14"/>
      <c r="P883" s="14"/>
      <c r="Q883" s="14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3.2">
      <c r="A884" s="14"/>
      <c r="B884" s="5">
        <v>6</v>
      </c>
      <c r="C884" s="5">
        <f t="shared" si="222"/>
        <v>48</v>
      </c>
      <c r="D884" s="20">
        <v>43047</v>
      </c>
      <c r="E884" s="11">
        <v>321.10000000000002</v>
      </c>
      <c r="F884" s="12">
        <f t="shared" si="233"/>
        <v>5.0999999999999943</v>
      </c>
      <c r="G884" s="14"/>
      <c r="H884" s="14"/>
      <c r="I884" s="13">
        <v>94.5</v>
      </c>
      <c r="J884" s="14">
        <f>(103.6-I884)/(D884-D883)</f>
        <v>4.5499999999999972</v>
      </c>
      <c r="K884" s="13">
        <v>36.5</v>
      </c>
      <c r="L884" s="14"/>
      <c r="M884" s="14"/>
      <c r="N884" s="14"/>
      <c r="O884" s="14"/>
      <c r="P884" s="14"/>
      <c r="Q884" s="14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3.2">
      <c r="A885" s="14"/>
      <c r="B885" s="5">
        <v>7</v>
      </c>
      <c r="C885" s="5">
        <f t="shared" si="222"/>
        <v>49</v>
      </c>
      <c r="D885" s="20">
        <v>43048</v>
      </c>
      <c r="E885" s="11">
        <v>367.1</v>
      </c>
      <c r="F885" s="12"/>
      <c r="G885" s="14"/>
      <c r="H885" s="14"/>
      <c r="I885" s="15"/>
      <c r="J885" s="14"/>
      <c r="K885" s="15"/>
      <c r="L885" s="14"/>
      <c r="M885" s="14"/>
      <c r="N885" s="14"/>
      <c r="O885" s="14"/>
      <c r="P885" s="14"/>
      <c r="Q885" s="14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3.2">
      <c r="A886" s="14"/>
      <c r="B886" s="5">
        <v>7</v>
      </c>
      <c r="C886" s="5">
        <f t="shared" si="222"/>
        <v>50</v>
      </c>
      <c r="D886" s="20">
        <v>43049</v>
      </c>
      <c r="E886" s="11">
        <v>360</v>
      </c>
      <c r="F886" s="12">
        <f t="shared" ref="F886:F888" si="234">(E885-E886)/(D886-D885)</f>
        <v>7.1000000000000227</v>
      </c>
      <c r="G886" s="14"/>
      <c r="H886" s="14"/>
      <c r="I886" s="13">
        <v>88.5</v>
      </c>
      <c r="J886" s="14">
        <f>(I884-I886)/(D886-D884)</f>
        <v>3</v>
      </c>
      <c r="K886" s="13">
        <v>36.9</v>
      </c>
      <c r="L886" s="14"/>
      <c r="M886" s="14"/>
      <c r="N886" s="14"/>
      <c r="O886" s="14"/>
      <c r="P886" s="14"/>
      <c r="Q886" s="14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3.2">
      <c r="A887" s="14"/>
      <c r="B887" s="5">
        <v>7</v>
      </c>
      <c r="C887" s="5">
        <f t="shared" si="222"/>
        <v>53</v>
      </c>
      <c r="D887" s="20">
        <v>43052</v>
      </c>
      <c r="E887" s="11">
        <v>348.2</v>
      </c>
      <c r="F887" s="12">
        <f t="shared" si="234"/>
        <v>3.9333333333333371</v>
      </c>
      <c r="G887" s="14"/>
      <c r="H887" s="14"/>
      <c r="I887" s="13">
        <v>80.5</v>
      </c>
      <c r="J887" s="15">
        <f t="shared" ref="J887:J888" si="235">(I886-I887)/(D887-D886)</f>
        <v>2.6666666666666665</v>
      </c>
      <c r="K887" s="13">
        <v>37.5</v>
      </c>
      <c r="L887" s="14"/>
      <c r="M887" s="14"/>
      <c r="N887" s="14"/>
      <c r="O887" s="14"/>
      <c r="P887" s="14"/>
      <c r="Q887" s="14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3.2">
      <c r="A888" s="14"/>
      <c r="B888" s="5">
        <v>7</v>
      </c>
      <c r="C888" s="5">
        <f t="shared" si="222"/>
        <v>55</v>
      </c>
      <c r="D888" s="20">
        <v>43054</v>
      </c>
      <c r="E888" s="11">
        <v>329.8</v>
      </c>
      <c r="F888" s="12">
        <f t="shared" si="234"/>
        <v>9.1999999999999886</v>
      </c>
      <c r="G888" s="14"/>
      <c r="H888" s="14"/>
      <c r="I888" s="13">
        <v>76.599999999999994</v>
      </c>
      <c r="J888" s="15">
        <f t="shared" si="235"/>
        <v>1.9500000000000028</v>
      </c>
      <c r="K888" s="13">
        <v>37.6</v>
      </c>
      <c r="L888" s="14"/>
      <c r="M888" s="14"/>
      <c r="N888" s="14"/>
      <c r="O888" s="14"/>
      <c r="P888" s="14"/>
      <c r="Q888" s="14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3.2">
      <c r="A889" s="14"/>
      <c r="B889" s="5">
        <v>8</v>
      </c>
      <c r="C889" s="5">
        <f t="shared" si="222"/>
        <v>56</v>
      </c>
      <c r="D889" s="20">
        <v>43055</v>
      </c>
      <c r="E889" s="11">
        <v>330.7</v>
      </c>
      <c r="F889" s="12"/>
      <c r="G889" s="14"/>
      <c r="H889" s="14"/>
      <c r="I889" s="15"/>
      <c r="J889" s="14"/>
      <c r="K889" s="15"/>
      <c r="L889" s="14"/>
      <c r="M889" s="14"/>
      <c r="N889" s="14"/>
      <c r="O889" s="14"/>
      <c r="P889" s="14"/>
      <c r="Q889" s="14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3.2">
      <c r="A890" s="14"/>
      <c r="B890" s="5">
        <v>8</v>
      </c>
      <c r="C890" s="5">
        <f t="shared" si="222"/>
        <v>57</v>
      </c>
      <c r="D890" s="20">
        <v>43056</v>
      </c>
      <c r="E890" s="11">
        <v>323.2</v>
      </c>
      <c r="F890" s="12">
        <f t="shared" ref="F890:F891" si="236">(E889-E890)/(D890-D889)</f>
        <v>7.5</v>
      </c>
      <c r="G890" s="14"/>
      <c r="H890" s="14"/>
      <c r="I890" s="13">
        <v>68.7</v>
      </c>
      <c r="J890" s="14">
        <f>(I888-I890)/(D890-D888)</f>
        <v>3.9499999999999957</v>
      </c>
      <c r="K890" s="13">
        <v>38</v>
      </c>
      <c r="L890" s="14"/>
      <c r="M890" s="14"/>
      <c r="N890" s="14"/>
      <c r="O890" s="14"/>
      <c r="P890" s="14"/>
      <c r="Q890" s="14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3.2">
      <c r="A891" s="14"/>
      <c r="B891" s="5">
        <v>8</v>
      </c>
      <c r="C891" s="5">
        <f t="shared" si="222"/>
        <v>60</v>
      </c>
      <c r="D891" s="20">
        <v>43059</v>
      </c>
      <c r="E891" s="11">
        <v>308.10000000000002</v>
      </c>
      <c r="F891" s="12">
        <f t="shared" si="236"/>
        <v>5.0333333333333217</v>
      </c>
      <c r="G891" s="14"/>
      <c r="H891" s="14"/>
      <c r="I891" s="13">
        <v>60.6</v>
      </c>
      <c r="J891" s="15">
        <f>(I890-I891)/(D891-D890)</f>
        <v>2.7000000000000006</v>
      </c>
      <c r="K891" s="13">
        <v>38.9</v>
      </c>
      <c r="L891" s="14"/>
      <c r="M891" s="14"/>
      <c r="N891" s="14"/>
      <c r="O891" s="14"/>
      <c r="P891" s="14"/>
      <c r="Q891" s="14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3.2">
      <c r="A892" s="14"/>
      <c r="B892" s="5">
        <v>8</v>
      </c>
      <c r="C892" s="5">
        <f t="shared" si="222"/>
        <v>61</v>
      </c>
      <c r="D892" s="20">
        <v>43060</v>
      </c>
      <c r="E892" s="11">
        <v>362.1</v>
      </c>
      <c r="F892" s="12"/>
      <c r="G892" s="14"/>
      <c r="H892" s="14"/>
      <c r="I892" s="15"/>
      <c r="J892" s="14"/>
      <c r="K892" s="15"/>
      <c r="L892" s="14"/>
      <c r="M892" s="14"/>
      <c r="N892" s="14"/>
      <c r="O892" s="14"/>
      <c r="P892" s="14"/>
      <c r="Q892" s="14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3.2">
      <c r="A893" s="14"/>
      <c r="B893" s="5">
        <v>8</v>
      </c>
      <c r="C893" s="5">
        <f t="shared" si="222"/>
        <v>62</v>
      </c>
      <c r="D893" s="20">
        <v>43061</v>
      </c>
      <c r="E893" s="11">
        <v>353.8</v>
      </c>
      <c r="F893" s="12">
        <f>(E892-E893)/(D893-D892)</f>
        <v>8.3000000000000114</v>
      </c>
      <c r="G893" s="14"/>
      <c r="H893" s="14"/>
      <c r="I893" s="13">
        <v>55.1</v>
      </c>
      <c r="J893" s="14">
        <f>(I891-I893)/(D893-D891)</f>
        <v>2.75</v>
      </c>
      <c r="K893" s="13">
        <v>39.4</v>
      </c>
      <c r="L893" s="14"/>
      <c r="M893" s="14"/>
      <c r="N893" s="14"/>
      <c r="O893" s="14"/>
      <c r="P893" s="14"/>
      <c r="Q893" s="14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3.2">
      <c r="A894" s="14"/>
      <c r="B894" s="5">
        <v>9</v>
      </c>
      <c r="C894" s="5">
        <f t="shared" si="222"/>
        <v>63</v>
      </c>
      <c r="D894" s="20">
        <v>43062</v>
      </c>
      <c r="E894" s="11"/>
      <c r="F894" s="12"/>
      <c r="G894" s="14"/>
      <c r="H894" s="14"/>
      <c r="I894" s="13"/>
      <c r="J894" s="15"/>
      <c r="K894" s="13"/>
      <c r="L894" s="14"/>
      <c r="M894" s="14"/>
      <c r="N894" s="14"/>
      <c r="O894" s="14"/>
      <c r="P894" s="14"/>
      <c r="Q894" s="14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3.2">
      <c r="A895" s="14"/>
      <c r="B895" s="5">
        <v>9</v>
      </c>
      <c r="C895" s="5">
        <f t="shared" si="222"/>
        <v>64</v>
      </c>
      <c r="D895" s="20">
        <v>43063</v>
      </c>
      <c r="E895" s="11">
        <v>343.5</v>
      </c>
      <c r="F895" s="12">
        <f>(E893-E895)/(D895-D893)</f>
        <v>5.1500000000000057</v>
      </c>
      <c r="G895" s="14"/>
      <c r="H895" s="14"/>
      <c r="I895" s="13">
        <v>49.5</v>
      </c>
      <c r="J895" s="15">
        <f>(I893-I895)/(D895-D893)</f>
        <v>2.8000000000000007</v>
      </c>
      <c r="K895" s="13">
        <v>40</v>
      </c>
      <c r="L895" s="14"/>
      <c r="M895" s="14"/>
      <c r="N895" s="14"/>
      <c r="O895" s="14"/>
      <c r="P895" s="14"/>
      <c r="Q895" s="14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3.2">
      <c r="A896" s="14"/>
      <c r="B896" s="5">
        <v>9</v>
      </c>
      <c r="C896" s="5">
        <f t="shared" si="222"/>
        <v>67</v>
      </c>
      <c r="D896" s="23">
        <v>43066</v>
      </c>
      <c r="E896" s="11">
        <v>329.9</v>
      </c>
      <c r="F896" s="12">
        <f t="shared" ref="F896:F897" si="237">(E895-E896)/(D896-D895)</f>
        <v>4.5333333333333412</v>
      </c>
      <c r="G896" s="14"/>
      <c r="H896" s="14"/>
      <c r="I896" s="13">
        <v>41.2</v>
      </c>
      <c r="J896" s="15">
        <f t="shared" ref="J896:J897" si="238">(I895-I896)/(D896-D895)</f>
        <v>2.7666666666666657</v>
      </c>
      <c r="K896" s="13">
        <v>41.6</v>
      </c>
      <c r="L896" s="14"/>
      <c r="M896" s="14"/>
      <c r="N896" s="14"/>
      <c r="O896" s="14"/>
      <c r="P896" s="14"/>
      <c r="Q896" s="14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3.2">
      <c r="A897" s="14"/>
      <c r="B897" s="5">
        <v>9</v>
      </c>
      <c r="C897" s="5">
        <f t="shared" si="222"/>
        <v>69</v>
      </c>
      <c r="D897" s="23">
        <v>43068</v>
      </c>
      <c r="E897" s="11">
        <v>320.60000000000002</v>
      </c>
      <c r="F897" s="12">
        <f t="shared" si="237"/>
        <v>4.6499999999999773</v>
      </c>
      <c r="G897" s="14"/>
      <c r="H897" s="14"/>
      <c r="I897" s="13">
        <v>35.200000000000003</v>
      </c>
      <c r="J897" s="15">
        <f t="shared" si="238"/>
        <v>3</v>
      </c>
      <c r="K897" s="13">
        <v>41.7</v>
      </c>
      <c r="L897" s="14"/>
      <c r="M897" s="14"/>
      <c r="N897" s="14"/>
      <c r="O897" s="14"/>
      <c r="P897" s="14"/>
      <c r="Q897" s="14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3.2">
      <c r="A898" s="14"/>
      <c r="B898" s="5">
        <v>10</v>
      </c>
      <c r="C898" s="5">
        <f t="shared" si="222"/>
        <v>70</v>
      </c>
      <c r="D898" s="23">
        <v>43069</v>
      </c>
      <c r="E898" s="11">
        <v>350.4</v>
      </c>
      <c r="F898" s="12"/>
      <c r="G898" s="14"/>
      <c r="H898" s="14"/>
      <c r="I898" s="15"/>
      <c r="J898" s="14"/>
      <c r="K898" s="15"/>
      <c r="L898" s="14"/>
      <c r="M898" s="14"/>
      <c r="N898" s="14"/>
      <c r="O898" s="14"/>
      <c r="P898" s="14"/>
      <c r="Q898" s="14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3.2">
      <c r="A899" s="14"/>
      <c r="B899" s="5">
        <v>10</v>
      </c>
      <c r="C899" s="5">
        <f t="shared" si="222"/>
        <v>71</v>
      </c>
      <c r="D899" s="23">
        <v>43070</v>
      </c>
      <c r="E899" s="11">
        <v>344.4</v>
      </c>
      <c r="F899" s="12">
        <f t="shared" ref="F899:F901" si="239">(E898-E899)/(D899-D898)</f>
        <v>6</v>
      </c>
      <c r="G899" s="14"/>
      <c r="H899" s="14"/>
      <c r="I899" s="13">
        <v>76.3</v>
      </c>
      <c r="J899" s="14">
        <f>(83.9-I899)/(D899-D897)</f>
        <v>3.8000000000000043</v>
      </c>
      <c r="K899" s="13">
        <v>42.6</v>
      </c>
      <c r="L899" s="14"/>
      <c r="M899" s="14"/>
      <c r="N899" s="14"/>
      <c r="O899" s="14"/>
      <c r="P899" s="14"/>
      <c r="Q899" s="14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3.2">
      <c r="A900" s="14"/>
      <c r="B900" s="5">
        <v>10</v>
      </c>
      <c r="C900" s="5">
        <f t="shared" si="222"/>
        <v>74</v>
      </c>
      <c r="D900" s="23">
        <v>43073</v>
      </c>
      <c r="E900" s="11">
        <v>334.5</v>
      </c>
      <c r="F900" s="12">
        <f t="shared" si="239"/>
        <v>3.2999999999999923</v>
      </c>
      <c r="G900" s="14"/>
      <c r="H900" s="14"/>
      <c r="I900" s="13">
        <v>67.7</v>
      </c>
      <c r="J900" s="15">
        <f t="shared" ref="J900:J901" si="240">(I899-I900)/(D900-D899)</f>
        <v>2.8666666666666649</v>
      </c>
      <c r="K900" s="13">
        <v>43.6</v>
      </c>
      <c r="L900" s="14"/>
      <c r="M900" s="14"/>
      <c r="N900" s="14"/>
      <c r="O900" s="14"/>
      <c r="P900" s="14"/>
      <c r="Q900" s="14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3.2">
      <c r="A901" s="14"/>
      <c r="B901" s="5">
        <v>10</v>
      </c>
      <c r="C901" s="5">
        <f t="shared" si="222"/>
        <v>76</v>
      </c>
      <c r="D901" s="23">
        <v>43075</v>
      </c>
      <c r="E901" s="11">
        <v>322.2</v>
      </c>
      <c r="F901" s="12">
        <f t="shared" si="239"/>
        <v>6.1500000000000057</v>
      </c>
      <c r="G901" s="14"/>
      <c r="H901" s="14"/>
      <c r="I901" s="13">
        <v>61.2</v>
      </c>
      <c r="J901" s="15">
        <f t="shared" si="240"/>
        <v>3.25</v>
      </c>
      <c r="K901" s="13">
        <v>44.4</v>
      </c>
      <c r="L901" s="14"/>
      <c r="M901" s="14"/>
      <c r="N901" s="14"/>
      <c r="O901" s="14"/>
      <c r="P901" s="14"/>
      <c r="Q901" s="14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3.2">
      <c r="A902" s="14"/>
      <c r="B902" s="5">
        <v>11</v>
      </c>
      <c r="C902" s="5">
        <f t="shared" si="222"/>
        <v>77</v>
      </c>
      <c r="D902" s="24">
        <v>43076</v>
      </c>
      <c r="E902" s="11">
        <v>363.2</v>
      </c>
      <c r="F902" s="12"/>
      <c r="G902" s="14"/>
      <c r="H902" s="14"/>
      <c r="I902" s="15"/>
      <c r="J902" s="14"/>
      <c r="K902" s="15"/>
      <c r="L902" s="14"/>
      <c r="M902" s="14"/>
      <c r="N902" s="14"/>
      <c r="O902" s="14"/>
      <c r="P902" s="14"/>
      <c r="Q902" s="14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3.2">
      <c r="A903" s="14"/>
      <c r="B903" s="5">
        <v>11</v>
      </c>
      <c r="C903" s="5">
        <f t="shared" si="222"/>
        <v>78</v>
      </c>
      <c r="D903" s="24">
        <v>43077</v>
      </c>
      <c r="E903" s="11">
        <v>358.4</v>
      </c>
      <c r="F903" s="12">
        <f t="shared" ref="F903:F905" si="241">(E902-E903)/(D903-D902)</f>
        <v>4.8000000000000114</v>
      </c>
      <c r="G903" s="14"/>
      <c r="H903" s="14"/>
      <c r="I903" s="13">
        <v>56.4</v>
      </c>
      <c r="J903" s="15">
        <f>(I901-I903)/(D903-D901)</f>
        <v>2.4000000000000021</v>
      </c>
      <c r="K903" s="13">
        <v>44.2</v>
      </c>
      <c r="L903" s="14"/>
      <c r="M903" s="14"/>
      <c r="N903" s="14"/>
      <c r="O903" s="14"/>
      <c r="P903" s="14"/>
      <c r="Q903" s="14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3.2">
      <c r="A904" s="14"/>
      <c r="B904" s="5">
        <v>11</v>
      </c>
      <c r="C904" s="5">
        <f t="shared" si="222"/>
        <v>81</v>
      </c>
      <c r="D904" s="24">
        <v>43080</v>
      </c>
      <c r="E904" s="11">
        <v>346.2</v>
      </c>
      <c r="F904" s="12">
        <f t="shared" si="241"/>
        <v>4.0666666666666629</v>
      </c>
      <c r="G904" s="14"/>
      <c r="H904" s="14"/>
      <c r="I904" s="13">
        <v>46.1</v>
      </c>
      <c r="J904" s="15">
        <f t="shared" ref="J904:J905" si="242">(I903-I904)/(D904-D903)</f>
        <v>3.4333333333333322</v>
      </c>
      <c r="K904" s="13">
        <v>46.6</v>
      </c>
      <c r="L904" s="14"/>
      <c r="M904" s="14"/>
      <c r="N904" s="14"/>
      <c r="O904" s="14"/>
      <c r="P904" s="14"/>
      <c r="Q904" s="14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3.2">
      <c r="A905" s="14"/>
      <c r="B905" s="5">
        <v>11</v>
      </c>
      <c r="C905" s="5">
        <f t="shared" si="222"/>
        <v>83</v>
      </c>
      <c r="D905" s="25">
        <v>43082</v>
      </c>
      <c r="E905" s="11">
        <v>335.8</v>
      </c>
      <c r="F905" s="12">
        <f t="shared" si="241"/>
        <v>5.1999999999999886</v>
      </c>
      <c r="G905" s="14"/>
      <c r="H905" s="14"/>
      <c r="I905" s="13">
        <v>37.9</v>
      </c>
      <c r="J905" s="15">
        <f t="shared" si="242"/>
        <v>4.1000000000000014</v>
      </c>
      <c r="K905" s="13">
        <v>46.2</v>
      </c>
      <c r="L905" s="14"/>
      <c r="M905" s="14"/>
      <c r="N905" s="14"/>
      <c r="O905" s="14"/>
      <c r="P905" s="14"/>
      <c r="Q905" s="14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3.2">
      <c r="A906" s="14"/>
      <c r="B906" s="5">
        <v>12</v>
      </c>
      <c r="C906" s="5">
        <f t="shared" si="222"/>
        <v>84</v>
      </c>
      <c r="D906" s="24">
        <v>43083</v>
      </c>
      <c r="E906" s="12"/>
      <c r="F906" s="12"/>
      <c r="G906" s="14"/>
      <c r="H906" s="14"/>
      <c r="I906" s="15"/>
      <c r="J906" s="14"/>
      <c r="K906" s="13"/>
      <c r="L906" s="14"/>
      <c r="M906" s="14"/>
      <c r="N906" s="14"/>
      <c r="O906" s="14"/>
      <c r="P906" s="14"/>
      <c r="Q906" s="14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3.2">
      <c r="A907" s="174"/>
      <c r="B907" s="170">
        <v>12</v>
      </c>
      <c r="C907" s="170">
        <f t="shared" si="222"/>
        <v>85</v>
      </c>
      <c r="D907" s="178">
        <v>43084</v>
      </c>
      <c r="E907" s="175"/>
      <c r="F907" s="175"/>
      <c r="G907" s="174"/>
      <c r="H907" s="174"/>
      <c r="I907" s="179"/>
      <c r="J907" s="174"/>
      <c r="K907" s="176">
        <v>46.4</v>
      </c>
      <c r="L907" s="174"/>
      <c r="M907" s="174"/>
      <c r="N907" s="14"/>
      <c r="O907" s="14"/>
      <c r="P907" s="14"/>
      <c r="Q907" s="14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3.2">
      <c r="A908" s="14"/>
      <c r="B908" s="5">
        <v>12</v>
      </c>
      <c r="C908" s="5">
        <f t="shared" si="222"/>
        <v>98</v>
      </c>
      <c r="D908" s="32">
        <v>43097</v>
      </c>
      <c r="E908" s="12"/>
      <c r="F908" s="12"/>
      <c r="G908" s="14"/>
      <c r="H908" s="14"/>
      <c r="I908" s="33">
        <v>68.2</v>
      </c>
      <c r="J908" s="14"/>
      <c r="K908" s="33">
        <v>48.5</v>
      </c>
      <c r="L908" s="14"/>
      <c r="M908" s="14"/>
      <c r="N908" s="14"/>
      <c r="O908" s="14"/>
      <c r="P908" s="14"/>
      <c r="Q908" s="14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3.2">
      <c r="A909" s="14"/>
      <c r="B909" s="5">
        <v>12</v>
      </c>
      <c r="C909" s="5">
        <f t="shared" si="222"/>
        <v>105</v>
      </c>
      <c r="D909" s="32">
        <v>43104</v>
      </c>
      <c r="E909" s="12"/>
      <c r="F909" s="12"/>
      <c r="G909" s="14"/>
      <c r="H909" s="14"/>
      <c r="I909" s="33">
        <v>47.3</v>
      </c>
      <c r="J909" s="14"/>
      <c r="K909" s="33">
        <v>48.9</v>
      </c>
      <c r="L909" s="14"/>
      <c r="M909" s="14"/>
      <c r="N909" s="14"/>
      <c r="O909" s="14"/>
      <c r="P909" s="14"/>
      <c r="Q909" s="14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3.2">
      <c r="A910" s="14"/>
      <c r="B910" s="5"/>
      <c r="C910" s="5">
        <f t="shared" si="222"/>
        <v>112</v>
      </c>
      <c r="D910" s="32">
        <v>43111</v>
      </c>
      <c r="E910" s="12"/>
      <c r="F910" s="12"/>
      <c r="G910" s="14"/>
      <c r="H910" s="14"/>
      <c r="I910" s="33">
        <v>38.5</v>
      </c>
      <c r="J910" s="14"/>
      <c r="K910" s="33">
        <v>42.4</v>
      </c>
      <c r="L910" s="14"/>
      <c r="M910" s="14"/>
      <c r="N910" s="14"/>
      <c r="O910" s="14"/>
      <c r="P910" s="14"/>
      <c r="Q910" s="14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3.2">
      <c r="A911" s="1"/>
      <c r="B911" s="14"/>
      <c r="C911" s="5">
        <f t="shared" si="222"/>
        <v>116</v>
      </c>
      <c r="D911" s="20">
        <v>43115</v>
      </c>
      <c r="E911" s="10"/>
      <c r="F911" s="11"/>
      <c r="G911" s="14"/>
      <c r="H911" s="14"/>
      <c r="I911" s="33">
        <v>32.9</v>
      </c>
      <c r="J911" s="14"/>
      <c r="K911" s="33">
        <v>40.299999999999997</v>
      </c>
      <c r="L911" s="14"/>
      <c r="M911" s="14"/>
      <c r="N911" s="14"/>
      <c r="O911" s="14"/>
      <c r="P911" s="14"/>
      <c r="Q911" s="14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3.2">
      <c r="A912" s="1"/>
      <c r="B912" s="5"/>
      <c r="C912" s="5">
        <f t="shared" si="222"/>
        <v>117</v>
      </c>
      <c r="D912" s="32">
        <v>43116</v>
      </c>
      <c r="E912" s="10"/>
      <c r="F912" s="11"/>
      <c r="G912" s="14"/>
      <c r="H912" s="14"/>
      <c r="I912" s="33">
        <v>30.7</v>
      </c>
      <c r="J912" s="14"/>
      <c r="K912" s="33">
        <v>41.1</v>
      </c>
      <c r="L912" s="14"/>
      <c r="M912" s="14"/>
      <c r="N912" s="14"/>
      <c r="O912" s="14"/>
      <c r="P912" s="14"/>
      <c r="Q912" s="14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3.2">
      <c r="A913" s="1"/>
      <c r="B913" s="5"/>
      <c r="C913" s="5">
        <f t="shared" si="222"/>
        <v>118</v>
      </c>
      <c r="D913" s="32">
        <v>43117</v>
      </c>
      <c r="E913" s="10"/>
      <c r="F913" s="11"/>
      <c r="G913" s="14"/>
      <c r="H913" s="14"/>
      <c r="I913" s="33">
        <v>56.1</v>
      </c>
      <c r="J913" s="14"/>
      <c r="K913" s="33">
        <v>41.3</v>
      </c>
      <c r="L913" s="14"/>
      <c r="M913" s="14"/>
      <c r="N913" s="14"/>
      <c r="O913" s="14"/>
      <c r="P913" s="14"/>
      <c r="Q913" s="14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3.2">
      <c r="A914" s="1"/>
      <c r="B914" s="5"/>
      <c r="C914" s="5">
        <f t="shared" si="222"/>
        <v>119</v>
      </c>
      <c r="D914" s="32">
        <v>43118</v>
      </c>
      <c r="E914" s="10"/>
      <c r="F914" s="11"/>
      <c r="G914" s="14"/>
      <c r="H914" s="14"/>
      <c r="I914" s="33">
        <v>53.3</v>
      </c>
      <c r="J914" s="14"/>
      <c r="K914" s="33">
        <v>41.6</v>
      </c>
      <c r="L914" s="14"/>
      <c r="M914" s="14"/>
      <c r="N914" s="14"/>
      <c r="O914" s="14"/>
      <c r="P914" s="14"/>
      <c r="Q914" s="14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3.2">
      <c r="A915" s="1"/>
      <c r="B915" s="5"/>
      <c r="C915" s="5">
        <f t="shared" si="222"/>
        <v>120</v>
      </c>
      <c r="D915" s="32">
        <v>43119</v>
      </c>
      <c r="E915" s="10"/>
      <c r="F915" s="11"/>
      <c r="G915" s="14"/>
      <c r="H915" s="14"/>
      <c r="I915" s="33">
        <v>50.8</v>
      </c>
      <c r="J915" s="14"/>
      <c r="K915" s="33">
        <v>41.4</v>
      </c>
      <c r="L915" s="14"/>
      <c r="M915" s="14"/>
      <c r="N915" s="14"/>
      <c r="O915" s="14"/>
      <c r="P915" s="14"/>
      <c r="Q915" s="14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3.2">
      <c r="A916" s="1"/>
      <c r="B916" s="5"/>
      <c r="C916" s="5">
        <f t="shared" si="222"/>
        <v>121</v>
      </c>
      <c r="D916" s="32">
        <v>43120</v>
      </c>
      <c r="E916" s="10"/>
      <c r="F916" s="11"/>
      <c r="G916" s="14"/>
      <c r="H916" s="14"/>
      <c r="I916" s="33">
        <v>47.7</v>
      </c>
      <c r="J916" s="14"/>
      <c r="K916" s="33">
        <v>42</v>
      </c>
      <c r="L916" s="14"/>
      <c r="M916" s="14"/>
      <c r="N916" s="14"/>
      <c r="O916" s="14"/>
      <c r="P916" s="14"/>
      <c r="Q916" s="14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3.2">
      <c r="A917" s="1"/>
      <c r="B917" s="5"/>
      <c r="C917" s="5">
        <f t="shared" si="222"/>
        <v>122</v>
      </c>
      <c r="D917" s="32">
        <v>43121</v>
      </c>
      <c r="E917" s="10"/>
      <c r="F917" s="11"/>
      <c r="G917" s="14"/>
      <c r="H917" s="14"/>
      <c r="I917" s="33">
        <v>44.7</v>
      </c>
      <c r="J917" s="14"/>
      <c r="K917" s="33">
        <v>42.4</v>
      </c>
      <c r="L917" s="14"/>
      <c r="M917" s="14"/>
      <c r="N917" s="14"/>
      <c r="O917" s="14"/>
      <c r="P917" s="14"/>
      <c r="Q917" s="14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3.2">
      <c r="A918" s="1"/>
      <c r="B918" s="5"/>
      <c r="C918" s="5">
        <f t="shared" si="222"/>
        <v>123</v>
      </c>
      <c r="D918" s="32">
        <v>43122</v>
      </c>
      <c r="E918" s="10"/>
      <c r="F918" s="11"/>
      <c r="G918" s="14"/>
      <c r="H918" s="14"/>
      <c r="I918" s="33">
        <v>41.1</v>
      </c>
      <c r="J918" s="14"/>
      <c r="K918" s="33">
        <v>43</v>
      </c>
      <c r="L918" s="14"/>
      <c r="M918" s="14"/>
      <c r="N918" s="14"/>
      <c r="O918" s="14"/>
      <c r="P918" s="14"/>
      <c r="Q918" s="14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3.2">
      <c r="A919" s="1"/>
      <c r="B919" s="5"/>
      <c r="C919" s="5">
        <f t="shared" si="222"/>
        <v>124</v>
      </c>
      <c r="D919" s="32">
        <v>43123</v>
      </c>
      <c r="E919" s="10"/>
      <c r="F919" s="11"/>
      <c r="G919" s="14"/>
      <c r="H919" s="14"/>
      <c r="I919" s="33">
        <v>37.6</v>
      </c>
      <c r="J919" s="14"/>
      <c r="K919" s="33">
        <v>43.7</v>
      </c>
      <c r="L919" s="14"/>
      <c r="M919" s="14"/>
      <c r="N919" s="14"/>
      <c r="O919" s="14"/>
      <c r="P919" s="14"/>
      <c r="Q919" s="14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3.2">
      <c r="A920" s="1"/>
      <c r="B920" s="5"/>
      <c r="C920" s="5">
        <f t="shared" si="222"/>
        <v>125</v>
      </c>
      <c r="D920" s="52">
        <v>43124</v>
      </c>
      <c r="E920" s="10"/>
      <c r="F920" s="11"/>
      <c r="G920" s="14"/>
      <c r="H920" s="14"/>
      <c r="I920" s="33">
        <v>77.400000000000006</v>
      </c>
      <c r="J920" s="14"/>
      <c r="K920" s="33">
        <v>44.5</v>
      </c>
      <c r="L920" s="14"/>
      <c r="M920" s="14"/>
      <c r="N920" s="14"/>
      <c r="O920" s="14"/>
      <c r="P920" s="14"/>
      <c r="Q920" s="14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26.4">
      <c r="A921" s="1" t="s">
        <v>439</v>
      </c>
      <c r="B921" s="5"/>
      <c r="C921" s="5">
        <f t="shared" si="222"/>
        <v>126</v>
      </c>
      <c r="D921" s="106">
        <v>43125</v>
      </c>
      <c r="E921" s="10"/>
      <c r="F921" s="11"/>
      <c r="G921" s="14"/>
      <c r="H921" s="14"/>
      <c r="I921" s="107">
        <v>73.900000000000006</v>
      </c>
      <c r="J921" s="14"/>
      <c r="K921" s="107">
        <v>44.7</v>
      </c>
      <c r="L921" s="14"/>
      <c r="M921" s="14"/>
      <c r="N921" s="14"/>
      <c r="O921" s="14"/>
      <c r="P921" s="14"/>
      <c r="Q921" s="14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3.2">
      <c r="A922" s="1"/>
      <c r="B922" s="5"/>
      <c r="C922" s="5">
        <f t="shared" si="222"/>
        <v>127</v>
      </c>
      <c r="D922" s="52">
        <v>43126</v>
      </c>
      <c r="E922" s="10"/>
      <c r="F922" s="11"/>
      <c r="G922" s="14"/>
      <c r="H922" s="14"/>
      <c r="I922" s="33" t="s">
        <v>71</v>
      </c>
      <c r="J922" s="14"/>
      <c r="K922" s="33">
        <v>42.7</v>
      </c>
      <c r="L922" s="14"/>
      <c r="M922" s="14"/>
      <c r="N922" s="14"/>
      <c r="O922" s="14"/>
      <c r="P922" s="14"/>
      <c r="Q922" s="14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3.2">
      <c r="A923" s="1"/>
      <c r="B923" s="5"/>
      <c r="C923" s="5">
        <f t="shared" si="222"/>
        <v>128</v>
      </c>
      <c r="D923" s="52">
        <v>43127</v>
      </c>
      <c r="E923" s="10"/>
      <c r="F923" s="11"/>
      <c r="G923" s="14"/>
      <c r="H923" s="14"/>
      <c r="I923" s="33" t="s">
        <v>71</v>
      </c>
      <c r="J923" s="14"/>
      <c r="K923" s="33">
        <v>41.2</v>
      </c>
      <c r="L923" s="14"/>
      <c r="M923" s="14"/>
      <c r="N923" s="14"/>
      <c r="O923" s="14"/>
      <c r="P923" s="14"/>
      <c r="Q923" s="14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3.2">
      <c r="A924" s="1"/>
      <c r="B924" s="5"/>
      <c r="C924" s="5">
        <v>129</v>
      </c>
      <c r="D924" s="52">
        <v>43128</v>
      </c>
      <c r="E924" s="10"/>
      <c r="F924" s="11"/>
      <c r="G924" s="14"/>
      <c r="H924" s="14"/>
      <c r="I924" s="33" t="s">
        <v>71</v>
      </c>
      <c r="J924" s="14"/>
      <c r="K924" s="33">
        <v>40.4</v>
      </c>
      <c r="L924" s="14"/>
      <c r="M924" s="14"/>
      <c r="N924" s="14"/>
      <c r="O924" s="14"/>
      <c r="P924" s="14"/>
      <c r="Q924" s="14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3.2">
      <c r="A925" s="1"/>
      <c r="B925" s="5"/>
      <c r="C925" s="5">
        <v>130</v>
      </c>
      <c r="D925" s="52">
        <v>43129</v>
      </c>
      <c r="E925" s="10"/>
      <c r="F925" s="11"/>
      <c r="G925" s="14"/>
      <c r="H925" s="14"/>
      <c r="I925" s="33" t="s">
        <v>71</v>
      </c>
      <c r="J925" s="14"/>
      <c r="K925" s="33">
        <v>39.299999999999997</v>
      </c>
      <c r="L925" s="14"/>
      <c r="M925" s="14"/>
      <c r="N925" s="14"/>
      <c r="O925" s="14"/>
      <c r="P925" s="14"/>
      <c r="Q925" s="14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3.2">
      <c r="A926" s="1"/>
      <c r="B926" s="5"/>
      <c r="C926" s="5">
        <v>131</v>
      </c>
      <c r="D926" s="52">
        <v>43130</v>
      </c>
      <c r="E926" s="10"/>
      <c r="F926" s="11"/>
      <c r="G926" s="14"/>
      <c r="H926" s="14"/>
      <c r="I926" s="33" t="s">
        <v>71</v>
      </c>
      <c r="J926" s="14"/>
      <c r="K926" s="33">
        <v>38.700000000000003</v>
      </c>
      <c r="L926" s="14"/>
      <c r="M926" s="14"/>
      <c r="N926" s="14"/>
      <c r="O926" s="14"/>
      <c r="P926" s="14"/>
      <c r="Q926" s="14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3.2">
      <c r="A927" s="1"/>
      <c r="B927" s="5"/>
      <c r="C927" s="5">
        <v>132</v>
      </c>
      <c r="D927" s="53">
        <v>43131</v>
      </c>
      <c r="E927" s="10"/>
      <c r="F927" s="11"/>
      <c r="G927" s="14"/>
      <c r="H927" s="14"/>
      <c r="I927" s="33" t="s">
        <v>71</v>
      </c>
      <c r="J927" s="14"/>
      <c r="K927" s="33">
        <v>38</v>
      </c>
      <c r="L927" s="14"/>
      <c r="M927" s="14"/>
      <c r="N927" s="14"/>
      <c r="O927" s="14"/>
      <c r="P927" s="14"/>
      <c r="Q927" s="14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3.2">
      <c r="A928" s="1"/>
      <c r="B928" s="5"/>
      <c r="C928" s="5">
        <v>133</v>
      </c>
      <c r="D928" s="20">
        <v>43132</v>
      </c>
      <c r="E928" s="10"/>
      <c r="F928" s="11"/>
      <c r="G928" s="14"/>
      <c r="H928" s="14"/>
      <c r="I928" s="33" t="s">
        <v>71</v>
      </c>
      <c r="J928" s="37"/>
      <c r="K928" s="33">
        <v>37.299999999999997</v>
      </c>
      <c r="L928" s="14"/>
      <c r="M928" s="14"/>
      <c r="N928" s="14"/>
      <c r="O928" s="14"/>
      <c r="P928" s="14"/>
      <c r="Q928" s="14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3.2">
      <c r="A929" s="1"/>
      <c r="B929" s="5"/>
      <c r="C929" s="5">
        <v>134</v>
      </c>
      <c r="D929" s="20">
        <v>43133</v>
      </c>
      <c r="E929" s="10"/>
      <c r="F929" s="11"/>
      <c r="G929" s="14"/>
      <c r="H929" s="14"/>
      <c r="I929" s="108" t="s">
        <v>71</v>
      </c>
      <c r="J929" s="37"/>
      <c r="K929" s="33">
        <v>36.4</v>
      </c>
      <c r="L929" s="14"/>
      <c r="M929" s="14"/>
      <c r="N929" s="14"/>
      <c r="O929" s="14"/>
      <c r="P929" s="14"/>
      <c r="Q929" s="14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3.2">
      <c r="A930" s="1"/>
      <c r="B930" s="5"/>
      <c r="C930" s="5">
        <v>135</v>
      </c>
      <c r="D930" s="20">
        <v>43134</v>
      </c>
      <c r="E930" s="10"/>
      <c r="F930" s="11"/>
      <c r="G930" s="14"/>
      <c r="H930" s="14"/>
      <c r="I930" s="108" t="s">
        <v>71</v>
      </c>
      <c r="J930" s="37"/>
      <c r="K930" s="33">
        <v>35.299999999999997</v>
      </c>
      <c r="L930" s="14"/>
      <c r="M930" s="14"/>
      <c r="N930" s="14"/>
      <c r="O930" s="14"/>
      <c r="P930" s="14"/>
      <c r="Q930" s="14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3.2">
      <c r="A931" s="1"/>
      <c r="B931" s="5"/>
      <c r="C931" s="5">
        <v>136</v>
      </c>
      <c r="D931" s="20">
        <v>43135</v>
      </c>
      <c r="E931" s="10"/>
      <c r="F931" s="11"/>
      <c r="G931" s="14"/>
      <c r="H931" s="14"/>
      <c r="I931" s="108" t="s">
        <v>71</v>
      </c>
      <c r="J931" s="37"/>
      <c r="K931" s="33">
        <v>35.1</v>
      </c>
      <c r="L931" s="14"/>
      <c r="M931" s="14"/>
      <c r="N931" s="14"/>
      <c r="O931" s="14"/>
      <c r="P931" s="14"/>
      <c r="Q931" s="14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3.2">
      <c r="A932" s="1"/>
      <c r="B932" s="5"/>
      <c r="C932" s="5">
        <v>137</v>
      </c>
      <c r="D932" s="20">
        <v>43136</v>
      </c>
      <c r="E932" s="10"/>
      <c r="F932" s="11"/>
      <c r="G932" s="14"/>
      <c r="H932" s="14"/>
      <c r="I932" s="108" t="s">
        <v>71</v>
      </c>
      <c r="J932" s="37"/>
      <c r="K932" s="33">
        <v>34.299999999999997</v>
      </c>
      <c r="L932" s="14"/>
      <c r="M932" s="14"/>
      <c r="N932" s="14"/>
      <c r="O932" s="14"/>
      <c r="P932" s="14"/>
      <c r="Q932" s="14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3.2">
      <c r="A933" s="1"/>
      <c r="B933" s="5"/>
      <c r="C933" s="5">
        <v>138</v>
      </c>
      <c r="D933" s="20">
        <v>43137</v>
      </c>
      <c r="E933" s="10"/>
      <c r="F933" s="11"/>
      <c r="G933" s="14"/>
      <c r="H933" s="14"/>
      <c r="I933" s="108" t="s">
        <v>71</v>
      </c>
      <c r="J933" s="37"/>
      <c r="K933" s="33">
        <v>34.200000000000003</v>
      </c>
      <c r="L933" s="14"/>
      <c r="M933" s="14"/>
      <c r="N933" s="14"/>
      <c r="O933" s="14"/>
      <c r="P933" s="14"/>
      <c r="Q933" s="14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3.2">
      <c r="A934" s="1"/>
      <c r="B934" s="5"/>
      <c r="C934" s="5">
        <v>139</v>
      </c>
      <c r="D934" s="20">
        <v>43138</v>
      </c>
      <c r="E934" s="10"/>
      <c r="F934" s="11"/>
      <c r="G934" s="14"/>
      <c r="H934" s="14"/>
      <c r="I934" s="13" t="s">
        <v>71</v>
      </c>
      <c r="J934" s="14"/>
      <c r="K934" s="13">
        <v>33.5</v>
      </c>
      <c r="L934" s="14"/>
      <c r="M934" s="14"/>
      <c r="N934" s="14"/>
      <c r="O934" s="14"/>
      <c r="P934" s="14"/>
      <c r="Q934" s="14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3.2">
      <c r="A935" s="1"/>
      <c r="B935" s="5"/>
      <c r="C935" s="5">
        <v>140</v>
      </c>
      <c r="D935" s="20">
        <v>43139</v>
      </c>
      <c r="E935" s="10"/>
      <c r="F935" s="11"/>
      <c r="G935" s="14"/>
      <c r="H935" s="14"/>
      <c r="I935" s="13" t="s">
        <v>71</v>
      </c>
      <c r="J935" s="14"/>
      <c r="K935" s="13">
        <v>32.799999999999997</v>
      </c>
      <c r="L935" s="14"/>
      <c r="M935" s="14"/>
      <c r="N935" s="14"/>
      <c r="O935" s="14"/>
      <c r="P935" s="14"/>
      <c r="Q935" s="14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3.2">
      <c r="A936" s="1"/>
      <c r="B936" s="5"/>
      <c r="C936" s="5">
        <v>141</v>
      </c>
      <c r="D936" s="20">
        <v>43140</v>
      </c>
      <c r="E936" s="10"/>
      <c r="F936" s="11"/>
      <c r="G936" s="14"/>
      <c r="H936" s="14"/>
      <c r="I936" s="13" t="s">
        <v>71</v>
      </c>
      <c r="J936" s="14"/>
      <c r="K936" s="13">
        <v>32.200000000000003</v>
      </c>
      <c r="L936" s="14"/>
      <c r="M936" s="14"/>
      <c r="N936" s="14"/>
      <c r="O936" s="14"/>
      <c r="P936" s="14"/>
      <c r="Q936" s="14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3.2">
      <c r="A937" s="1"/>
      <c r="B937" s="5"/>
      <c r="C937" s="5">
        <v>142</v>
      </c>
      <c r="D937" s="20">
        <v>43141</v>
      </c>
      <c r="E937" s="10"/>
      <c r="F937" s="11"/>
      <c r="G937" s="14"/>
      <c r="H937" s="14"/>
      <c r="I937" s="13" t="s">
        <v>71</v>
      </c>
      <c r="J937" s="14"/>
      <c r="K937" s="13">
        <v>31.8</v>
      </c>
      <c r="L937" s="14"/>
      <c r="M937" s="14"/>
      <c r="N937" s="14"/>
      <c r="O937" s="14"/>
      <c r="P937" s="14"/>
      <c r="Q937" s="14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3.2">
      <c r="A938" s="1"/>
      <c r="B938" s="5"/>
      <c r="C938" s="5">
        <v>143</v>
      </c>
      <c r="D938" s="20">
        <v>43142</v>
      </c>
      <c r="E938" s="10"/>
      <c r="F938" s="11"/>
      <c r="G938" s="14"/>
      <c r="H938" s="14"/>
      <c r="I938" s="13" t="s">
        <v>71</v>
      </c>
      <c r="J938" s="14"/>
      <c r="K938" s="13">
        <v>31.4</v>
      </c>
      <c r="L938" s="14"/>
      <c r="M938" s="14"/>
      <c r="N938" s="14"/>
      <c r="O938" s="14"/>
      <c r="P938" s="14"/>
      <c r="Q938" s="14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3.2">
      <c r="A939" s="1"/>
      <c r="B939" s="5"/>
      <c r="C939" s="5">
        <v>144</v>
      </c>
      <c r="D939" s="20">
        <v>43143</v>
      </c>
      <c r="E939" s="10"/>
      <c r="F939" s="11"/>
      <c r="G939" s="14"/>
      <c r="H939" s="14"/>
      <c r="I939" s="13" t="s">
        <v>71</v>
      </c>
      <c r="J939" s="14"/>
      <c r="K939" s="13">
        <v>31</v>
      </c>
      <c r="L939" s="14"/>
      <c r="M939" s="14"/>
      <c r="N939" s="14"/>
      <c r="O939" s="14"/>
      <c r="P939" s="14"/>
      <c r="Q939" s="14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3.2">
      <c r="A940" s="1"/>
      <c r="B940" s="5"/>
      <c r="C940" s="5">
        <v>145</v>
      </c>
      <c r="D940" s="20">
        <v>43144</v>
      </c>
      <c r="E940" s="10"/>
      <c r="F940" s="11"/>
      <c r="G940" s="14"/>
      <c r="H940" s="14"/>
      <c r="I940" s="13" t="s">
        <v>71</v>
      </c>
      <c r="J940" s="14"/>
      <c r="K940" s="13">
        <v>30.3</v>
      </c>
      <c r="L940" s="14"/>
      <c r="M940" s="14"/>
      <c r="N940" s="14"/>
      <c r="O940" s="14"/>
      <c r="P940" s="14"/>
      <c r="Q940" s="14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3.2">
      <c r="A941" s="1"/>
      <c r="B941" s="5"/>
      <c r="C941" s="5">
        <v>146</v>
      </c>
      <c r="D941" s="20">
        <v>43145</v>
      </c>
      <c r="E941" s="10"/>
      <c r="F941" s="11"/>
      <c r="G941" s="14"/>
      <c r="H941" s="14"/>
      <c r="I941" s="13" t="s">
        <v>71</v>
      </c>
      <c r="J941" s="14"/>
      <c r="K941" s="13">
        <v>29.8</v>
      </c>
      <c r="L941" s="14"/>
      <c r="M941" s="14"/>
      <c r="N941" s="14"/>
      <c r="O941" s="14"/>
      <c r="P941" s="14"/>
      <c r="Q941" s="14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3.2">
      <c r="A942" s="1"/>
      <c r="B942" s="5"/>
      <c r="C942" s="5">
        <v>147</v>
      </c>
      <c r="D942" s="20">
        <v>43146</v>
      </c>
      <c r="E942" s="10"/>
      <c r="F942" s="11"/>
      <c r="G942" s="14"/>
      <c r="H942" s="14"/>
      <c r="I942" s="13" t="s">
        <v>71</v>
      </c>
      <c r="J942" s="14"/>
      <c r="K942" s="13">
        <v>29</v>
      </c>
      <c r="L942" s="14"/>
      <c r="M942" s="14"/>
      <c r="N942" s="14"/>
      <c r="O942" s="14"/>
      <c r="P942" s="14"/>
      <c r="Q942" s="14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3.2">
      <c r="A943" s="1"/>
      <c r="B943" s="5"/>
      <c r="C943" s="5">
        <v>148</v>
      </c>
      <c r="D943" s="20">
        <v>43147</v>
      </c>
      <c r="E943" s="10"/>
      <c r="F943" s="11"/>
      <c r="G943" s="14"/>
      <c r="H943" s="14"/>
      <c r="I943" s="125" t="s">
        <v>71</v>
      </c>
      <c r="J943" s="14"/>
      <c r="K943" s="125">
        <v>28.4</v>
      </c>
      <c r="L943" s="14"/>
      <c r="M943" s="14"/>
      <c r="N943" s="14"/>
      <c r="O943" s="14"/>
      <c r="P943" s="14"/>
      <c r="Q943" s="14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3.2">
      <c r="A944" s="1"/>
      <c r="B944" s="5"/>
      <c r="C944" s="5">
        <v>149</v>
      </c>
      <c r="D944" s="20">
        <v>43148</v>
      </c>
      <c r="E944" s="10"/>
      <c r="F944" s="11"/>
      <c r="G944" s="14"/>
      <c r="H944" s="14"/>
      <c r="I944" s="125" t="s">
        <v>71</v>
      </c>
      <c r="J944" s="14"/>
      <c r="K944" s="125">
        <v>27.7</v>
      </c>
      <c r="L944" s="14"/>
      <c r="M944" s="14"/>
      <c r="N944" s="14"/>
      <c r="O944" s="14"/>
      <c r="P944" s="14"/>
      <c r="Q944" s="14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3.2">
      <c r="A945" s="1"/>
      <c r="B945" s="5"/>
      <c r="C945" s="14">
        <f t="shared" ref="C945:C949" si="243">C944+1</f>
        <v>150</v>
      </c>
      <c r="D945" s="20">
        <v>43149</v>
      </c>
      <c r="E945" s="10"/>
      <c r="F945" s="11"/>
      <c r="G945" s="14"/>
      <c r="H945" s="14"/>
      <c r="I945" s="13" t="s">
        <v>71</v>
      </c>
      <c r="J945" s="14"/>
      <c r="K945" s="13">
        <v>27.3</v>
      </c>
      <c r="L945" s="14"/>
      <c r="M945" s="14"/>
      <c r="N945" s="14"/>
      <c r="O945" s="14"/>
      <c r="P945" s="14"/>
      <c r="Q945" s="14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3.2">
      <c r="A946" s="1"/>
      <c r="B946" s="5"/>
      <c r="C946" s="14">
        <f t="shared" si="243"/>
        <v>151</v>
      </c>
      <c r="D946" s="20">
        <v>43150</v>
      </c>
      <c r="E946" s="10"/>
      <c r="F946" s="11"/>
      <c r="G946" s="14"/>
      <c r="H946" s="14"/>
      <c r="I946" s="13" t="s">
        <v>71</v>
      </c>
      <c r="J946" s="14"/>
      <c r="K946" s="13">
        <v>26.7</v>
      </c>
      <c r="L946" s="14"/>
      <c r="M946" s="14"/>
      <c r="N946" s="14"/>
      <c r="O946" s="14"/>
      <c r="P946" s="14"/>
      <c r="Q946" s="14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3.2">
      <c r="A947" s="1"/>
      <c r="B947" s="5"/>
      <c r="C947" s="14">
        <f t="shared" si="243"/>
        <v>152</v>
      </c>
      <c r="D947" s="20">
        <v>43151</v>
      </c>
      <c r="E947" s="10"/>
      <c r="F947" s="11"/>
      <c r="G947" s="14"/>
      <c r="H947" s="14"/>
      <c r="I947" s="13" t="s">
        <v>71</v>
      </c>
      <c r="J947" s="14"/>
      <c r="K947" s="13">
        <v>26.4</v>
      </c>
      <c r="L947" s="14"/>
      <c r="M947" s="14"/>
      <c r="N947" s="14"/>
      <c r="O947" s="14"/>
      <c r="P947" s="14"/>
      <c r="Q947" s="14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3.2">
      <c r="A948" s="1"/>
      <c r="B948" s="5"/>
      <c r="C948" s="14">
        <f t="shared" si="243"/>
        <v>153</v>
      </c>
      <c r="D948" s="20">
        <v>43152</v>
      </c>
      <c r="E948" s="10"/>
      <c r="F948" s="11"/>
      <c r="G948" s="14"/>
      <c r="H948" s="14"/>
      <c r="I948" s="13" t="s">
        <v>71</v>
      </c>
      <c r="J948" s="14"/>
      <c r="K948" s="13">
        <v>26</v>
      </c>
      <c r="L948" s="14"/>
      <c r="M948" s="14"/>
      <c r="N948" s="14"/>
      <c r="O948" s="14"/>
      <c r="P948" s="14"/>
      <c r="Q948" s="14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3.2">
      <c r="A949" s="1"/>
      <c r="B949" s="5"/>
      <c r="C949" s="14">
        <f t="shared" si="243"/>
        <v>154</v>
      </c>
      <c r="D949" s="20">
        <v>43153</v>
      </c>
      <c r="E949" s="10"/>
      <c r="F949" s="11"/>
      <c r="G949" s="14"/>
      <c r="H949" s="14"/>
      <c r="I949" s="13" t="s">
        <v>71</v>
      </c>
      <c r="J949" s="14"/>
      <c r="K949" s="13">
        <v>25.5</v>
      </c>
      <c r="L949" s="14"/>
      <c r="M949" s="14"/>
      <c r="N949" s="14"/>
      <c r="O949" s="14"/>
      <c r="P949" s="14"/>
      <c r="Q949" s="14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3.2">
      <c r="A950" s="1"/>
      <c r="B950" s="5"/>
      <c r="C950" s="5">
        <v>155</v>
      </c>
      <c r="D950" s="56">
        <v>43154</v>
      </c>
      <c r="E950" s="10"/>
      <c r="F950" s="11"/>
      <c r="G950" s="14"/>
      <c r="H950" s="14"/>
      <c r="I950" s="13" t="s">
        <v>71</v>
      </c>
      <c r="J950" s="14"/>
      <c r="K950" s="13">
        <v>25.2</v>
      </c>
      <c r="L950" s="14"/>
      <c r="M950" s="14"/>
      <c r="N950" s="14"/>
      <c r="O950" s="14"/>
      <c r="P950" s="14"/>
      <c r="Q950" s="14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3.2">
      <c r="A951" s="1"/>
      <c r="B951" s="5"/>
      <c r="C951" s="5">
        <v>156</v>
      </c>
      <c r="D951" s="20">
        <v>43155</v>
      </c>
      <c r="E951" s="10"/>
      <c r="F951" s="11"/>
      <c r="G951" s="14"/>
      <c r="H951" s="14"/>
      <c r="I951" s="13">
        <v>60.6</v>
      </c>
      <c r="J951" s="14"/>
      <c r="K951" s="13">
        <v>24.9</v>
      </c>
      <c r="L951" s="14"/>
      <c r="M951" s="14"/>
      <c r="N951" s="14"/>
      <c r="O951" s="14"/>
      <c r="P951" s="14"/>
      <c r="Q951" s="14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3.2">
      <c r="A952" s="1"/>
      <c r="B952" s="5"/>
      <c r="C952" s="5">
        <v>157</v>
      </c>
      <c r="D952" s="20">
        <v>43156</v>
      </c>
      <c r="E952" s="10"/>
      <c r="F952" s="11"/>
      <c r="G952" s="14"/>
      <c r="H952" s="14"/>
      <c r="I952" s="13">
        <v>57.8</v>
      </c>
      <c r="J952" s="14"/>
      <c r="K952" s="13">
        <v>26</v>
      </c>
      <c r="L952" s="14"/>
      <c r="M952" s="14"/>
      <c r="N952" s="14"/>
      <c r="O952" s="14"/>
      <c r="P952" s="14"/>
      <c r="Q952" s="14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3.2">
      <c r="A953" s="1"/>
      <c r="B953" s="5"/>
      <c r="C953" s="5">
        <v>158</v>
      </c>
      <c r="D953" s="20">
        <v>43157</v>
      </c>
      <c r="E953" s="10"/>
      <c r="F953" s="11"/>
      <c r="G953" s="14"/>
      <c r="H953" s="14"/>
      <c r="I953" s="13">
        <v>54</v>
      </c>
      <c r="J953" s="14"/>
      <c r="K953" s="13">
        <v>27.2</v>
      </c>
      <c r="L953" s="14"/>
      <c r="M953" s="14"/>
      <c r="N953" s="14"/>
      <c r="O953" s="14"/>
      <c r="P953" s="14"/>
      <c r="Q953" s="14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3.2">
      <c r="A954" s="1"/>
      <c r="B954" s="5"/>
      <c r="C954" s="5">
        <v>159</v>
      </c>
      <c r="D954" s="20">
        <v>43158</v>
      </c>
      <c r="E954" s="10"/>
      <c r="F954" s="11"/>
      <c r="G954" s="14"/>
      <c r="H954" s="14"/>
      <c r="I954" s="13">
        <v>50.2</v>
      </c>
      <c r="J954" s="14"/>
      <c r="K954" s="13">
        <v>27.9</v>
      </c>
      <c r="L954" s="14"/>
      <c r="M954" s="14"/>
      <c r="N954" s="14"/>
      <c r="O954" s="14"/>
      <c r="P954" s="14"/>
      <c r="Q954" s="14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3.2">
      <c r="A955" s="1"/>
      <c r="B955" s="5"/>
      <c r="C955" s="5">
        <v>166</v>
      </c>
      <c r="D955" s="20">
        <v>43165</v>
      </c>
      <c r="E955" s="10"/>
      <c r="F955" s="11"/>
      <c r="G955" s="14"/>
      <c r="H955" s="14"/>
      <c r="I955" s="13">
        <v>25.4</v>
      </c>
      <c r="J955" s="14"/>
      <c r="K955" s="13">
        <v>28.5</v>
      </c>
      <c r="L955" s="14"/>
      <c r="M955" s="14"/>
      <c r="N955" s="14"/>
      <c r="O955" s="14"/>
      <c r="P955" s="14"/>
      <c r="Q955" s="14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3.2">
      <c r="A956" s="1"/>
      <c r="B956" s="5"/>
      <c r="C956" s="5">
        <v>173</v>
      </c>
      <c r="D956" s="20">
        <v>43172</v>
      </c>
      <c r="E956" s="10"/>
      <c r="F956" s="11"/>
      <c r="G956" s="14"/>
      <c r="H956" s="14"/>
      <c r="I956" s="13">
        <v>55.2</v>
      </c>
      <c r="J956" s="14"/>
      <c r="K956" s="13">
        <v>29.4</v>
      </c>
      <c r="L956" s="14"/>
      <c r="M956" s="14"/>
      <c r="N956" s="14"/>
      <c r="O956" s="14"/>
      <c r="P956" s="14"/>
      <c r="Q956" s="14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3.2">
      <c r="A957" s="1"/>
      <c r="B957" s="5"/>
      <c r="C957" s="5"/>
      <c r="D957" s="9"/>
      <c r="E957" s="10"/>
      <c r="F957" s="11"/>
      <c r="G957" s="14"/>
      <c r="H957" s="14"/>
      <c r="I957" s="13"/>
      <c r="J957" s="14"/>
      <c r="K957" s="13"/>
      <c r="L957" s="14"/>
      <c r="M957" s="14"/>
      <c r="N957" s="14"/>
      <c r="O957" s="14"/>
      <c r="P957" s="14"/>
      <c r="Q957" s="14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3.2">
      <c r="A958" s="1"/>
      <c r="B958" s="5"/>
      <c r="C958" s="5"/>
      <c r="D958" s="9"/>
      <c r="E958" s="10"/>
      <c r="F958" s="11"/>
      <c r="G958" s="14"/>
      <c r="H958" s="14"/>
      <c r="I958" s="13"/>
      <c r="J958" s="14"/>
      <c r="K958" s="13"/>
      <c r="L958" s="14"/>
      <c r="M958" s="14"/>
      <c r="N958" s="14"/>
      <c r="O958" s="14"/>
      <c r="P958" s="14"/>
      <c r="Q958" s="14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3.2">
      <c r="A959" s="1"/>
      <c r="B959" s="5"/>
      <c r="C959" s="5"/>
      <c r="D959" s="9"/>
      <c r="E959" s="10"/>
      <c r="F959" s="11"/>
      <c r="G959" s="14"/>
      <c r="H959" s="14"/>
      <c r="I959" s="13"/>
      <c r="J959" s="14"/>
      <c r="K959" s="13"/>
      <c r="L959" s="14"/>
      <c r="M959" s="14"/>
      <c r="N959" s="14"/>
      <c r="O959" s="14"/>
      <c r="P959" s="14"/>
      <c r="Q959" s="14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3.2">
      <c r="A960" s="1"/>
      <c r="B960" s="5"/>
      <c r="C960" s="5"/>
      <c r="D960" s="9"/>
      <c r="E960" s="10"/>
      <c r="F960" s="11"/>
      <c r="G960" s="14"/>
      <c r="H960" s="14"/>
      <c r="I960" s="13"/>
      <c r="J960" s="14"/>
      <c r="K960" s="13"/>
      <c r="L960" s="14"/>
      <c r="M960" s="14"/>
      <c r="N960" s="14"/>
      <c r="O960" s="14"/>
      <c r="P960" s="14"/>
      <c r="Q960" s="14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3.2">
      <c r="A961" s="1"/>
      <c r="B961" s="5"/>
      <c r="C961" s="5"/>
      <c r="D961" s="9"/>
      <c r="E961" s="10"/>
      <c r="F961" s="11"/>
      <c r="G961" s="14"/>
      <c r="H961" s="14"/>
      <c r="I961" s="13"/>
      <c r="J961" s="14"/>
      <c r="K961" s="13"/>
      <c r="L961" s="14"/>
      <c r="M961" s="14"/>
      <c r="N961" s="14"/>
      <c r="O961" s="14"/>
      <c r="P961" s="14"/>
      <c r="Q961" s="14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3.2">
      <c r="A962" s="1"/>
      <c r="B962" s="5"/>
      <c r="C962" s="5"/>
      <c r="D962" s="9"/>
      <c r="E962" s="10"/>
      <c r="F962" s="11"/>
      <c r="G962" s="14"/>
      <c r="H962" s="14"/>
      <c r="I962" s="13"/>
      <c r="J962" s="14"/>
      <c r="K962" s="13"/>
      <c r="L962" s="14"/>
      <c r="M962" s="14"/>
      <c r="N962" s="14"/>
      <c r="O962" s="14"/>
      <c r="P962" s="14"/>
      <c r="Q962" s="14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3.2">
      <c r="A963" s="1"/>
      <c r="B963" s="5"/>
      <c r="C963" s="5"/>
      <c r="D963" s="9"/>
      <c r="E963" s="10"/>
      <c r="F963" s="11"/>
      <c r="G963" s="14"/>
      <c r="H963" s="14"/>
      <c r="I963" s="13"/>
      <c r="J963" s="14"/>
      <c r="K963" s="13"/>
      <c r="L963" s="14"/>
      <c r="M963" s="14"/>
      <c r="N963" s="14"/>
      <c r="O963" s="14"/>
      <c r="P963" s="14"/>
      <c r="Q963" s="14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3.2">
      <c r="A964" s="1"/>
      <c r="B964" s="5"/>
      <c r="C964" s="5"/>
      <c r="D964" s="9"/>
      <c r="E964" s="10"/>
      <c r="F964" s="11"/>
      <c r="G964" s="14"/>
      <c r="H964" s="14"/>
      <c r="I964" s="13"/>
      <c r="J964" s="14"/>
      <c r="K964" s="13"/>
      <c r="L964" s="14"/>
      <c r="M964" s="14"/>
      <c r="N964" s="14"/>
      <c r="O964" s="14"/>
      <c r="P964" s="14"/>
      <c r="Q964" s="14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3.2">
      <c r="A965" s="1"/>
      <c r="B965" s="5"/>
      <c r="C965" s="5"/>
      <c r="D965" s="9"/>
      <c r="E965" s="10"/>
      <c r="F965" s="11"/>
      <c r="G965" s="14"/>
      <c r="H965" s="14"/>
      <c r="I965" s="13"/>
      <c r="J965" s="14"/>
      <c r="K965" s="13"/>
      <c r="L965" s="14"/>
      <c r="M965" s="14"/>
      <c r="N965" s="14"/>
      <c r="O965" s="14"/>
      <c r="P965" s="14"/>
      <c r="Q965" s="14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3.2">
      <c r="A966" s="1"/>
      <c r="B966" s="5"/>
      <c r="C966" s="5"/>
      <c r="D966" s="9"/>
      <c r="E966" s="10"/>
      <c r="F966" s="11"/>
      <c r="G966" s="14"/>
      <c r="H966" s="14"/>
      <c r="I966" s="13"/>
      <c r="J966" s="14"/>
      <c r="K966" s="13"/>
      <c r="L966" s="14"/>
      <c r="M966" s="14"/>
      <c r="N966" s="14"/>
      <c r="O966" s="14"/>
      <c r="P966" s="14"/>
      <c r="Q966" s="14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3.2">
      <c r="A967" s="1"/>
      <c r="B967" s="5"/>
      <c r="C967" s="5"/>
      <c r="D967" s="9"/>
      <c r="E967" s="10"/>
      <c r="F967" s="11"/>
      <c r="G967" s="14"/>
      <c r="H967" s="14"/>
      <c r="I967" s="13"/>
      <c r="J967" s="14"/>
      <c r="K967" s="13"/>
      <c r="L967" s="14"/>
      <c r="M967" s="14"/>
      <c r="N967" s="14"/>
      <c r="O967" s="14"/>
      <c r="P967" s="14"/>
      <c r="Q967" s="14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3.2">
      <c r="A968" s="1"/>
      <c r="B968" s="5"/>
      <c r="C968" s="5"/>
      <c r="D968" s="9"/>
      <c r="E968" s="10"/>
      <c r="F968" s="11"/>
      <c r="G968" s="14"/>
      <c r="H968" s="14"/>
      <c r="I968" s="13"/>
      <c r="J968" s="14"/>
      <c r="K968" s="13"/>
      <c r="L968" s="14"/>
      <c r="M968" s="14"/>
      <c r="N968" s="14"/>
      <c r="O968" s="14"/>
      <c r="P968" s="14"/>
      <c r="Q968" s="14"/>
      <c r="R968" s="7"/>
      <c r="S968" s="7"/>
      <c r="T968" s="73">
        <f>I969-I973</f>
        <v>26.400000000000006</v>
      </c>
      <c r="U968" s="7"/>
      <c r="V968" s="7">
        <f>SUM(U968:U969)</f>
        <v>1351.3960000000002</v>
      </c>
      <c r="W968" s="7"/>
      <c r="X968" s="7"/>
      <c r="Y968" s="7"/>
      <c r="Z968" s="7"/>
      <c r="AA968" s="7"/>
    </row>
    <row r="969" spans="1:27" ht="26.4">
      <c r="A969" s="169" t="s">
        <v>130</v>
      </c>
      <c r="B969" s="5">
        <v>0</v>
      </c>
      <c r="C969" s="5">
        <v>0</v>
      </c>
      <c r="D969" s="9">
        <v>42992</v>
      </c>
      <c r="E969" s="10">
        <v>395.1</v>
      </c>
      <c r="F969" s="11" t="s">
        <v>21</v>
      </c>
      <c r="G969" s="12">
        <f>AVERAGE(F970,F971,F972,F977)</f>
        <v>4.8333333333333428</v>
      </c>
      <c r="H969" s="14"/>
      <c r="I969" s="13">
        <v>138.9</v>
      </c>
      <c r="J969" s="14"/>
      <c r="K969" s="13">
        <v>17</v>
      </c>
      <c r="L969" s="14"/>
      <c r="M969" s="14"/>
      <c r="N969" s="14"/>
      <c r="O969" s="14"/>
      <c r="P969" s="14"/>
      <c r="Q969" s="14">
        <f>SUM(P969:P981)</f>
        <v>372.6</v>
      </c>
      <c r="R969" s="7"/>
      <c r="S969" s="7"/>
      <c r="T969" s="73">
        <f>I974-I985</f>
        <v>46.6</v>
      </c>
      <c r="U969" s="7">
        <f>SUM(T969:T973)*5.24</f>
        <v>1351.3960000000002</v>
      </c>
      <c r="V969" s="7"/>
      <c r="W969" s="7"/>
      <c r="X969" s="7"/>
      <c r="Y969" s="7"/>
      <c r="Z969" s="7"/>
      <c r="AA969" s="7"/>
    </row>
    <row r="970" spans="1:27" ht="13.2">
      <c r="A970" s="5" t="s">
        <v>30</v>
      </c>
      <c r="B970" s="5">
        <v>0</v>
      </c>
      <c r="C970" s="5">
        <v>0</v>
      </c>
      <c r="D970" s="9">
        <v>42993</v>
      </c>
      <c r="E970" s="10">
        <v>390</v>
      </c>
      <c r="F970" s="12">
        <f>E969-E970</f>
        <v>5.1000000000000227</v>
      </c>
      <c r="G970" s="14"/>
      <c r="H970" s="14"/>
      <c r="I970" s="13">
        <v>134.80000000000001</v>
      </c>
      <c r="J970" s="16">
        <f t="shared" ref="J970:J973" si="244">(I969-I970)/(D970-D969)</f>
        <v>4.0999999999999943</v>
      </c>
      <c r="K970" s="13">
        <v>17.399999999999999</v>
      </c>
      <c r="L970" s="14"/>
      <c r="M970" s="14"/>
      <c r="N970" s="14"/>
      <c r="O970" s="14"/>
      <c r="P970" s="12">
        <f>E974-E977</f>
        <v>23.300000000000011</v>
      </c>
      <c r="Q970" s="14"/>
      <c r="R970" s="7"/>
      <c r="S970" s="7"/>
      <c r="T970" s="73">
        <f>I987-I996</f>
        <v>44.6</v>
      </c>
      <c r="U970" s="7"/>
      <c r="V970" s="7"/>
      <c r="W970" s="7"/>
      <c r="X970" s="7"/>
      <c r="Y970" s="7"/>
      <c r="Z970" s="7"/>
      <c r="AA970" s="7"/>
    </row>
    <row r="971" spans="1:27" ht="13.2">
      <c r="A971" s="14"/>
      <c r="B971" s="5">
        <v>0</v>
      </c>
      <c r="C971" s="5">
        <v>0</v>
      </c>
      <c r="D971" s="9">
        <v>42996</v>
      </c>
      <c r="E971" s="10">
        <v>371.6</v>
      </c>
      <c r="F971" s="12">
        <f t="shared" ref="F971:F973" si="245">(E970-E971)/(D971-D970)</f>
        <v>6.1333333333333258</v>
      </c>
      <c r="G971" s="14"/>
      <c r="H971" s="14"/>
      <c r="I971" s="13">
        <v>123.5</v>
      </c>
      <c r="J971" s="16">
        <f t="shared" si="244"/>
        <v>3.7666666666666706</v>
      </c>
      <c r="K971" s="13">
        <v>17.5</v>
      </c>
      <c r="L971" s="14"/>
      <c r="M971" s="14"/>
      <c r="N971" s="14"/>
      <c r="O971" s="14"/>
      <c r="P971" s="12">
        <f>E978-E981</f>
        <v>40.5</v>
      </c>
      <c r="Q971" s="14"/>
      <c r="R971" s="7"/>
      <c r="S971" s="7"/>
      <c r="T971" s="73">
        <f>86.6-I1004</f>
        <v>54.699999999999996</v>
      </c>
      <c r="U971" s="7"/>
      <c r="V971" s="7"/>
      <c r="W971" s="7"/>
      <c r="X971" s="7"/>
      <c r="Y971" s="7"/>
      <c r="Z971" s="7"/>
      <c r="AA971" s="7"/>
    </row>
    <row r="972" spans="1:27" ht="13.2">
      <c r="A972" s="14"/>
      <c r="B972" s="5">
        <v>0</v>
      </c>
      <c r="C972" s="5">
        <v>0</v>
      </c>
      <c r="D972" s="9">
        <v>42998</v>
      </c>
      <c r="E972" s="10">
        <v>361.4</v>
      </c>
      <c r="F972" s="12">
        <f t="shared" si="245"/>
        <v>5.1000000000000227</v>
      </c>
      <c r="G972" s="14"/>
      <c r="H972" s="14"/>
      <c r="I972" s="13">
        <v>116.1</v>
      </c>
      <c r="J972" s="16">
        <f t="shared" si="244"/>
        <v>3.7000000000000028</v>
      </c>
      <c r="K972" s="13">
        <v>18.3</v>
      </c>
      <c r="L972" s="14"/>
      <c r="M972" s="14"/>
      <c r="N972" s="14"/>
      <c r="O972" s="14"/>
      <c r="P972" s="12">
        <f>E982-E985</f>
        <v>32.699999999999989</v>
      </c>
      <c r="Q972" s="14"/>
      <c r="R972" s="7"/>
      <c r="S972" s="7"/>
      <c r="T972" s="73">
        <f>96.2-I1013</f>
        <v>61.7</v>
      </c>
      <c r="U972" s="7"/>
      <c r="V972" s="7"/>
      <c r="W972" s="7"/>
      <c r="X972" s="7"/>
      <c r="Y972" s="7"/>
      <c r="Z972" s="7"/>
      <c r="AA972" s="7"/>
    </row>
    <row r="973" spans="1:27" ht="13.2">
      <c r="A973" s="14"/>
      <c r="B973" s="5">
        <v>0</v>
      </c>
      <c r="C973" s="5">
        <v>0</v>
      </c>
      <c r="D973" s="17">
        <v>42999</v>
      </c>
      <c r="E973" s="10">
        <v>354.2</v>
      </c>
      <c r="F973" s="12">
        <f t="shared" si="245"/>
        <v>7.1999999999999886</v>
      </c>
      <c r="G973" s="14"/>
      <c r="H973" s="14"/>
      <c r="I973" s="13">
        <v>112.5</v>
      </c>
      <c r="J973" s="16">
        <f t="shared" si="244"/>
        <v>3.5999999999999943</v>
      </c>
      <c r="K973" s="13">
        <v>19.100000000000001</v>
      </c>
      <c r="L973" s="14"/>
      <c r="M973" s="14"/>
      <c r="N973" s="14"/>
      <c r="O973" s="14"/>
      <c r="P973" s="12">
        <f>E986-E989</f>
        <v>32.699999999999989</v>
      </c>
      <c r="Q973" s="14"/>
      <c r="R973" s="7"/>
      <c r="S973" s="7"/>
      <c r="T973" s="73">
        <f>103.4-I1022</f>
        <v>50.300000000000004</v>
      </c>
      <c r="U973" s="7"/>
      <c r="V973" s="7"/>
      <c r="W973" s="7"/>
      <c r="X973" s="7"/>
      <c r="Y973" s="7"/>
      <c r="Z973" s="7"/>
      <c r="AA973" s="7"/>
    </row>
    <row r="974" spans="1:27" ht="13.2">
      <c r="A974" s="14"/>
      <c r="B974" s="5">
        <v>0.5</v>
      </c>
      <c r="C974" s="5">
        <v>0</v>
      </c>
      <c r="D974" s="17">
        <v>42999</v>
      </c>
      <c r="E974" s="10">
        <v>378.1</v>
      </c>
      <c r="F974" s="12"/>
      <c r="G974" s="14"/>
      <c r="H974" s="14"/>
      <c r="I974" s="13">
        <v>75.5</v>
      </c>
      <c r="J974" s="16"/>
      <c r="K974" s="13"/>
      <c r="L974" s="14"/>
      <c r="M974" s="14"/>
      <c r="N974" s="14"/>
      <c r="O974" s="14"/>
      <c r="P974" s="12">
        <f>E990-E993</f>
        <v>31.399999999999977</v>
      </c>
      <c r="Q974" s="14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3.2">
      <c r="A975" s="14"/>
      <c r="B975" s="5">
        <v>0.5</v>
      </c>
      <c r="C975" s="5">
        <f t="shared" ref="C975:C1040" si="246">D975-$D$7</f>
        <v>1</v>
      </c>
      <c r="D975" s="17">
        <v>43000</v>
      </c>
      <c r="E975" s="10">
        <v>374.8</v>
      </c>
      <c r="F975" s="12">
        <f>(E974-E975)/(D975-D974)</f>
        <v>3.3000000000000114</v>
      </c>
      <c r="G975" s="14"/>
      <c r="H975" s="14"/>
      <c r="I975" s="13">
        <v>71.900000000000006</v>
      </c>
      <c r="J975" s="16">
        <f t="shared" ref="J975:J977" si="247">(I974-I975)/(D975-D974)</f>
        <v>3.5999999999999943</v>
      </c>
      <c r="K975" s="13">
        <v>19</v>
      </c>
      <c r="L975" s="14"/>
      <c r="M975" s="14"/>
      <c r="N975" s="14"/>
      <c r="O975" s="14"/>
      <c r="P975" s="12">
        <f>E994-E997</f>
        <v>35.900000000000034</v>
      </c>
      <c r="Q975" s="14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3.2">
      <c r="A976" s="14"/>
      <c r="B976" s="5">
        <v>0.5</v>
      </c>
      <c r="C976" s="5">
        <f t="shared" si="246"/>
        <v>4</v>
      </c>
      <c r="D976" s="9">
        <v>43003</v>
      </c>
      <c r="E976" s="10">
        <v>360.8</v>
      </c>
      <c r="F976" s="12"/>
      <c r="G976" s="14"/>
      <c r="H976" s="14"/>
      <c r="I976" s="13">
        <v>64.8</v>
      </c>
      <c r="J976" s="16">
        <f t="shared" si="247"/>
        <v>2.3666666666666694</v>
      </c>
      <c r="K976" s="13">
        <v>19.5</v>
      </c>
      <c r="L976" s="14"/>
      <c r="M976" s="14"/>
      <c r="N976" s="14"/>
      <c r="O976" s="14"/>
      <c r="P976" s="12">
        <f>E998-E1001</f>
        <v>29.199999999999989</v>
      </c>
      <c r="Q976" s="14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3.2">
      <c r="A977" s="14"/>
      <c r="B977" s="5">
        <v>0.5</v>
      </c>
      <c r="C977" s="5">
        <f t="shared" si="246"/>
        <v>6</v>
      </c>
      <c r="D977" s="9">
        <v>43005</v>
      </c>
      <c r="E977" s="10">
        <v>354.8</v>
      </c>
      <c r="F977" s="12">
        <f>(E976-E977)/(D977-D976)</f>
        <v>3</v>
      </c>
      <c r="G977" s="14"/>
      <c r="H977" s="14"/>
      <c r="I977" s="13">
        <v>60.8</v>
      </c>
      <c r="J977" s="16">
        <f t="shared" si="247"/>
        <v>2</v>
      </c>
      <c r="K977" s="13">
        <v>19.5</v>
      </c>
      <c r="L977" s="14"/>
      <c r="M977" s="14"/>
      <c r="N977" s="14"/>
      <c r="O977" s="14"/>
      <c r="P977" s="12">
        <f>E1002-E1005</f>
        <v>37.099999999999966</v>
      </c>
      <c r="Q977" s="14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3.2">
      <c r="A978" s="14"/>
      <c r="B978" s="170">
        <v>1</v>
      </c>
      <c r="C978" s="5">
        <f t="shared" si="246"/>
        <v>6</v>
      </c>
      <c r="D978" s="9">
        <v>43005</v>
      </c>
      <c r="E978" s="10">
        <v>339.8</v>
      </c>
      <c r="F978" s="11"/>
      <c r="H978" s="14"/>
      <c r="I978" s="13" t="s">
        <v>318</v>
      </c>
      <c r="J978" s="16"/>
      <c r="K978" s="13"/>
      <c r="L978" s="14"/>
      <c r="M978" s="14"/>
      <c r="N978" s="14"/>
      <c r="O978" s="14"/>
      <c r="P978" s="12">
        <f>E1006-E1008</f>
        <v>20</v>
      </c>
      <c r="Q978" s="14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3.2">
      <c r="A979" s="14"/>
      <c r="B979" s="5">
        <v>1</v>
      </c>
      <c r="C979" s="5">
        <f t="shared" si="246"/>
        <v>8</v>
      </c>
      <c r="D979" s="9">
        <v>43007</v>
      </c>
      <c r="E979" s="10">
        <v>328.2</v>
      </c>
      <c r="F979" s="12">
        <f t="shared" ref="F979:F981" si="248">(E978-E979)/(D979-D978)</f>
        <v>5.8000000000000114</v>
      </c>
      <c r="G979" s="14"/>
      <c r="H979" s="14"/>
      <c r="I979" s="13">
        <v>56.1</v>
      </c>
      <c r="J979" s="16">
        <f>(I977-I979)/(D979-D978)</f>
        <v>2.3499999999999979</v>
      </c>
      <c r="K979" s="13">
        <v>19.899999999999999</v>
      </c>
      <c r="L979" s="14"/>
      <c r="M979" s="14"/>
      <c r="N979" s="14"/>
      <c r="O979" s="14"/>
      <c r="P979" s="12">
        <f>E1009-E1014</f>
        <v>38.900000000000034</v>
      </c>
      <c r="Q979" s="14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3.2">
      <c r="A980" s="14"/>
      <c r="B980" s="5">
        <v>1</v>
      </c>
      <c r="C980" s="5">
        <f t="shared" si="246"/>
        <v>11</v>
      </c>
      <c r="D980" s="19">
        <v>43010</v>
      </c>
      <c r="E980" s="11">
        <v>314.5</v>
      </c>
      <c r="F980" s="12">
        <f t="shared" si="248"/>
        <v>4.5666666666666629</v>
      </c>
      <c r="G980" s="14"/>
      <c r="H980" s="14"/>
      <c r="I980" s="13">
        <v>49.5</v>
      </c>
      <c r="J980" s="16">
        <f t="shared" ref="J980:J981" si="249">(I979-I980)/(D981-D980)</f>
        <v>3.3000000000000007</v>
      </c>
      <c r="K980" s="13">
        <v>20.100000000000001</v>
      </c>
      <c r="L980" s="14"/>
      <c r="M980" s="14"/>
      <c r="N980" s="14"/>
      <c r="O980" s="14"/>
      <c r="P980" s="14">
        <f>E1015-E1018</f>
        <v>26.600000000000023</v>
      </c>
      <c r="Q980" s="14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3.2">
      <c r="A981" s="14"/>
      <c r="B981" s="5">
        <v>1</v>
      </c>
      <c r="C981" s="5">
        <f t="shared" si="246"/>
        <v>13</v>
      </c>
      <c r="D981" s="19">
        <v>43012</v>
      </c>
      <c r="E981" s="11">
        <v>299.3</v>
      </c>
      <c r="F981" s="12">
        <f t="shared" si="248"/>
        <v>7.5999999999999943</v>
      </c>
      <c r="G981" s="14"/>
      <c r="H981" s="14"/>
      <c r="I981" s="13">
        <v>45.2</v>
      </c>
      <c r="J981" s="16">
        <f t="shared" si="249"/>
        <v>4.2999999999999972</v>
      </c>
      <c r="K981" s="13">
        <v>20.100000000000001</v>
      </c>
      <c r="L981" s="14"/>
      <c r="M981" s="14"/>
      <c r="N981" s="14"/>
      <c r="O981" s="14"/>
      <c r="P981" s="12">
        <f>E1019-E1022</f>
        <v>24.300000000000011</v>
      </c>
      <c r="Q981" s="14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3.2">
      <c r="A982" s="14"/>
      <c r="B982" s="5">
        <v>2</v>
      </c>
      <c r="C982" s="5">
        <f t="shared" si="246"/>
        <v>14</v>
      </c>
      <c r="D982" s="20">
        <v>43013</v>
      </c>
      <c r="E982" s="11">
        <v>346.4</v>
      </c>
      <c r="F982" s="11"/>
      <c r="G982" s="14"/>
      <c r="H982" s="14"/>
      <c r="I982" s="13" t="s">
        <v>24</v>
      </c>
      <c r="J982" s="16"/>
      <c r="K982" s="14"/>
      <c r="L982" s="14"/>
      <c r="M982" s="14"/>
      <c r="N982" s="14"/>
      <c r="O982" s="14"/>
      <c r="P982" s="14"/>
      <c r="Q982" s="14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3.2">
      <c r="A983" s="14"/>
      <c r="B983" s="5">
        <v>2</v>
      </c>
      <c r="C983" s="5">
        <f t="shared" si="246"/>
        <v>15</v>
      </c>
      <c r="D983" s="20">
        <v>43014</v>
      </c>
      <c r="E983" s="11">
        <v>339.3</v>
      </c>
      <c r="F983" s="12">
        <f t="shared" ref="F983:F985" si="250">(E982-E983)/(D983-D982)</f>
        <v>7.0999999999999659</v>
      </c>
      <c r="G983" s="14"/>
      <c r="H983" s="14"/>
      <c r="I983" s="13">
        <v>40.5</v>
      </c>
      <c r="J983" s="16">
        <f>(I981-I983)/(D983-D981)</f>
        <v>2.3500000000000014</v>
      </c>
      <c r="K983" s="13">
        <v>20.3</v>
      </c>
      <c r="L983" s="14"/>
      <c r="M983" s="14"/>
      <c r="N983" s="14"/>
      <c r="O983" s="14"/>
      <c r="P983" s="14"/>
      <c r="Q983" s="14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3.2">
      <c r="A984" s="14"/>
      <c r="B984" s="5">
        <v>2</v>
      </c>
      <c r="C984" s="5">
        <f t="shared" si="246"/>
        <v>18</v>
      </c>
      <c r="D984" s="20">
        <v>43017</v>
      </c>
      <c r="E984" s="11">
        <v>325</v>
      </c>
      <c r="F984" s="12">
        <f t="shared" si="250"/>
        <v>4.7666666666666702</v>
      </c>
      <c r="G984" s="14"/>
      <c r="H984" s="14"/>
      <c r="I984" s="13">
        <v>33.700000000000003</v>
      </c>
      <c r="J984" s="16">
        <f t="shared" ref="J984:J985" si="251">(I983-I984)/(D984-D983)</f>
        <v>2.2666666666666657</v>
      </c>
      <c r="K984" s="13">
        <v>20.399999999999999</v>
      </c>
      <c r="L984" s="14"/>
      <c r="M984" s="14"/>
      <c r="N984" s="14"/>
      <c r="O984" s="14"/>
      <c r="P984" s="14"/>
      <c r="Q984" s="14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3.2">
      <c r="A985" s="14"/>
      <c r="B985" s="5">
        <v>2</v>
      </c>
      <c r="C985" s="5">
        <f t="shared" si="246"/>
        <v>20</v>
      </c>
      <c r="D985" s="20">
        <v>43019</v>
      </c>
      <c r="E985" s="11">
        <v>313.7</v>
      </c>
      <c r="F985" s="12">
        <f t="shared" si="250"/>
        <v>5.6500000000000057</v>
      </c>
      <c r="G985" s="14"/>
      <c r="H985" s="14"/>
      <c r="I985" s="13">
        <v>28.9</v>
      </c>
      <c r="J985" s="16">
        <f t="shared" si="251"/>
        <v>2.4000000000000021</v>
      </c>
      <c r="K985" s="13">
        <v>21.1</v>
      </c>
      <c r="L985" s="14"/>
      <c r="M985" s="14"/>
      <c r="N985" s="14"/>
      <c r="O985" s="14"/>
      <c r="P985" s="14"/>
      <c r="Q985" s="14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3.2">
      <c r="A986" s="14"/>
      <c r="B986" s="5">
        <v>3</v>
      </c>
      <c r="C986" s="5">
        <f t="shared" si="246"/>
        <v>21</v>
      </c>
      <c r="D986" s="20">
        <v>43020</v>
      </c>
      <c r="E986" s="11">
        <v>369.9</v>
      </c>
      <c r="F986" s="12"/>
      <c r="G986" s="14"/>
      <c r="H986" s="14"/>
      <c r="I986" s="15"/>
      <c r="J986" s="14"/>
      <c r="K986" s="14"/>
      <c r="L986" s="14"/>
      <c r="M986" s="14"/>
      <c r="N986" s="14"/>
      <c r="O986" s="14"/>
      <c r="P986" s="14"/>
      <c r="Q986" s="14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3.2">
      <c r="A987" s="14"/>
      <c r="B987" s="5">
        <v>3</v>
      </c>
      <c r="C987" s="5">
        <f t="shared" si="246"/>
        <v>22</v>
      </c>
      <c r="D987" s="20">
        <f>D985+2</f>
        <v>43021</v>
      </c>
      <c r="E987" s="11">
        <v>363.4</v>
      </c>
      <c r="F987" s="12">
        <f t="shared" ref="F987:F989" si="252">(E986-E987)/(D987-D986)</f>
        <v>6.5</v>
      </c>
      <c r="G987" s="12">
        <f>AVERAGE(F975:F1022)</f>
        <v>5.3742857142857154</v>
      </c>
      <c r="H987" s="14"/>
      <c r="I987" s="13">
        <v>75</v>
      </c>
      <c r="J987" s="14"/>
      <c r="K987" s="13">
        <v>21.1</v>
      </c>
      <c r="L987" s="14"/>
      <c r="M987" s="14"/>
      <c r="N987" s="14"/>
      <c r="O987" s="14"/>
      <c r="P987" s="14"/>
      <c r="Q987" s="14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3.2">
      <c r="A988" s="14"/>
      <c r="B988" s="5">
        <v>3</v>
      </c>
      <c r="C988" s="5">
        <f t="shared" si="246"/>
        <v>25</v>
      </c>
      <c r="D988" s="20">
        <f>D987+3</f>
        <v>43024</v>
      </c>
      <c r="E988" s="11">
        <v>348.5</v>
      </c>
      <c r="F988" s="12">
        <f t="shared" si="252"/>
        <v>4.9666666666666588</v>
      </c>
      <c r="G988" s="14"/>
      <c r="H988" s="14"/>
      <c r="I988" s="13">
        <v>66.599999999999994</v>
      </c>
      <c r="J988" s="14">
        <f t="shared" ref="J988:J989" si="253">(I987-I988)/(D988-D987)</f>
        <v>2.800000000000002</v>
      </c>
      <c r="K988" s="13">
        <v>21.4</v>
      </c>
      <c r="L988" s="14"/>
      <c r="M988" s="14"/>
      <c r="N988" s="14"/>
      <c r="O988" s="14"/>
      <c r="P988" s="14"/>
      <c r="Q988" s="14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3.2">
      <c r="A989" s="14"/>
      <c r="B989" s="5">
        <v>3</v>
      </c>
      <c r="C989" s="5">
        <f t="shared" si="246"/>
        <v>27</v>
      </c>
      <c r="D989" s="20">
        <f>D988+2</f>
        <v>43026</v>
      </c>
      <c r="E989" s="11">
        <v>337.2</v>
      </c>
      <c r="F989" s="12">
        <f t="shared" si="252"/>
        <v>5.6500000000000057</v>
      </c>
      <c r="G989" s="14"/>
      <c r="H989" s="14"/>
      <c r="I989" s="13">
        <v>60.9</v>
      </c>
      <c r="J989" s="14">
        <f t="shared" si="253"/>
        <v>2.8499999999999979</v>
      </c>
      <c r="K989" s="13">
        <v>22</v>
      </c>
      <c r="L989" s="14"/>
      <c r="M989" s="14"/>
      <c r="N989" s="14"/>
      <c r="O989" s="14"/>
      <c r="P989" s="14"/>
      <c r="Q989" s="14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3.2">
      <c r="A990" s="14"/>
      <c r="B990" s="5">
        <v>4</v>
      </c>
      <c r="C990" s="5">
        <f t="shared" si="246"/>
        <v>28</v>
      </c>
      <c r="D990" s="20">
        <v>43027</v>
      </c>
      <c r="E990" s="11">
        <v>383.7</v>
      </c>
      <c r="F990" s="12"/>
      <c r="G990" s="14"/>
      <c r="H990" s="14"/>
      <c r="I990" s="15"/>
      <c r="J990" s="14"/>
      <c r="K990" s="15"/>
      <c r="L990" s="14"/>
      <c r="M990" s="14"/>
      <c r="N990" s="14"/>
      <c r="O990" s="14"/>
      <c r="P990" s="14"/>
      <c r="Q990" s="14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3.2">
      <c r="A991" s="14"/>
      <c r="B991" s="5">
        <v>4</v>
      </c>
      <c r="C991" s="5">
        <f t="shared" si="246"/>
        <v>29</v>
      </c>
      <c r="D991" s="20">
        <f>D989+2</f>
        <v>43028</v>
      </c>
      <c r="E991" s="11">
        <v>374.2</v>
      </c>
      <c r="F991" s="12">
        <f t="shared" ref="F991:F993" si="254">(E990-E991)/(D991-D990)</f>
        <v>9.5</v>
      </c>
      <c r="G991" s="14"/>
      <c r="H991" s="14"/>
      <c r="I991" s="13">
        <v>55.1</v>
      </c>
      <c r="J991" s="15">
        <f>(I989-I991)/(D991-D989)</f>
        <v>2.8999999999999986</v>
      </c>
      <c r="K991" s="13">
        <v>21.6</v>
      </c>
      <c r="L991" s="14"/>
      <c r="M991" s="14"/>
      <c r="N991" s="14"/>
      <c r="O991" s="14"/>
      <c r="P991" s="14"/>
      <c r="Q991" s="14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3.2">
      <c r="A992" s="14"/>
      <c r="B992" s="5">
        <v>4</v>
      </c>
      <c r="C992" s="5">
        <f t="shared" si="246"/>
        <v>32</v>
      </c>
      <c r="D992" s="20">
        <v>43031</v>
      </c>
      <c r="E992" s="11">
        <v>362.8</v>
      </c>
      <c r="F992" s="12">
        <f t="shared" si="254"/>
        <v>3.7999999999999923</v>
      </c>
      <c r="G992" s="14"/>
      <c r="H992" s="14"/>
      <c r="I992" s="13">
        <v>46.9</v>
      </c>
      <c r="J992" s="15">
        <f t="shared" ref="J992:J993" si="255">(I991-I992)/(D992-D991)</f>
        <v>2.7333333333333343</v>
      </c>
      <c r="K992" s="13">
        <v>22.8</v>
      </c>
      <c r="L992" s="14"/>
      <c r="M992" s="14"/>
      <c r="N992" s="14"/>
      <c r="O992" s="14"/>
      <c r="P992" s="14"/>
      <c r="Q992" s="14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3.2">
      <c r="A993" s="14"/>
      <c r="B993" s="5">
        <v>4</v>
      </c>
      <c r="C993" s="5">
        <f t="shared" si="246"/>
        <v>34</v>
      </c>
      <c r="D993" s="20">
        <v>43033</v>
      </c>
      <c r="E993" s="11">
        <v>352.3</v>
      </c>
      <c r="F993" s="12">
        <f t="shared" si="254"/>
        <v>5.25</v>
      </c>
      <c r="G993" s="14"/>
      <c r="H993" s="14"/>
      <c r="I993" s="13">
        <v>42.4</v>
      </c>
      <c r="J993" s="15">
        <f t="shared" si="255"/>
        <v>2.25</v>
      </c>
      <c r="K993" s="13">
        <v>22.4</v>
      </c>
      <c r="L993" s="14"/>
      <c r="M993" s="14"/>
      <c r="N993" s="14"/>
      <c r="O993" s="14"/>
      <c r="P993" s="14"/>
      <c r="Q993" s="14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3.2">
      <c r="A994" s="14"/>
      <c r="B994" s="5">
        <v>5</v>
      </c>
      <c r="C994" s="5">
        <f t="shared" si="246"/>
        <v>35</v>
      </c>
      <c r="D994" s="20">
        <v>43034</v>
      </c>
      <c r="E994" s="11">
        <v>326.10000000000002</v>
      </c>
      <c r="F994" s="12"/>
      <c r="G994" s="14"/>
      <c r="H994" s="14"/>
      <c r="I994" s="15"/>
      <c r="J994" s="15"/>
      <c r="K994" s="15"/>
      <c r="L994" s="14"/>
      <c r="M994" s="14"/>
      <c r="N994" s="14"/>
      <c r="O994" s="14"/>
      <c r="P994" s="14"/>
      <c r="Q994" s="14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3.2">
      <c r="A995" s="14"/>
      <c r="B995" s="5">
        <v>5</v>
      </c>
      <c r="C995" s="5">
        <f t="shared" si="246"/>
        <v>36</v>
      </c>
      <c r="D995" s="20">
        <v>43035</v>
      </c>
      <c r="E995" s="11">
        <v>321.3</v>
      </c>
      <c r="F995" s="12">
        <f t="shared" ref="F995:F997" si="256">(E994-E995)/(D995-D994)</f>
        <v>4.8000000000000114</v>
      </c>
      <c r="G995" s="14"/>
      <c r="H995" s="14"/>
      <c r="I995" s="13">
        <v>37.700000000000003</v>
      </c>
      <c r="J995" s="15">
        <f>(I993-I995)/(D995-D993)</f>
        <v>2.3499999999999979</v>
      </c>
      <c r="K995" s="13">
        <v>22.7</v>
      </c>
      <c r="L995" s="14"/>
      <c r="M995" s="14"/>
      <c r="N995" s="14"/>
      <c r="O995" s="14"/>
      <c r="P995" s="14"/>
      <c r="Q995" s="14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3.2">
      <c r="A996" s="14"/>
      <c r="B996" s="5">
        <v>5</v>
      </c>
      <c r="C996" s="5">
        <f t="shared" si="246"/>
        <v>39</v>
      </c>
      <c r="D996" s="20">
        <v>43038</v>
      </c>
      <c r="E996" s="11">
        <v>301.39999999999998</v>
      </c>
      <c r="F996" s="12">
        <f t="shared" si="256"/>
        <v>6.6333333333333444</v>
      </c>
      <c r="G996" s="14"/>
      <c r="H996" s="14"/>
      <c r="I996" s="13">
        <v>30.4</v>
      </c>
      <c r="J996" s="15">
        <f>(I995-I996)/(D996-D995)</f>
        <v>2.4333333333333349</v>
      </c>
      <c r="K996" s="13">
        <v>23.7</v>
      </c>
      <c r="L996" s="14"/>
      <c r="M996" s="14"/>
      <c r="N996" s="14"/>
      <c r="O996" s="14"/>
      <c r="P996" s="14"/>
      <c r="Q996" s="14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3.2">
      <c r="A997" s="14"/>
      <c r="B997" s="5">
        <v>5</v>
      </c>
      <c r="C997" s="5">
        <f t="shared" si="246"/>
        <v>41</v>
      </c>
      <c r="D997" s="20">
        <v>43040</v>
      </c>
      <c r="E997" s="11">
        <v>290.2</v>
      </c>
      <c r="F997" s="12">
        <f t="shared" si="256"/>
        <v>5.5999999999999943</v>
      </c>
      <c r="G997" s="14"/>
      <c r="H997" s="14"/>
      <c r="I997" s="13">
        <v>79.7</v>
      </c>
      <c r="J997" s="15">
        <f>(86.6-I997)/(D997-D996)</f>
        <v>3.4499999999999957</v>
      </c>
      <c r="K997" s="13">
        <v>24.3</v>
      </c>
      <c r="L997" s="14"/>
      <c r="M997" s="14"/>
      <c r="N997" s="14"/>
      <c r="O997" s="14"/>
      <c r="P997" s="14"/>
      <c r="Q997" s="14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3.2">
      <c r="A998" s="14"/>
      <c r="B998" s="5">
        <v>6</v>
      </c>
      <c r="C998" s="5">
        <f t="shared" si="246"/>
        <v>42</v>
      </c>
      <c r="D998" s="20">
        <v>43041</v>
      </c>
      <c r="E998" s="11">
        <v>367.3</v>
      </c>
      <c r="F998" s="12"/>
      <c r="G998" s="14"/>
      <c r="H998" s="14"/>
      <c r="I998" s="15"/>
      <c r="J998" s="14"/>
      <c r="K998" s="15"/>
      <c r="L998" s="14"/>
      <c r="M998" s="14"/>
      <c r="N998" s="14"/>
      <c r="O998" s="14"/>
      <c r="P998" s="14"/>
      <c r="Q998" s="14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3.2">
      <c r="A999" s="14"/>
      <c r="B999" s="5">
        <v>6</v>
      </c>
      <c r="C999" s="5">
        <f t="shared" si="246"/>
        <v>43</v>
      </c>
      <c r="D999" s="20">
        <v>43042</v>
      </c>
      <c r="E999" s="11">
        <v>362.5</v>
      </c>
      <c r="F999" s="12">
        <f t="shared" ref="F999:F1001" si="257">(E998-E999)/(D999-D998)</f>
        <v>4.8000000000000114</v>
      </c>
      <c r="G999" s="14"/>
      <c r="H999" s="14"/>
      <c r="I999" s="13">
        <v>74.3</v>
      </c>
      <c r="J999" s="15">
        <f>(I997-I999)/(D999-D997)</f>
        <v>2.7000000000000028</v>
      </c>
      <c r="K999" s="13">
        <v>24.8</v>
      </c>
      <c r="L999" s="14"/>
      <c r="M999" s="14"/>
      <c r="N999" s="14"/>
      <c r="O999" s="14"/>
      <c r="P999" s="14"/>
      <c r="Q999" s="14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3.2">
      <c r="A1000" s="14"/>
      <c r="B1000" s="5">
        <v>6</v>
      </c>
      <c r="C1000" s="5">
        <f t="shared" si="246"/>
        <v>46</v>
      </c>
      <c r="D1000" s="20">
        <v>43045</v>
      </c>
      <c r="E1000" s="11">
        <v>347.7</v>
      </c>
      <c r="F1000" s="12">
        <f t="shared" si="257"/>
        <v>4.9333333333333371</v>
      </c>
      <c r="G1000" s="14"/>
      <c r="H1000" s="14"/>
      <c r="I1000" s="13">
        <v>62.7</v>
      </c>
      <c r="J1000" s="15">
        <f t="shared" ref="J1000:J1001" si="258">(I999-I1000)/(D1000-D999)</f>
        <v>3.8666666666666649</v>
      </c>
      <c r="K1000" s="13">
        <v>25.4</v>
      </c>
      <c r="L1000" s="14"/>
      <c r="M1000" s="14"/>
      <c r="N1000" s="14"/>
      <c r="O1000" s="14"/>
      <c r="P1000" s="14"/>
      <c r="Q1000" s="14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spans="1:27" ht="13.2">
      <c r="A1001" s="14"/>
      <c r="B1001" s="5">
        <v>6</v>
      </c>
      <c r="C1001" s="5">
        <f t="shared" si="246"/>
        <v>48</v>
      </c>
      <c r="D1001" s="20">
        <v>43047</v>
      </c>
      <c r="E1001" s="11">
        <v>338.1</v>
      </c>
      <c r="F1001" s="12">
        <f t="shared" si="257"/>
        <v>4.7999999999999829</v>
      </c>
      <c r="G1001" s="14"/>
      <c r="H1001" s="14"/>
      <c r="I1001" s="13">
        <v>52.9</v>
      </c>
      <c r="J1001" s="15">
        <f t="shared" si="258"/>
        <v>4.9000000000000021</v>
      </c>
      <c r="K1001" s="13">
        <v>26.6</v>
      </c>
      <c r="L1001" s="14"/>
      <c r="M1001" s="14"/>
      <c r="N1001" s="14"/>
      <c r="O1001" s="14"/>
      <c r="P1001" s="14"/>
      <c r="Q1001" s="14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spans="1:27" ht="13.2">
      <c r="A1002" s="14"/>
      <c r="B1002" s="5">
        <v>7</v>
      </c>
      <c r="C1002" s="5">
        <f t="shared" si="246"/>
        <v>49</v>
      </c>
      <c r="D1002" s="20">
        <v>43048</v>
      </c>
      <c r="E1002" s="11">
        <v>357.7</v>
      </c>
      <c r="F1002" s="12"/>
      <c r="G1002" s="14"/>
      <c r="H1002" s="14"/>
      <c r="I1002" s="15"/>
      <c r="J1002" s="14"/>
      <c r="K1002" s="15"/>
      <c r="L1002" s="14"/>
      <c r="M1002" s="14"/>
      <c r="N1002" s="14"/>
      <c r="O1002" s="14"/>
      <c r="P1002" s="14"/>
      <c r="Q1002" s="14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spans="1:27" ht="13.2">
      <c r="A1003" s="14"/>
      <c r="B1003" s="5">
        <v>7</v>
      </c>
      <c r="C1003" s="5">
        <f t="shared" si="246"/>
        <v>50</v>
      </c>
      <c r="D1003" s="20">
        <v>43049</v>
      </c>
      <c r="E1003" s="11">
        <v>351.9</v>
      </c>
      <c r="F1003" s="12">
        <f t="shared" ref="F1003:F1005" si="259">(E1002-E1003)/(D1003-D1002)</f>
        <v>5.8000000000000114</v>
      </c>
      <c r="G1003" s="14"/>
      <c r="H1003" s="14"/>
      <c r="I1003" s="13">
        <v>43.8</v>
      </c>
      <c r="J1003" s="15">
        <f>(I1001-I1003)/(D1003-D1001)</f>
        <v>4.5500000000000007</v>
      </c>
      <c r="K1003" s="13">
        <v>26.4</v>
      </c>
      <c r="L1003" s="14"/>
      <c r="M1003" s="14"/>
      <c r="N1003" s="14"/>
      <c r="O1003" s="14"/>
      <c r="P1003" s="14"/>
      <c r="Q1003" s="14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spans="1:27" ht="13.2">
      <c r="A1004" s="14"/>
      <c r="B1004" s="5">
        <v>7</v>
      </c>
      <c r="C1004" s="5">
        <f t="shared" si="246"/>
        <v>53</v>
      </c>
      <c r="D1004" s="20">
        <v>43052</v>
      </c>
      <c r="E1004" s="11">
        <v>339.3</v>
      </c>
      <c r="F1004" s="12">
        <f t="shared" si="259"/>
        <v>4.1999999999999886</v>
      </c>
      <c r="G1004" s="14"/>
      <c r="H1004" s="14"/>
      <c r="I1004" s="13">
        <v>31.9</v>
      </c>
      <c r="J1004" s="15">
        <f>(I1003-I1004)/(D1004-D1003)</f>
        <v>3.9666666666666663</v>
      </c>
      <c r="K1004" s="13">
        <v>28.2</v>
      </c>
      <c r="L1004" s="14"/>
      <c r="M1004" s="14"/>
      <c r="N1004" s="14"/>
      <c r="O1004" s="14"/>
      <c r="P1004" s="14"/>
      <c r="Q1004" s="14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spans="1:27" ht="13.2">
      <c r="A1005" s="14"/>
      <c r="B1005" s="5">
        <v>7</v>
      </c>
      <c r="C1005" s="5">
        <f t="shared" si="246"/>
        <v>55</v>
      </c>
      <c r="D1005" s="20">
        <v>43054</v>
      </c>
      <c r="E1005" s="11">
        <v>320.60000000000002</v>
      </c>
      <c r="F1005" s="12">
        <f t="shared" si="259"/>
        <v>9.3499999999999943</v>
      </c>
      <c r="G1005" s="14"/>
      <c r="H1005" s="14"/>
      <c r="I1005" s="13">
        <v>88.7</v>
      </c>
      <c r="J1005" s="14">
        <f>(96.2-I1005)/(D1005-D1004)</f>
        <v>3.75</v>
      </c>
      <c r="K1005" s="13">
        <v>29.2</v>
      </c>
      <c r="L1005" s="14"/>
      <c r="M1005" s="14"/>
      <c r="N1005" s="14"/>
      <c r="O1005" s="14"/>
      <c r="P1005" s="14"/>
      <c r="Q1005" s="14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spans="1:27" ht="13.2">
      <c r="A1006" s="14"/>
      <c r="B1006" s="5">
        <v>8</v>
      </c>
      <c r="C1006" s="5">
        <f t="shared" si="246"/>
        <v>56</v>
      </c>
      <c r="D1006" s="20">
        <v>43055</v>
      </c>
      <c r="E1006" s="11">
        <v>367</v>
      </c>
      <c r="F1006" s="12"/>
      <c r="G1006" s="14"/>
      <c r="H1006" s="14"/>
      <c r="I1006" s="15"/>
      <c r="J1006" s="14"/>
      <c r="K1006" s="15"/>
      <c r="L1006" s="14"/>
      <c r="M1006" s="14"/>
      <c r="N1006" s="14"/>
      <c r="O1006" s="14"/>
      <c r="P1006" s="14"/>
      <c r="Q1006" s="14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spans="1:27" ht="13.2">
      <c r="A1007" s="14"/>
      <c r="B1007" s="5">
        <v>8</v>
      </c>
      <c r="C1007" s="5">
        <f t="shared" si="246"/>
        <v>57</v>
      </c>
      <c r="D1007" s="20">
        <v>43056</v>
      </c>
      <c r="E1007" s="11">
        <v>360.5</v>
      </c>
      <c r="F1007" s="12">
        <f t="shared" ref="F1007:F1008" si="260">(E1006-E1007)/(D1007-D1006)</f>
        <v>6.5</v>
      </c>
      <c r="G1007" s="14"/>
      <c r="H1007" s="14"/>
      <c r="I1007" s="13">
        <v>77.5</v>
      </c>
      <c r="J1007" s="14">
        <f>(I1005-I1007)/(D1007-D1005)</f>
        <v>5.6000000000000014</v>
      </c>
      <c r="K1007" s="13">
        <v>28.3</v>
      </c>
      <c r="L1007" s="14"/>
      <c r="M1007" s="14"/>
      <c r="N1007" s="14"/>
      <c r="O1007" s="14"/>
      <c r="P1007" s="14"/>
      <c r="Q1007" s="14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spans="1:27" ht="13.2">
      <c r="A1008" s="14"/>
      <c r="B1008" s="5">
        <v>8</v>
      </c>
      <c r="C1008" s="5">
        <f t="shared" si="246"/>
        <v>60</v>
      </c>
      <c r="D1008" s="20">
        <v>43059</v>
      </c>
      <c r="E1008" s="11">
        <v>347</v>
      </c>
      <c r="F1008" s="12">
        <f t="shared" si="260"/>
        <v>4.5</v>
      </c>
      <c r="G1008" s="14"/>
      <c r="H1008" s="14"/>
      <c r="I1008" s="13">
        <v>63.7</v>
      </c>
      <c r="J1008" s="15">
        <f>(I1007-I1008)/(D1008-D1007)</f>
        <v>4.5999999999999988</v>
      </c>
      <c r="K1008" s="13">
        <v>30.6</v>
      </c>
      <c r="L1008" s="14"/>
      <c r="M1008" s="14"/>
      <c r="N1008" s="14"/>
      <c r="O1008" s="14"/>
      <c r="P1008" s="14"/>
      <c r="Q1008" s="14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spans="1:27" ht="13.2">
      <c r="A1009" s="14"/>
      <c r="B1009" s="5">
        <v>8</v>
      </c>
      <c r="C1009" s="5">
        <f t="shared" si="246"/>
        <v>61</v>
      </c>
      <c r="D1009" s="20">
        <v>43060</v>
      </c>
      <c r="E1009" s="11">
        <v>362.1</v>
      </c>
      <c r="F1009" s="12"/>
      <c r="G1009" s="14"/>
      <c r="H1009" s="14"/>
      <c r="I1009" s="15"/>
      <c r="J1009" s="14"/>
      <c r="K1009" s="15"/>
      <c r="L1009" s="14"/>
      <c r="M1009" s="14"/>
      <c r="N1009" s="14"/>
      <c r="O1009" s="14"/>
      <c r="P1009" s="14"/>
      <c r="Q1009" s="14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 spans="1:27" ht="13.2">
      <c r="A1010" s="14"/>
      <c r="B1010" s="5">
        <v>8</v>
      </c>
      <c r="C1010" s="5">
        <f t="shared" si="246"/>
        <v>62</v>
      </c>
      <c r="D1010" s="20">
        <v>43061</v>
      </c>
      <c r="E1010" s="11">
        <v>354.5</v>
      </c>
      <c r="F1010" s="12">
        <f>(E1009-E1010)/(D1010-D1009)</f>
        <v>7.6000000000000227</v>
      </c>
      <c r="G1010" s="14"/>
      <c r="H1010" s="14"/>
      <c r="I1010" s="13">
        <v>49.1</v>
      </c>
      <c r="J1010" s="14">
        <f>(I1008-I1010)/(D1010-D1008)</f>
        <v>7.3000000000000007</v>
      </c>
      <c r="K1010" s="13">
        <v>30.3</v>
      </c>
      <c r="L1010" s="14"/>
      <c r="M1010" s="14"/>
      <c r="N1010" s="14"/>
      <c r="O1010" s="14"/>
      <c r="P1010" s="14"/>
      <c r="Q1010" s="14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 spans="1:27" ht="13.2">
      <c r="A1011" s="14"/>
      <c r="B1011" s="5">
        <v>9</v>
      </c>
      <c r="C1011" s="5">
        <f t="shared" si="246"/>
        <v>63</v>
      </c>
      <c r="D1011" s="20">
        <v>43062</v>
      </c>
      <c r="E1011" s="11"/>
      <c r="F1011" s="12"/>
      <c r="G1011" s="14"/>
      <c r="H1011" s="14"/>
      <c r="I1011" s="13"/>
      <c r="J1011" s="15"/>
      <c r="K1011" s="13"/>
      <c r="L1011" s="14"/>
      <c r="M1011" s="14"/>
      <c r="N1011" s="14"/>
      <c r="O1011" s="14"/>
      <c r="P1011" s="14"/>
      <c r="Q1011" s="14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 spans="1:27" ht="13.2">
      <c r="A1012" s="14"/>
      <c r="B1012" s="5">
        <v>9</v>
      </c>
      <c r="C1012" s="5">
        <f t="shared" si="246"/>
        <v>64</v>
      </c>
      <c r="D1012" s="20">
        <v>43063</v>
      </c>
      <c r="E1012" s="11">
        <v>344.6</v>
      </c>
      <c r="F1012" s="12">
        <f>(E1010-E1012)/(D1012-D1010)</f>
        <v>4.9499999999999886</v>
      </c>
      <c r="G1012" s="14"/>
      <c r="H1012" s="14"/>
      <c r="I1012" s="13">
        <v>44</v>
      </c>
      <c r="J1012" s="15">
        <f>(I1010-I1012)/(D1012-D1010)</f>
        <v>2.5500000000000007</v>
      </c>
      <c r="K1012" s="13">
        <v>31.2</v>
      </c>
      <c r="L1012" s="14"/>
      <c r="M1012" s="14"/>
      <c r="N1012" s="14"/>
      <c r="O1012" s="14"/>
      <c r="P1012" s="14"/>
      <c r="Q1012" s="14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 spans="1:27" ht="13.2">
      <c r="A1013" s="14"/>
      <c r="B1013" s="5">
        <v>9</v>
      </c>
      <c r="C1013" s="5">
        <f t="shared" si="246"/>
        <v>67</v>
      </c>
      <c r="D1013" s="23">
        <v>43066</v>
      </c>
      <c r="E1013" s="11">
        <v>332.5</v>
      </c>
      <c r="F1013" s="12">
        <f t="shared" ref="F1013:F1014" si="261">(E1012-E1013)/(D1013-D1012)</f>
        <v>4.0333333333333412</v>
      </c>
      <c r="G1013" s="14"/>
      <c r="H1013" s="14"/>
      <c r="I1013" s="13">
        <v>34.5</v>
      </c>
      <c r="J1013" s="15">
        <f>(I1012-I1013)/(D1013-D1012)</f>
        <v>3.1666666666666665</v>
      </c>
      <c r="K1013" s="13">
        <v>31.4</v>
      </c>
      <c r="L1013" s="14"/>
      <c r="M1013" s="14"/>
      <c r="N1013" s="14"/>
      <c r="O1013" s="14"/>
      <c r="P1013" s="14"/>
      <c r="Q1013" s="14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 spans="1:27" ht="13.2">
      <c r="A1014" s="14"/>
      <c r="B1014" s="5">
        <v>9</v>
      </c>
      <c r="C1014" s="5">
        <f t="shared" si="246"/>
        <v>69</v>
      </c>
      <c r="D1014" s="23">
        <v>43068</v>
      </c>
      <c r="E1014" s="139">
        <v>323.2</v>
      </c>
      <c r="F1014" s="12">
        <f t="shared" si="261"/>
        <v>4.6500000000000057</v>
      </c>
      <c r="G1014" s="187"/>
      <c r="H1014" s="187"/>
      <c r="I1014" s="139">
        <v>96.8</v>
      </c>
      <c r="J1014" s="187">
        <f>(103.4-I1014)/(D1014-D1013)</f>
        <v>3.3000000000000043</v>
      </c>
      <c r="K1014" s="139">
        <v>32.9</v>
      </c>
      <c r="L1014" s="14"/>
      <c r="M1014" s="14"/>
      <c r="N1014" s="14"/>
      <c r="O1014" s="14"/>
      <c r="P1014" s="14"/>
      <c r="Q1014" s="14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 spans="1:27" ht="13.2">
      <c r="A1015" s="14"/>
      <c r="B1015" s="5">
        <v>10</v>
      </c>
      <c r="C1015" s="5">
        <f t="shared" si="246"/>
        <v>70</v>
      </c>
      <c r="D1015" s="23">
        <v>43069</v>
      </c>
      <c r="E1015" s="139">
        <v>346.5</v>
      </c>
      <c r="F1015" s="187"/>
      <c r="G1015" s="187"/>
      <c r="H1015" s="187"/>
      <c r="I1015" s="187"/>
      <c r="J1015" s="187"/>
      <c r="K1015" s="187"/>
      <c r="L1015" s="14"/>
      <c r="M1015" s="14"/>
      <c r="N1015" s="14"/>
      <c r="O1015" s="14"/>
      <c r="P1015" s="14"/>
      <c r="Q1015" s="14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 spans="1:27" ht="13.2">
      <c r="A1016" s="14"/>
      <c r="B1016" s="5">
        <v>10</v>
      </c>
      <c r="C1016" s="5">
        <f t="shared" si="246"/>
        <v>71</v>
      </c>
      <c r="D1016" s="23">
        <v>43070</v>
      </c>
      <c r="E1016" s="139">
        <v>340.2</v>
      </c>
      <c r="F1016" s="12">
        <f t="shared" ref="F1016:F1018" si="262">(E1015-E1016)/(D1016-D1015)</f>
        <v>6.3000000000000114</v>
      </c>
      <c r="G1016" s="187"/>
      <c r="H1016" s="187"/>
      <c r="I1016" s="139">
        <v>89.1</v>
      </c>
      <c r="J1016" s="14">
        <f>(I1014-I1016)/(D1016-D1014)</f>
        <v>3.8500000000000014</v>
      </c>
      <c r="K1016" s="139">
        <v>33.4</v>
      </c>
      <c r="L1016" s="14"/>
      <c r="M1016" s="14"/>
      <c r="N1016" s="14"/>
      <c r="O1016" s="14"/>
      <c r="P1016" s="14"/>
      <c r="Q1016" s="14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 spans="1:27" ht="13.2">
      <c r="A1017" s="14"/>
      <c r="B1017" s="5">
        <v>10</v>
      </c>
      <c r="C1017" s="5">
        <f t="shared" si="246"/>
        <v>74</v>
      </c>
      <c r="D1017" s="23">
        <v>43073</v>
      </c>
      <c r="E1017" s="139">
        <v>330.3</v>
      </c>
      <c r="F1017" s="12">
        <f t="shared" si="262"/>
        <v>3.2999999999999923</v>
      </c>
      <c r="G1017" s="187"/>
      <c r="H1017" s="187"/>
      <c r="I1017" s="139">
        <v>81.099999999999994</v>
      </c>
      <c r="J1017" s="15">
        <f t="shared" ref="J1017:J1018" si="263">(I1016-I1017)/(D1017-D1016)</f>
        <v>2.6666666666666665</v>
      </c>
      <c r="K1017" s="139">
        <v>33.6</v>
      </c>
      <c r="L1017" s="14"/>
      <c r="M1017" s="14"/>
      <c r="N1017" s="14"/>
      <c r="O1017" s="14"/>
      <c r="P1017" s="14"/>
      <c r="Q1017" s="14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 spans="1:27" ht="13.2">
      <c r="A1018" s="14"/>
      <c r="B1018" s="5">
        <v>10</v>
      </c>
      <c r="C1018" s="5">
        <f t="shared" si="246"/>
        <v>76</v>
      </c>
      <c r="D1018" s="23">
        <v>43075</v>
      </c>
      <c r="E1018" s="139">
        <v>319.89999999999998</v>
      </c>
      <c r="F1018" s="12">
        <f t="shared" si="262"/>
        <v>5.2000000000000171</v>
      </c>
      <c r="G1018" s="187"/>
      <c r="H1018" s="187"/>
      <c r="I1018" s="139">
        <v>74.7</v>
      </c>
      <c r="J1018" s="15">
        <f t="shared" si="263"/>
        <v>3.1999999999999957</v>
      </c>
      <c r="K1018" s="139">
        <v>33.5</v>
      </c>
      <c r="L1018" s="14"/>
      <c r="M1018" s="14"/>
      <c r="N1018" s="14"/>
      <c r="O1018" s="14"/>
      <c r="P1018" s="14"/>
      <c r="Q1018" s="14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 spans="1:27" ht="13.2">
      <c r="A1019" s="14"/>
      <c r="B1019" s="5">
        <v>11</v>
      </c>
      <c r="C1019" s="5">
        <f t="shared" si="246"/>
        <v>77</v>
      </c>
      <c r="D1019" s="24">
        <v>43076</v>
      </c>
      <c r="E1019" s="11">
        <v>358.5</v>
      </c>
      <c r="F1019" s="12"/>
      <c r="G1019" s="14"/>
      <c r="H1019" s="14"/>
      <c r="I1019" s="15"/>
      <c r="J1019" s="14"/>
      <c r="K1019" s="15"/>
      <c r="L1019" s="14"/>
      <c r="M1019" s="14"/>
      <c r="N1019" s="14"/>
      <c r="O1019" s="14"/>
      <c r="P1019" s="14"/>
      <c r="Q1019" s="14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 spans="1:27" ht="13.2">
      <c r="A1020" s="5"/>
      <c r="B1020" s="5">
        <v>11</v>
      </c>
      <c r="C1020" s="5">
        <f t="shared" si="246"/>
        <v>78</v>
      </c>
      <c r="D1020" s="24">
        <v>43077</v>
      </c>
      <c r="E1020" s="10">
        <v>353.9</v>
      </c>
      <c r="F1020" s="12">
        <f t="shared" ref="F1020:F1022" si="264">(E1019-E1020)/(D1020-D1019)</f>
        <v>4.6000000000000227</v>
      </c>
      <c r="G1020" s="14"/>
      <c r="H1020" s="14"/>
      <c r="I1020" s="13">
        <v>69.099999999999994</v>
      </c>
      <c r="J1020" s="14">
        <f>(I1018-I1020)/(D1020-D1018)</f>
        <v>2.8000000000000043</v>
      </c>
      <c r="K1020" s="13">
        <v>33.799999999999997</v>
      </c>
      <c r="L1020" s="14"/>
      <c r="M1020" s="14"/>
      <c r="N1020" s="14"/>
      <c r="O1020" s="14"/>
      <c r="P1020" s="14"/>
      <c r="Q1020" s="14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 spans="1:27" ht="13.2">
      <c r="A1021" s="14"/>
      <c r="B1021" s="5">
        <v>11</v>
      </c>
      <c r="C1021" s="5">
        <f t="shared" si="246"/>
        <v>81</v>
      </c>
      <c r="D1021" s="24">
        <v>43080</v>
      </c>
      <c r="E1021" s="10">
        <v>343.4</v>
      </c>
      <c r="F1021" s="12">
        <f t="shared" si="264"/>
        <v>3.5</v>
      </c>
      <c r="G1021" s="14"/>
      <c r="H1021" s="14"/>
      <c r="I1021" s="13">
        <v>60.7</v>
      </c>
      <c r="J1021" s="15">
        <f t="shared" ref="J1021:J1022" si="265">(I1020-I1021)/(D1021-D1020)</f>
        <v>2.7999999999999972</v>
      </c>
      <c r="K1021" s="13">
        <v>34.4</v>
      </c>
      <c r="L1021" s="14"/>
      <c r="M1021" s="14"/>
      <c r="N1021" s="14"/>
      <c r="O1021" s="14"/>
      <c r="P1021" s="14"/>
      <c r="Q1021" s="14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 spans="1:27" ht="13.2">
      <c r="A1022" s="14"/>
      <c r="B1022" s="5">
        <v>11</v>
      </c>
      <c r="C1022" s="5">
        <f t="shared" si="246"/>
        <v>83</v>
      </c>
      <c r="D1022" s="25">
        <v>43082</v>
      </c>
      <c r="E1022" s="10">
        <v>334.2</v>
      </c>
      <c r="F1022" s="12">
        <f t="shared" si="264"/>
        <v>4.5999999999999943</v>
      </c>
      <c r="G1022" s="14"/>
      <c r="H1022" s="14"/>
      <c r="I1022" s="13">
        <v>53.1</v>
      </c>
      <c r="J1022" s="15">
        <f t="shared" si="265"/>
        <v>3.8000000000000007</v>
      </c>
      <c r="K1022" s="13">
        <v>34.4</v>
      </c>
      <c r="L1022" s="14"/>
      <c r="M1022" s="14"/>
      <c r="N1022" s="14"/>
      <c r="O1022" s="14"/>
      <c r="P1022" s="14"/>
      <c r="Q1022" s="14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 spans="1:27" ht="13.2">
      <c r="A1023" s="14"/>
      <c r="B1023" s="5">
        <v>12</v>
      </c>
      <c r="C1023" s="5">
        <f t="shared" si="246"/>
        <v>84</v>
      </c>
      <c r="D1023" s="24">
        <v>43083</v>
      </c>
      <c r="E1023" s="137"/>
      <c r="F1023" s="12"/>
      <c r="G1023" s="14"/>
      <c r="H1023" s="14"/>
      <c r="I1023" s="15"/>
      <c r="J1023" s="14"/>
      <c r="K1023" s="13"/>
      <c r="L1023" s="14"/>
      <c r="M1023" s="14"/>
      <c r="N1023" s="14"/>
      <c r="O1023" s="14"/>
      <c r="P1023" s="14"/>
      <c r="Q1023" s="14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 spans="1:27" ht="13.2">
      <c r="A1024" s="174"/>
      <c r="B1024" s="170">
        <v>12</v>
      </c>
      <c r="C1024" s="170">
        <f t="shared" si="246"/>
        <v>85</v>
      </c>
      <c r="D1024" s="178">
        <v>43084</v>
      </c>
      <c r="E1024" s="228"/>
      <c r="F1024" s="175"/>
      <c r="G1024" s="174"/>
      <c r="H1024" s="174"/>
      <c r="I1024" s="179"/>
      <c r="J1024" s="174"/>
      <c r="K1024" s="176">
        <v>35.299999999999997</v>
      </c>
      <c r="L1024" s="174"/>
      <c r="M1024" s="14"/>
      <c r="N1024" s="14"/>
      <c r="O1024" s="14"/>
      <c r="P1024" s="14"/>
      <c r="Q1024" s="14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 spans="1:27" ht="13.2">
      <c r="A1025" s="14"/>
      <c r="B1025" s="5">
        <v>12</v>
      </c>
      <c r="C1025" s="5">
        <f t="shared" si="246"/>
        <v>98</v>
      </c>
      <c r="D1025" s="32">
        <v>43097</v>
      </c>
      <c r="E1025" s="137"/>
      <c r="F1025" s="11"/>
      <c r="G1025" s="14"/>
      <c r="H1025" s="14"/>
      <c r="I1025" s="33">
        <v>58.8</v>
      </c>
      <c r="J1025" s="14"/>
      <c r="K1025" s="33">
        <v>38.700000000000003</v>
      </c>
      <c r="L1025" s="14"/>
      <c r="M1025" s="14"/>
      <c r="N1025" s="14"/>
      <c r="O1025" s="14"/>
      <c r="P1025" s="14"/>
      <c r="Q1025" s="14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 spans="1:27" ht="13.2">
      <c r="A1026" s="14"/>
      <c r="B1026" s="5">
        <v>12</v>
      </c>
      <c r="C1026" s="5">
        <f t="shared" si="246"/>
        <v>105</v>
      </c>
      <c r="D1026" s="32">
        <v>43104</v>
      </c>
      <c r="E1026" s="137"/>
      <c r="F1026" s="12"/>
      <c r="G1026" s="14"/>
      <c r="H1026" s="14"/>
      <c r="I1026" s="33">
        <v>38.5</v>
      </c>
      <c r="J1026" s="14"/>
      <c r="K1026" s="33">
        <v>39.200000000000003</v>
      </c>
      <c r="L1026" s="14"/>
      <c r="M1026" s="14"/>
      <c r="N1026" s="14"/>
      <c r="O1026" s="14"/>
      <c r="P1026" s="14"/>
      <c r="Q1026" s="14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 spans="1:27" ht="13.2">
      <c r="A1027" s="14"/>
      <c r="B1027" s="5"/>
      <c r="C1027" s="5">
        <f t="shared" si="246"/>
        <v>112</v>
      </c>
      <c r="D1027" s="32">
        <v>43111</v>
      </c>
      <c r="E1027" s="137"/>
      <c r="F1027" s="11"/>
      <c r="G1027" s="14"/>
      <c r="H1027" s="14"/>
      <c r="I1027" s="33">
        <v>31.6</v>
      </c>
      <c r="J1027" s="14"/>
      <c r="K1027" s="33">
        <v>34.4</v>
      </c>
      <c r="L1027" s="14"/>
      <c r="M1027" s="14"/>
      <c r="N1027" s="14"/>
      <c r="O1027" s="14"/>
      <c r="P1027" s="14"/>
      <c r="Q1027" s="14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 spans="1:27" ht="13.2">
      <c r="A1028" s="14"/>
      <c r="B1028" s="14"/>
      <c r="C1028" s="5">
        <f t="shared" si="246"/>
        <v>116</v>
      </c>
      <c r="D1028" s="20">
        <v>43115</v>
      </c>
      <c r="E1028" s="137"/>
      <c r="F1028" s="12"/>
      <c r="G1028" s="14"/>
      <c r="H1028" s="14"/>
      <c r="I1028" s="33">
        <v>25.3</v>
      </c>
      <c r="J1028" s="14"/>
      <c r="K1028" s="33">
        <v>33.799999999999997</v>
      </c>
      <c r="L1028" s="14"/>
      <c r="M1028" s="14"/>
      <c r="N1028" s="14"/>
      <c r="O1028" s="14"/>
      <c r="P1028" s="14"/>
      <c r="Q1028" s="14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 spans="1:27" ht="13.2">
      <c r="A1029" s="14"/>
      <c r="B1029" s="5"/>
      <c r="C1029" s="5">
        <f t="shared" si="246"/>
        <v>117</v>
      </c>
      <c r="D1029" s="32">
        <v>43116</v>
      </c>
      <c r="E1029" s="12"/>
      <c r="F1029" s="12"/>
      <c r="G1029" s="14"/>
      <c r="H1029" s="14"/>
      <c r="I1029" s="33">
        <v>23.4</v>
      </c>
      <c r="J1029" s="14"/>
      <c r="K1029" s="33">
        <v>33.700000000000003</v>
      </c>
      <c r="L1029" s="14"/>
      <c r="M1029" s="14"/>
      <c r="N1029" s="14"/>
      <c r="O1029" s="14"/>
      <c r="P1029" s="14"/>
      <c r="Q1029" s="14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 spans="1:27" ht="13.2">
      <c r="A1030" s="14"/>
      <c r="B1030" s="5"/>
      <c r="C1030" s="5">
        <f t="shared" si="246"/>
        <v>118</v>
      </c>
      <c r="D1030" s="32">
        <v>43117</v>
      </c>
      <c r="E1030" s="12"/>
      <c r="F1030" s="12"/>
      <c r="G1030" s="14"/>
      <c r="H1030" s="14"/>
      <c r="I1030" s="33">
        <v>58.4</v>
      </c>
      <c r="J1030" s="14"/>
      <c r="K1030" s="33">
        <v>33.700000000000003</v>
      </c>
      <c r="L1030" s="14"/>
      <c r="M1030" s="14"/>
      <c r="N1030" s="14"/>
      <c r="O1030" s="14"/>
      <c r="P1030" s="14"/>
      <c r="Q1030" s="14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 spans="1:27" ht="13.2">
      <c r="A1031" s="14"/>
      <c r="B1031" s="5"/>
      <c r="C1031" s="5">
        <f t="shared" si="246"/>
        <v>119</v>
      </c>
      <c r="D1031" s="32">
        <v>43118</v>
      </c>
      <c r="E1031" s="12"/>
      <c r="F1031" s="12"/>
      <c r="G1031" s="14"/>
      <c r="H1031" s="14"/>
      <c r="I1031" s="33">
        <v>56</v>
      </c>
      <c r="J1031" s="14"/>
      <c r="K1031" s="33">
        <v>33.9</v>
      </c>
      <c r="L1031" s="14"/>
      <c r="M1031" s="14"/>
      <c r="N1031" s="14"/>
      <c r="O1031" s="14"/>
      <c r="P1031" s="14"/>
      <c r="Q1031" s="14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 spans="1:27" ht="13.2">
      <c r="A1032" s="14"/>
      <c r="B1032" s="5"/>
      <c r="C1032" s="5">
        <f t="shared" si="246"/>
        <v>120</v>
      </c>
      <c r="D1032" s="32">
        <v>43119</v>
      </c>
      <c r="E1032" s="12"/>
      <c r="F1032" s="12"/>
      <c r="G1032" s="14"/>
      <c r="H1032" s="14"/>
      <c r="I1032" s="33">
        <v>53.3</v>
      </c>
      <c r="J1032" s="14"/>
      <c r="K1032" s="33">
        <v>34.5</v>
      </c>
      <c r="L1032" s="14"/>
      <c r="M1032" s="14"/>
      <c r="N1032" s="14"/>
      <c r="O1032" s="14"/>
      <c r="P1032" s="14"/>
      <c r="Q1032" s="14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 spans="1:27" ht="13.2">
      <c r="A1033" s="14"/>
      <c r="B1033" s="5"/>
      <c r="C1033" s="5">
        <f t="shared" si="246"/>
        <v>121</v>
      </c>
      <c r="D1033" s="32">
        <v>43120</v>
      </c>
      <c r="E1033" s="12"/>
      <c r="F1033" s="12"/>
      <c r="G1033" s="14"/>
      <c r="H1033" s="14"/>
      <c r="I1033" s="33">
        <v>30</v>
      </c>
      <c r="J1033" s="14"/>
      <c r="K1033" s="33">
        <v>34.5</v>
      </c>
      <c r="L1033" s="14"/>
      <c r="M1033" s="14"/>
      <c r="N1033" s="14"/>
      <c r="O1033" s="14"/>
      <c r="P1033" s="14"/>
      <c r="Q1033" s="14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 spans="1:27" ht="13.2">
      <c r="A1034" s="14"/>
      <c r="B1034" s="5"/>
      <c r="C1034" s="5">
        <f t="shared" si="246"/>
        <v>122</v>
      </c>
      <c r="D1034" s="32">
        <v>43121</v>
      </c>
      <c r="E1034" s="12"/>
      <c r="F1034" s="12"/>
      <c r="G1034" s="14"/>
      <c r="H1034" s="14"/>
      <c r="I1034" s="33">
        <v>66</v>
      </c>
      <c r="J1034" s="14"/>
      <c r="K1034" s="33">
        <v>35</v>
      </c>
      <c r="L1034" s="14"/>
      <c r="M1034" s="14"/>
      <c r="N1034" s="14"/>
      <c r="O1034" s="14"/>
      <c r="P1034" s="14"/>
      <c r="Q1034" s="14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 spans="1:27" ht="13.2">
      <c r="A1035" s="14"/>
      <c r="B1035" s="5"/>
      <c r="C1035" s="5">
        <f t="shared" si="246"/>
        <v>123</v>
      </c>
      <c r="D1035" s="32">
        <v>43122</v>
      </c>
      <c r="E1035" s="12"/>
      <c r="F1035" s="12"/>
      <c r="G1035" s="14"/>
      <c r="H1035" s="14"/>
      <c r="I1035" s="33">
        <v>63</v>
      </c>
      <c r="J1035" s="14"/>
      <c r="K1035" s="33">
        <v>34.5</v>
      </c>
      <c r="L1035" s="14"/>
      <c r="M1035" s="14"/>
      <c r="N1035" s="14"/>
      <c r="O1035" s="14"/>
      <c r="P1035" s="14"/>
      <c r="Q1035" s="14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 spans="1:27" ht="13.2">
      <c r="A1036" s="14"/>
      <c r="B1036" s="5"/>
      <c r="C1036" s="5">
        <f t="shared" si="246"/>
        <v>124</v>
      </c>
      <c r="D1036" s="32">
        <v>43123</v>
      </c>
      <c r="E1036" s="12"/>
      <c r="F1036" s="12"/>
      <c r="G1036" s="14"/>
      <c r="H1036" s="14"/>
      <c r="I1036" s="33">
        <v>60.8</v>
      </c>
      <c r="J1036" s="14"/>
      <c r="K1036" s="33">
        <v>34.6</v>
      </c>
      <c r="L1036" s="14"/>
      <c r="M1036" s="14"/>
      <c r="N1036" s="14"/>
      <c r="O1036" s="14"/>
      <c r="P1036" s="14"/>
      <c r="Q1036" s="14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 spans="1:27" ht="13.2">
      <c r="A1037" s="14"/>
      <c r="B1037" s="5"/>
      <c r="C1037" s="5">
        <f t="shared" si="246"/>
        <v>125</v>
      </c>
      <c r="D1037" s="52">
        <v>43124</v>
      </c>
      <c r="E1037" s="12"/>
      <c r="F1037" s="12"/>
      <c r="G1037" s="14"/>
      <c r="H1037" s="14"/>
      <c r="I1037" s="33">
        <v>58.2</v>
      </c>
      <c r="J1037" s="14"/>
      <c r="K1037" s="33">
        <v>34.700000000000003</v>
      </c>
      <c r="L1037" s="14"/>
      <c r="M1037" s="14"/>
      <c r="N1037" s="14"/>
      <c r="O1037" s="14"/>
      <c r="P1037" s="14"/>
      <c r="Q1037" s="14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 spans="1:27" ht="13.2">
      <c r="A1038" s="5" t="s">
        <v>77</v>
      </c>
      <c r="B1038" s="5"/>
      <c r="C1038" s="5">
        <f t="shared" si="246"/>
        <v>126</v>
      </c>
      <c r="D1038" s="106">
        <v>43125</v>
      </c>
      <c r="E1038" s="12"/>
      <c r="F1038" s="12"/>
      <c r="G1038" s="14"/>
      <c r="H1038" s="14"/>
      <c r="I1038" s="107">
        <v>55.3</v>
      </c>
      <c r="J1038" s="14"/>
      <c r="K1038" s="107">
        <v>35.1</v>
      </c>
      <c r="L1038" s="14"/>
      <c r="M1038" s="14"/>
      <c r="N1038" s="14"/>
      <c r="O1038" s="14"/>
      <c r="P1038" s="14"/>
      <c r="Q1038" s="14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 spans="1:27" ht="13.2">
      <c r="A1039" s="14"/>
      <c r="B1039" s="5"/>
      <c r="C1039" s="5">
        <f t="shared" si="246"/>
        <v>127</v>
      </c>
      <c r="D1039" s="52">
        <v>43126</v>
      </c>
      <c r="E1039" s="12"/>
      <c r="F1039" s="12"/>
      <c r="G1039" s="14"/>
      <c r="H1039" s="14"/>
      <c r="I1039" s="33" t="s">
        <v>71</v>
      </c>
      <c r="J1039" s="14"/>
      <c r="K1039" s="33">
        <v>33.5</v>
      </c>
      <c r="L1039" s="14"/>
      <c r="M1039" s="14"/>
      <c r="N1039" s="14"/>
      <c r="O1039" s="14"/>
      <c r="P1039" s="14"/>
      <c r="Q1039" s="14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 spans="1:27" ht="13.2">
      <c r="A1040" s="14"/>
      <c r="B1040" s="5"/>
      <c r="C1040" s="5">
        <f t="shared" si="246"/>
        <v>128</v>
      </c>
      <c r="D1040" s="52">
        <v>43127</v>
      </c>
      <c r="E1040" s="12"/>
      <c r="F1040" s="12"/>
      <c r="G1040" s="14"/>
      <c r="H1040" s="14"/>
      <c r="I1040" s="33" t="s">
        <v>71</v>
      </c>
      <c r="J1040" s="14"/>
      <c r="K1040" s="33">
        <v>32.6</v>
      </c>
      <c r="L1040" s="14"/>
      <c r="M1040" s="14"/>
      <c r="N1040" s="14"/>
      <c r="O1040" s="14"/>
      <c r="P1040" s="14"/>
      <c r="Q1040" s="14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 spans="1:27" ht="13.2">
      <c r="A1041" s="14"/>
      <c r="B1041" s="5"/>
      <c r="C1041" s="5">
        <v>129</v>
      </c>
      <c r="D1041" s="52">
        <v>43128</v>
      </c>
      <c r="E1041" s="12"/>
      <c r="F1041" s="12"/>
      <c r="G1041" s="14"/>
      <c r="H1041" s="14"/>
      <c r="I1041" s="33" t="s">
        <v>71</v>
      </c>
      <c r="J1041" s="14"/>
      <c r="K1041" s="33">
        <v>31.7</v>
      </c>
      <c r="L1041" s="14"/>
      <c r="M1041" s="14"/>
      <c r="N1041" s="14"/>
      <c r="O1041" s="14"/>
      <c r="P1041" s="14"/>
      <c r="Q1041" s="14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 spans="1:27" ht="13.2">
      <c r="A1042" s="14"/>
      <c r="B1042" s="5"/>
      <c r="C1042" s="5">
        <v>130</v>
      </c>
      <c r="D1042" s="52">
        <v>43129</v>
      </c>
      <c r="E1042" s="12"/>
      <c r="F1042" s="12"/>
      <c r="G1042" s="14"/>
      <c r="H1042" s="14"/>
      <c r="I1042" s="33" t="s">
        <v>71</v>
      </c>
      <c r="J1042" s="14"/>
      <c r="K1042" s="33">
        <v>30.9</v>
      </c>
      <c r="L1042" s="14"/>
      <c r="M1042" s="14"/>
      <c r="N1042" s="14"/>
      <c r="O1042" s="14"/>
      <c r="P1042" s="14"/>
      <c r="Q1042" s="14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 spans="1:27" ht="13.2">
      <c r="A1043" s="14"/>
      <c r="B1043" s="5"/>
      <c r="C1043" s="5">
        <v>131</v>
      </c>
      <c r="D1043" s="52">
        <v>43130</v>
      </c>
      <c r="E1043" s="12"/>
      <c r="F1043" s="12"/>
      <c r="G1043" s="14"/>
      <c r="H1043" s="14"/>
      <c r="I1043" s="33" t="s">
        <v>71</v>
      </c>
      <c r="J1043" s="14"/>
      <c r="K1043" s="33">
        <v>30.1</v>
      </c>
      <c r="L1043" s="14"/>
      <c r="M1043" s="14"/>
      <c r="N1043" s="14"/>
      <c r="O1043" s="14"/>
      <c r="P1043" s="14"/>
      <c r="Q1043" s="14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 spans="1:27" ht="13.2">
      <c r="A1044" s="14"/>
      <c r="B1044" s="5"/>
      <c r="C1044" s="5">
        <v>132</v>
      </c>
      <c r="D1044" s="53">
        <v>43131</v>
      </c>
      <c r="E1044" s="12"/>
      <c r="F1044" s="12"/>
      <c r="G1044" s="14"/>
      <c r="H1044" s="14"/>
      <c r="I1044" s="33" t="s">
        <v>71</v>
      </c>
      <c r="J1044" s="14"/>
      <c r="K1044" s="33">
        <v>29.7</v>
      </c>
      <c r="L1044" s="14"/>
      <c r="M1044" s="14"/>
      <c r="N1044" s="14"/>
      <c r="O1044" s="14"/>
      <c r="P1044" s="14"/>
      <c r="Q1044" s="14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 spans="1:27" ht="13.2">
      <c r="A1045" s="14"/>
      <c r="B1045" s="5"/>
      <c r="C1045" s="5">
        <v>133</v>
      </c>
      <c r="D1045" s="20">
        <v>43132</v>
      </c>
      <c r="E1045" s="12"/>
      <c r="F1045" s="12"/>
      <c r="G1045" s="14"/>
      <c r="H1045" s="14"/>
      <c r="I1045" s="33" t="s">
        <v>71</v>
      </c>
      <c r="J1045" s="37"/>
      <c r="K1045" s="33">
        <v>29.1</v>
      </c>
      <c r="L1045" s="14"/>
      <c r="M1045" s="14"/>
      <c r="N1045" s="14"/>
      <c r="O1045" s="14"/>
      <c r="P1045" s="14"/>
      <c r="Q1045" s="14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 spans="1:27" ht="13.2">
      <c r="A1046" s="14"/>
      <c r="B1046" s="5"/>
      <c r="C1046" s="5">
        <v>134</v>
      </c>
      <c r="D1046" s="20">
        <v>43133</v>
      </c>
      <c r="E1046" s="12"/>
      <c r="F1046" s="12"/>
      <c r="G1046" s="14"/>
      <c r="H1046" s="14"/>
      <c r="I1046" s="108" t="s">
        <v>71</v>
      </c>
      <c r="J1046" s="37"/>
      <c r="K1046" s="33">
        <v>28.6</v>
      </c>
      <c r="L1046" s="14"/>
      <c r="M1046" s="14"/>
      <c r="N1046" s="14"/>
      <c r="O1046" s="14"/>
      <c r="P1046" s="14"/>
      <c r="Q1046" s="14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 spans="1:27" ht="13.2">
      <c r="A1047" s="14"/>
      <c r="B1047" s="5"/>
      <c r="C1047" s="5">
        <v>135</v>
      </c>
      <c r="D1047" s="20">
        <v>43134</v>
      </c>
      <c r="E1047" s="12"/>
      <c r="F1047" s="12"/>
      <c r="G1047" s="14"/>
      <c r="H1047" s="14"/>
      <c r="I1047" s="124" t="s">
        <v>71</v>
      </c>
      <c r="J1047" s="229"/>
      <c r="K1047" s="230">
        <v>28</v>
      </c>
      <c r="L1047" s="14"/>
      <c r="M1047" s="14"/>
      <c r="N1047" s="14"/>
      <c r="O1047" s="14"/>
      <c r="P1047" s="14"/>
      <c r="Q1047" s="14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 spans="1:27" ht="13.2">
      <c r="A1048" s="14"/>
      <c r="B1048" s="5"/>
      <c r="C1048" s="5">
        <v>136</v>
      </c>
      <c r="D1048" s="20">
        <v>43135</v>
      </c>
      <c r="E1048" s="12"/>
      <c r="F1048" s="12"/>
      <c r="G1048" s="14"/>
      <c r="H1048" s="14"/>
      <c r="I1048" s="124" t="s">
        <v>71</v>
      </c>
      <c r="J1048" s="229"/>
      <c r="K1048" s="230">
        <v>27.5</v>
      </c>
      <c r="L1048" s="14"/>
      <c r="M1048" s="14"/>
      <c r="N1048" s="14"/>
      <c r="O1048" s="14"/>
      <c r="P1048" s="14"/>
      <c r="Q1048" s="14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 spans="1:27" ht="13.2">
      <c r="A1049" s="14"/>
      <c r="B1049" s="5"/>
      <c r="C1049" s="5">
        <v>137</v>
      </c>
      <c r="D1049" s="20">
        <v>43136</v>
      </c>
      <c r="E1049" s="12"/>
      <c r="F1049" s="12"/>
      <c r="G1049" s="14"/>
      <c r="H1049" s="14"/>
      <c r="I1049" s="124" t="s">
        <v>71</v>
      </c>
      <c r="J1049" s="229"/>
      <c r="K1049" s="230">
        <v>27</v>
      </c>
      <c r="L1049" s="14"/>
      <c r="M1049" s="14"/>
      <c r="N1049" s="14"/>
      <c r="O1049" s="14"/>
      <c r="P1049" s="14"/>
      <c r="Q1049" s="14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  <row r="1050" spans="1:27" ht="13.2">
      <c r="A1050" s="14"/>
      <c r="B1050" s="5"/>
      <c r="C1050" s="5">
        <v>138</v>
      </c>
      <c r="D1050" s="20">
        <v>43137</v>
      </c>
      <c r="E1050" s="12"/>
      <c r="F1050" s="12"/>
      <c r="G1050" s="14"/>
      <c r="H1050" s="14"/>
      <c r="I1050" s="124" t="s">
        <v>71</v>
      </c>
      <c r="J1050" s="229"/>
      <c r="K1050" s="230">
        <v>26.7</v>
      </c>
      <c r="L1050" s="14"/>
      <c r="M1050" s="14"/>
      <c r="N1050" s="14"/>
      <c r="O1050" s="14"/>
      <c r="P1050" s="14"/>
      <c r="Q1050" s="14"/>
      <c r="R1050" s="7"/>
      <c r="S1050" s="7"/>
      <c r="T1050" s="7"/>
      <c r="U1050" s="7"/>
      <c r="V1050" s="7"/>
      <c r="W1050" s="7"/>
      <c r="X1050" s="7"/>
      <c r="Y1050" s="7"/>
      <c r="Z1050" s="7"/>
      <c r="AA1050" s="7"/>
    </row>
    <row r="1051" spans="1:27" ht="13.2">
      <c r="A1051" s="14"/>
      <c r="B1051" s="5"/>
      <c r="C1051" s="5">
        <v>139</v>
      </c>
      <c r="D1051" s="20">
        <v>43138</v>
      </c>
      <c r="E1051" s="12"/>
      <c r="F1051" s="12"/>
      <c r="G1051" s="14"/>
      <c r="H1051" s="14"/>
      <c r="I1051" s="125" t="s">
        <v>71</v>
      </c>
      <c r="J1051" s="14"/>
      <c r="K1051" s="125">
        <v>26</v>
      </c>
      <c r="L1051" s="14"/>
      <c r="M1051" s="14"/>
      <c r="N1051" s="14"/>
      <c r="O1051" s="14"/>
      <c r="P1051" s="14"/>
      <c r="Q1051" s="14"/>
      <c r="R1051" s="7"/>
      <c r="S1051" s="7"/>
      <c r="T1051" s="7"/>
      <c r="U1051" s="7"/>
      <c r="V1051" s="7"/>
      <c r="W1051" s="7"/>
      <c r="X1051" s="7"/>
      <c r="Y1051" s="7"/>
      <c r="Z1051" s="7"/>
      <c r="AA1051" s="7"/>
    </row>
    <row r="1052" spans="1:27" ht="13.2">
      <c r="A1052" s="14"/>
      <c r="B1052" s="5"/>
      <c r="C1052" s="5">
        <v>140</v>
      </c>
      <c r="D1052" s="20">
        <v>43139</v>
      </c>
      <c r="E1052" s="12"/>
      <c r="F1052" s="12"/>
      <c r="G1052" s="14"/>
      <c r="H1052" s="14"/>
      <c r="I1052" s="125" t="s">
        <v>71</v>
      </c>
      <c r="J1052" s="14"/>
      <c r="K1052" s="125">
        <v>25.6</v>
      </c>
      <c r="L1052" s="14"/>
      <c r="M1052" s="14"/>
      <c r="N1052" s="14"/>
      <c r="O1052" s="14"/>
      <c r="P1052" s="14"/>
      <c r="Q1052" s="14"/>
      <c r="R1052" s="7"/>
      <c r="S1052" s="7"/>
      <c r="T1052" s="7"/>
      <c r="U1052" s="7"/>
      <c r="V1052" s="7"/>
      <c r="W1052" s="7"/>
      <c r="X1052" s="7"/>
      <c r="Y1052" s="7"/>
      <c r="Z1052" s="7"/>
      <c r="AA1052" s="7"/>
    </row>
    <row r="1053" spans="1:27" ht="13.2">
      <c r="A1053" s="14"/>
      <c r="B1053" s="5"/>
      <c r="C1053" s="5">
        <v>141</v>
      </c>
      <c r="D1053" s="20">
        <v>43140</v>
      </c>
      <c r="E1053" s="12"/>
      <c r="F1053" s="12"/>
      <c r="G1053" s="14"/>
      <c r="H1053" s="14"/>
      <c r="I1053" s="125" t="s">
        <v>71</v>
      </c>
      <c r="J1053" s="14"/>
      <c r="K1053" s="125">
        <v>25</v>
      </c>
      <c r="L1053" s="14"/>
      <c r="M1053" s="14"/>
      <c r="N1053" s="14"/>
      <c r="O1053" s="14"/>
      <c r="P1053" s="14"/>
      <c r="Q1053" s="14"/>
      <c r="R1053" s="7"/>
      <c r="S1053" s="7"/>
      <c r="T1053" s="7"/>
      <c r="U1053" s="7"/>
      <c r="V1053" s="7"/>
      <c r="W1053" s="7"/>
      <c r="X1053" s="7"/>
      <c r="Y1053" s="7"/>
      <c r="Z1053" s="7"/>
      <c r="AA1053" s="7"/>
    </row>
    <row r="1054" spans="1:27" ht="13.2">
      <c r="A1054" s="14"/>
      <c r="B1054" s="5"/>
      <c r="C1054" s="5">
        <v>142</v>
      </c>
      <c r="D1054" s="20">
        <v>43141</v>
      </c>
      <c r="E1054" s="12"/>
      <c r="F1054" s="12"/>
      <c r="G1054" s="14"/>
      <c r="H1054" s="14"/>
      <c r="I1054" s="125" t="s">
        <v>71</v>
      </c>
      <c r="J1054" s="14"/>
      <c r="K1054" s="125">
        <v>24.5</v>
      </c>
      <c r="L1054" s="14"/>
      <c r="M1054" s="14"/>
      <c r="N1054" s="14"/>
      <c r="O1054" s="14"/>
      <c r="P1054" s="14"/>
      <c r="Q1054" s="14"/>
      <c r="R1054" s="7"/>
      <c r="S1054" s="7"/>
      <c r="T1054" s="7"/>
      <c r="U1054" s="7"/>
      <c r="V1054" s="7"/>
      <c r="W1054" s="7"/>
      <c r="X1054" s="7"/>
      <c r="Y1054" s="7"/>
      <c r="Z1054" s="7"/>
      <c r="AA1054" s="7"/>
    </row>
    <row r="1055" spans="1:27" ht="13.2">
      <c r="A1055" s="14"/>
      <c r="B1055" s="5"/>
      <c r="C1055" s="5">
        <v>143</v>
      </c>
      <c r="D1055" s="20">
        <v>43142</v>
      </c>
      <c r="E1055" s="12"/>
      <c r="F1055" s="12"/>
      <c r="G1055" s="14"/>
      <c r="H1055" s="14"/>
      <c r="I1055" s="125" t="s">
        <v>71</v>
      </c>
      <c r="J1055" s="14"/>
      <c r="K1055" s="125">
        <v>24.1</v>
      </c>
      <c r="L1055" s="14"/>
      <c r="M1055" s="14"/>
      <c r="N1055" s="14"/>
      <c r="O1055" s="14"/>
      <c r="P1055" s="14"/>
      <c r="Q1055" s="14"/>
      <c r="R1055" s="7"/>
      <c r="S1055" s="7"/>
      <c r="T1055" s="7"/>
      <c r="U1055" s="7"/>
      <c r="V1055" s="7"/>
      <c r="W1055" s="7"/>
      <c r="X1055" s="7"/>
      <c r="Y1055" s="7"/>
      <c r="Z1055" s="7"/>
      <c r="AA1055" s="7"/>
    </row>
    <row r="1056" spans="1:27" ht="13.2">
      <c r="A1056" s="14"/>
      <c r="B1056" s="5"/>
      <c r="C1056" s="5">
        <v>144</v>
      </c>
      <c r="D1056" s="20">
        <v>43143</v>
      </c>
      <c r="E1056" s="12"/>
      <c r="F1056" s="12"/>
      <c r="G1056" s="14"/>
      <c r="H1056" s="14"/>
      <c r="I1056" s="125" t="s">
        <v>71</v>
      </c>
      <c r="J1056" s="14"/>
      <c r="K1056" s="125">
        <v>23.8</v>
      </c>
      <c r="L1056" s="14"/>
      <c r="M1056" s="14"/>
      <c r="N1056" s="14"/>
      <c r="O1056" s="14"/>
      <c r="P1056" s="14"/>
      <c r="Q1056" s="14"/>
      <c r="R1056" s="7"/>
      <c r="S1056" s="7"/>
      <c r="T1056" s="7"/>
      <c r="U1056" s="7"/>
      <c r="V1056" s="7"/>
      <c r="W1056" s="7"/>
      <c r="X1056" s="7"/>
      <c r="Y1056" s="7"/>
      <c r="Z1056" s="7"/>
      <c r="AA1056" s="7"/>
    </row>
    <row r="1057" spans="1:27" ht="13.2">
      <c r="A1057" s="14"/>
      <c r="B1057" s="5"/>
      <c r="C1057" s="5">
        <v>145</v>
      </c>
      <c r="D1057" s="20">
        <v>43144</v>
      </c>
      <c r="E1057" s="12"/>
      <c r="F1057" s="12"/>
      <c r="G1057" s="14"/>
      <c r="H1057" s="14"/>
      <c r="I1057" s="125" t="s">
        <v>71</v>
      </c>
      <c r="J1057" s="14"/>
      <c r="K1057" s="125">
        <v>23.4</v>
      </c>
      <c r="L1057" s="14"/>
      <c r="M1057" s="14"/>
      <c r="N1057" s="14"/>
      <c r="O1057" s="14"/>
      <c r="P1057" s="14"/>
      <c r="Q1057" s="14"/>
      <c r="R1057" s="7"/>
      <c r="S1057" s="7"/>
      <c r="T1057" s="7"/>
      <c r="U1057" s="7"/>
      <c r="V1057" s="7"/>
      <c r="W1057" s="7"/>
      <c r="X1057" s="7"/>
      <c r="Y1057" s="7"/>
      <c r="Z1057" s="7"/>
      <c r="AA1057" s="7"/>
    </row>
    <row r="1058" spans="1:27" ht="13.2">
      <c r="A1058" s="14"/>
      <c r="B1058" s="5"/>
      <c r="C1058" s="5">
        <v>146</v>
      </c>
      <c r="D1058" s="20">
        <v>43145</v>
      </c>
      <c r="E1058" s="12"/>
      <c r="F1058" s="12"/>
      <c r="G1058" s="14"/>
      <c r="H1058" s="14"/>
      <c r="I1058" s="125" t="s">
        <v>71</v>
      </c>
      <c r="J1058" s="14"/>
      <c r="K1058" s="125">
        <v>23.1</v>
      </c>
      <c r="L1058" s="14"/>
      <c r="M1058" s="14"/>
      <c r="N1058" s="14"/>
      <c r="O1058" s="14"/>
      <c r="P1058" s="14"/>
      <c r="Q1058" s="14"/>
      <c r="R1058" s="7"/>
      <c r="S1058" s="7"/>
      <c r="T1058" s="7"/>
      <c r="U1058" s="7"/>
      <c r="V1058" s="7"/>
      <c r="W1058" s="7"/>
      <c r="X1058" s="7"/>
      <c r="Y1058" s="7"/>
      <c r="Z1058" s="7"/>
      <c r="AA1058" s="7"/>
    </row>
    <row r="1059" spans="1:27" ht="13.2">
      <c r="A1059" s="14"/>
      <c r="B1059" s="5"/>
      <c r="C1059" s="5">
        <v>147</v>
      </c>
      <c r="D1059" s="20">
        <v>43146</v>
      </c>
      <c r="E1059" s="12"/>
      <c r="F1059" s="12"/>
      <c r="G1059" s="14"/>
      <c r="H1059" s="14"/>
      <c r="I1059" s="125" t="s">
        <v>71</v>
      </c>
      <c r="J1059" s="14"/>
      <c r="K1059" s="125">
        <v>22.7</v>
      </c>
      <c r="L1059" s="14"/>
      <c r="M1059" s="14"/>
      <c r="N1059" s="14"/>
      <c r="O1059" s="14"/>
      <c r="P1059" s="14"/>
      <c r="Q1059" s="14"/>
      <c r="R1059" s="7"/>
      <c r="S1059" s="7"/>
      <c r="T1059" s="7"/>
      <c r="U1059" s="7"/>
      <c r="V1059" s="7"/>
      <c r="W1059" s="7"/>
      <c r="X1059" s="7"/>
      <c r="Y1059" s="7"/>
      <c r="Z1059" s="7"/>
      <c r="AA1059" s="7"/>
    </row>
    <row r="1060" spans="1:27" ht="13.2">
      <c r="A1060" s="14"/>
      <c r="B1060" s="5"/>
      <c r="C1060" s="5">
        <v>148</v>
      </c>
      <c r="D1060" s="20">
        <v>43147</v>
      </c>
      <c r="E1060" s="12"/>
      <c r="F1060" s="12"/>
      <c r="G1060" s="14"/>
      <c r="H1060" s="14"/>
      <c r="I1060" s="125" t="s">
        <v>71</v>
      </c>
      <c r="J1060" s="14"/>
      <c r="K1060" s="125">
        <v>22.4</v>
      </c>
      <c r="L1060" s="14"/>
      <c r="M1060" s="14"/>
      <c r="N1060" s="14"/>
      <c r="O1060" s="14"/>
      <c r="P1060" s="14"/>
      <c r="Q1060" s="14"/>
      <c r="R1060" s="7"/>
      <c r="S1060" s="7"/>
      <c r="T1060" s="7"/>
      <c r="U1060" s="7"/>
      <c r="V1060" s="7"/>
      <c r="W1060" s="7"/>
      <c r="X1060" s="7"/>
      <c r="Y1060" s="7"/>
      <c r="Z1060" s="7"/>
      <c r="AA1060" s="7"/>
    </row>
    <row r="1061" spans="1:27" ht="13.2">
      <c r="A1061" s="14"/>
      <c r="B1061" s="14"/>
      <c r="C1061" s="5">
        <v>149</v>
      </c>
      <c r="D1061" s="20">
        <v>43148</v>
      </c>
      <c r="E1061" s="12"/>
      <c r="F1061" s="12"/>
      <c r="G1061" s="14"/>
      <c r="H1061" s="14"/>
      <c r="I1061" s="125" t="s">
        <v>71</v>
      </c>
      <c r="J1061" s="14"/>
      <c r="K1061" s="125">
        <v>22.1</v>
      </c>
      <c r="L1061" s="14"/>
      <c r="M1061" s="14"/>
      <c r="N1061" s="14"/>
      <c r="O1061" s="14"/>
      <c r="P1061" s="14"/>
      <c r="Q1061" s="14"/>
      <c r="R1061" s="7"/>
      <c r="S1061" s="7"/>
      <c r="T1061" s="7"/>
      <c r="U1061" s="7"/>
      <c r="V1061" s="7"/>
      <c r="W1061" s="7"/>
      <c r="X1061" s="7"/>
      <c r="Y1061" s="7"/>
      <c r="Z1061" s="7"/>
      <c r="AA1061" s="7"/>
    </row>
    <row r="1062" spans="1:27" ht="13.2">
      <c r="A1062" s="14"/>
      <c r="B1062" s="14"/>
      <c r="C1062" s="14">
        <f t="shared" ref="C1062:C1066" si="266">C1061+1</f>
        <v>150</v>
      </c>
      <c r="D1062" s="20">
        <v>43149</v>
      </c>
      <c r="E1062" s="12"/>
      <c r="F1062" s="12"/>
      <c r="G1062" s="14"/>
      <c r="H1062" s="14"/>
      <c r="I1062" s="13" t="s">
        <v>71</v>
      </c>
      <c r="J1062" s="14"/>
      <c r="K1062" s="13">
        <v>21.7</v>
      </c>
      <c r="L1062" s="14"/>
      <c r="M1062" s="14"/>
      <c r="N1062" s="14"/>
      <c r="O1062" s="14"/>
      <c r="P1062" s="14"/>
      <c r="Q1062" s="14"/>
      <c r="R1062" s="7"/>
      <c r="S1062" s="7"/>
      <c r="T1062" s="7"/>
      <c r="U1062" s="7"/>
      <c r="V1062" s="7"/>
      <c r="W1062" s="7"/>
      <c r="X1062" s="7"/>
      <c r="Y1062" s="7"/>
      <c r="Z1062" s="7"/>
      <c r="AA1062" s="7"/>
    </row>
    <row r="1063" spans="1:27" ht="13.2">
      <c r="A1063" s="14"/>
      <c r="B1063" s="14"/>
      <c r="C1063" s="14">
        <f t="shared" si="266"/>
        <v>151</v>
      </c>
      <c r="D1063" s="20">
        <v>43150</v>
      </c>
      <c r="E1063" s="12"/>
      <c r="F1063" s="12"/>
      <c r="G1063" s="14"/>
      <c r="H1063" s="14"/>
      <c r="I1063" s="13" t="s">
        <v>71</v>
      </c>
      <c r="J1063" s="14"/>
      <c r="K1063" s="13">
        <v>21.4</v>
      </c>
      <c r="L1063" s="14"/>
      <c r="M1063" s="14"/>
      <c r="N1063" s="14"/>
      <c r="O1063" s="14"/>
      <c r="P1063" s="14"/>
      <c r="Q1063" s="14"/>
      <c r="R1063" s="7"/>
      <c r="S1063" s="7"/>
      <c r="T1063" s="7"/>
      <c r="U1063" s="7"/>
      <c r="V1063" s="7"/>
      <c r="W1063" s="7"/>
      <c r="X1063" s="7"/>
      <c r="Y1063" s="7"/>
      <c r="Z1063" s="7"/>
      <c r="AA1063" s="7"/>
    </row>
    <row r="1064" spans="1:27" ht="13.2">
      <c r="A1064" s="14"/>
      <c r="B1064" s="14"/>
      <c r="C1064" s="14">
        <f t="shared" si="266"/>
        <v>152</v>
      </c>
      <c r="D1064" s="20">
        <v>43151</v>
      </c>
      <c r="E1064" s="12"/>
      <c r="F1064" s="12"/>
      <c r="G1064" s="14"/>
      <c r="H1064" s="14"/>
      <c r="I1064" s="13" t="s">
        <v>71</v>
      </c>
      <c r="J1064" s="14"/>
      <c r="K1064" s="13">
        <v>21.1</v>
      </c>
      <c r="L1064" s="14"/>
      <c r="M1064" s="14"/>
      <c r="N1064" s="14"/>
      <c r="O1064" s="14"/>
      <c r="P1064" s="14"/>
      <c r="Q1064" s="14"/>
      <c r="R1064" s="7"/>
      <c r="S1064" s="7"/>
      <c r="T1064" s="7"/>
      <c r="U1064" s="7"/>
      <c r="V1064" s="7"/>
      <c r="W1064" s="7"/>
      <c r="X1064" s="7"/>
      <c r="Y1064" s="7"/>
      <c r="Z1064" s="7"/>
      <c r="AA1064" s="7"/>
    </row>
    <row r="1065" spans="1:27" ht="13.2">
      <c r="A1065" s="14"/>
      <c r="B1065" s="14"/>
      <c r="C1065" s="14">
        <f t="shared" si="266"/>
        <v>153</v>
      </c>
      <c r="D1065" s="20">
        <v>43152</v>
      </c>
      <c r="E1065" s="12"/>
      <c r="F1065" s="12"/>
      <c r="G1065" s="14"/>
      <c r="H1065" s="14"/>
      <c r="I1065" s="13" t="s">
        <v>71</v>
      </c>
      <c r="J1065" s="14"/>
      <c r="K1065" s="13">
        <v>21.1</v>
      </c>
      <c r="L1065" s="14"/>
      <c r="M1065" s="14"/>
      <c r="N1065" s="14"/>
      <c r="O1065" s="14"/>
      <c r="P1065" s="14"/>
      <c r="Q1065" s="14"/>
      <c r="R1065" s="7"/>
      <c r="S1065" s="7"/>
      <c r="T1065" s="7"/>
      <c r="U1065" s="7"/>
      <c r="V1065" s="7"/>
      <c r="W1065" s="7"/>
      <c r="X1065" s="7"/>
      <c r="Y1065" s="7"/>
      <c r="Z1065" s="7"/>
      <c r="AA1065" s="7"/>
    </row>
    <row r="1066" spans="1:27" ht="13.2">
      <c r="A1066" s="14"/>
      <c r="B1066" s="14"/>
      <c r="C1066" s="14">
        <f t="shared" si="266"/>
        <v>154</v>
      </c>
      <c r="D1066" s="20">
        <v>43153</v>
      </c>
      <c r="E1066" s="12"/>
      <c r="F1066" s="12"/>
      <c r="G1066" s="14"/>
      <c r="H1066" s="14"/>
      <c r="I1066" s="13" t="s">
        <v>71</v>
      </c>
      <c r="J1066" s="14"/>
      <c r="K1066" s="13">
        <v>21</v>
      </c>
      <c r="L1066" s="14"/>
      <c r="M1066" s="14"/>
      <c r="N1066" s="14"/>
      <c r="O1066" s="14"/>
      <c r="P1066" s="14"/>
      <c r="Q1066" s="14"/>
      <c r="R1066" s="7"/>
      <c r="S1066" s="7"/>
      <c r="T1066" s="7"/>
      <c r="U1066" s="7"/>
      <c r="V1066" s="7"/>
      <c r="W1066" s="7"/>
      <c r="X1066" s="7"/>
      <c r="Y1066" s="7"/>
      <c r="Z1066" s="7"/>
      <c r="AA1066" s="7"/>
    </row>
    <row r="1067" spans="1:27" ht="13.2">
      <c r="A1067" s="14"/>
      <c r="B1067" s="14"/>
      <c r="C1067" s="5">
        <v>155</v>
      </c>
      <c r="D1067" s="56">
        <v>43154</v>
      </c>
      <c r="E1067" s="12"/>
      <c r="F1067" s="12"/>
      <c r="G1067" s="14"/>
      <c r="H1067" s="14"/>
      <c r="I1067" s="13" t="s">
        <v>71</v>
      </c>
      <c r="J1067" s="14"/>
      <c r="K1067" s="13">
        <v>20.7</v>
      </c>
      <c r="L1067" s="14"/>
      <c r="M1067" s="14"/>
      <c r="N1067" s="14"/>
      <c r="O1067" s="14"/>
      <c r="P1067" s="14"/>
      <c r="Q1067" s="14"/>
      <c r="R1067" s="7"/>
      <c r="S1067" s="7"/>
      <c r="T1067" s="7"/>
      <c r="U1067" s="7"/>
      <c r="V1067" s="7"/>
      <c r="W1067" s="7"/>
      <c r="X1067" s="7"/>
      <c r="Y1067" s="7"/>
      <c r="Z1067" s="7"/>
      <c r="AA1067" s="7"/>
    </row>
    <row r="1068" spans="1:27" ht="13.2">
      <c r="A1068" s="14"/>
      <c r="B1068" s="14"/>
      <c r="C1068" s="5">
        <v>156</v>
      </c>
      <c r="D1068" s="20">
        <v>43155</v>
      </c>
      <c r="E1068" s="12"/>
      <c r="F1068" s="12"/>
      <c r="G1068" s="14"/>
      <c r="H1068" s="14"/>
      <c r="I1068" s="13">
        <v>62.9</v>
      </c>
      <c r="J1068" s="14"/>
      <c r="K1068" s="13">
        <v>20.5</v>
      </c>
      <c r="L1068" s="14"/>
      <c r="M1068" s="14"/>
      <c r="N1068" s="14"/>
      <c r="O1068" s="14"/>
      <c r="P1068" s="14"/>
      <c r="Q1068" s="14"/>
      <c r="R1068" s="7"/>
      <c r="S1068" s="7"/>
      <c r="T1068" s="7"/>
      <c r="U1068" s="7"/>
      <c r="V1068" s="7"/>
      <c r="W1068" s="7"/>
      <c r="X1068" s="7"/>
      <c r="Y1068" s="7"/>
      <c r="Z1068" s="7"/>
      <c r="AA1068" s="7"/>
    </row>
    <row r="1069" spans="1:27" ht="13.2">
      <c r="A1069" s="14"/>
      <c r="B1069" s="14"/>
      <c r="C1069" s="5">
        <v>157</v>
      </c>
      <c r="D1069" s="20">
        <v>43156</v>
      </c>
      <c r="E1069" s="12"/>
      <c r="F1069" s="12"/>
      <c r="G1069" s="14"/>
      <c r="H1069" s="14"/>
      <c r="I1069" s="13">
        <v>58.2</v>
      </c>
      <c r="J1069" s="14"/>
      <c r="K1069" s="13">
        <v>23.4</v>
      </c>
      <c r="L1069" s="14"/>
      <c r="M1069" s="14"/>
      <c r="N1069" s="14"/>
      <c r="O1069" s="14"/>
      <c r="P1069" s="14"/>
      <c r="Q1069" s="14"/>
      <c r="R1069" s="7"/>
      <c r="S1069" s="7"/>
      <c r="T1069" s="7"/>
      <c r="U1069" s="7"/>
      <c r="V1069" s="7"/>
      <c r="W1069" s="7"/>
      <c r="X1069" s="7"/>
      <c r="Y1069" s="7"/>
      <c r="Z1069" s="7"/>
      <c r="AA1069" s="7"/>
    </row>
    <row r="1070" spans="1:27" ht="13.2">
      <c r="A1070" s="14"/>
      <c r="B1070" s="14"/>
      <c r="C1070" s="5">
        <v>158</v>
      </c>
      <c r="D1070" s="20">
        <v>43157</v>
      </c>
      <c r="E1070" s="12"/>
      <c r="F1070" s="12"/>
      <c r="G1070" s="14"/>
      <c r="H1070" s="14"/>
      <c r="I1070" s="13">
        <v>54.3</v>
      </c>
      <c r="J1070" s="14"/>
      <c r="K1070" s="13">
        <v>24.2</v>
      </c>
      <c r="L1070" s="14"/>
      <c r="M1070" s="14"/>
      <c r="N1070" s="14"/>
      <c r="O1070" s="14"/>
      <c r="P1070" s="14"/>
      <c r="Q1070" s="14"/>
      <c r="R1070" s="7"/>
      <c r="S1070" s="7"/>
      <c r="T1070" s="7"/>
      <c r="U1070" s="7"/>
      <c r="V1070" s="7"/>
      <c r="W1070" s="7"/>
      <c r="X1070" s="7"/>
      <c r="Y1070" s="7"/>
      <c r="Z1070" s="7"/>
      <c r="AA1070" s="7"/>
    </row>
    <row r="1071" spans="1:27" ht="13.2">
      <c r="A1071" s="14"/>
      <c r="B1071" s="14"/>
      <c r="C1071" s="5">
        <v>159</v>
      </c>
      <c r="D1071" s="20">
        <v>43158</v>
      </c>
      <c r="E1071" s="12"/>
      <c r="F1071" s="12"/>
      <c r="G1071" s="14"/>
      <c r="H1071" s="14"/>
      <c r="I1071" s="13">
        <v>51.7</v>
      </c>
      <c r="J1071" s="14"/>
      <c r="K1071" s="13">
        <v>24.3</v>
      </c>
      <c r="L1071" s="14"/>
      <c r="M1071" s="14"/>
      <c r="N1071" s="14"/>
      <c r="O1071" s="14"/>
      <c r="P1071" s="14"/>
      <c r="Q1071" s="14"/>
      <c r="R1071" s="7"/>
      <c r="S1071" s="7"/>
      <c r="T1071" s="7"/>
      <c r="U1071" s="7"/>
      <c r="V1071" s="7"/>
      <c r="W1071" s="7"/>
      <c r="X1071" s="7"/>
      <c r="Y1071" s="7"/>
      <c r="Z1071" s="7"/>
      <c r="AA1071" s="7"/>
    </row>
    <row r="1072" spans="1:27" ht="13.2">
      <c r="A1072" s="14"/>
      <c r="B1072" s="14"/>
      <c r="C1072" s="5">
        <v>166</v>
      </c>
      <c r="D1072" s="20">
        <v>43165</v>
      </c>
      <c r="E1072" s="12"/>
      <c r="F1072" s="12"/>
      <c r="G1072" s="14"/>
      <c r="H1072" s="14"/>
      <c r="I1072" s="13">
        <v>27.9</v>
      </c>
      <c r="J1072" s="14"/>
      <c r="K1072" s="13">
        <v>26.1</v>
      </c>
      <c r="L1072" s="14"/>
      <c r="M1072" s="14"/>
      <c r="N1072" s="14"/>
      <c r="O1072" s="14"/>
      <c r="P1072" s="14"/>
      <c r="Q1072" s="14"/>
      <c r="R1072" s="7"/>
      <c r="S1072" s="7"/>
      <c r="T1072" s="7"/>
      <c r="U1072" s="7"/>
      <c r="V1072" s="7"/>
      <c r="W1072" s="7"/>
      <c r="X1072" s="7"/>
      <c r="Y1072" s="7"/>
      <c r="Z1072" s="7"/>
      <c r="AA1072" s="7"/>
    </row>
    <row r="1073" spans="1:27" ht="13.2">
      <c r="A1073" s="14"/>
      <c r="B1073" s="14"/>
      <c r="C1073" s="5">
        <v>173</v>
      </c>
      <c r="D1073" s="20">
        <v>43172</v>
      </c>
      <c r="E1073" s="12"/>
      <c r="F1073" s="12"/>
      <c r="G1073" s="14"/>
      <c r="H1073" s="14"/>
      <c r="I1073" s="13">
        <v>65.400000000000006</v>
      </c>
      <c r="J1073" s="14"/>
      <c r="K1073" s="13">
        <v>26.2</v>
      </c>
      <c r="L1073" s="14"/>
      <c r="M1073" s="14"/>
      <c r="N1073" s="14"/>
      <c r="O1073" s="14"/>
      <c r="P1073" s="14"/>
      <c r="Q1073" s="14"/>
      <c r="R1073" s="7"/>
      <c r="S1073" s="7"/>
      <c r="T1073" s="7"/>
      <c r="U1073" s="7"/>
      <c r="V1073" s="7"/>
      <c r="W1073" s="7"/>
      <c r="X1073" s="7"/>
      <c r="Y1073" s="7"/>
      <c r="Z1073" s="7"/>
      <c r="AA1073" s="7"/>
    </row>
    <row r="1074" spans="1:27" ht="13.2">
      <c r="A1074" s="14"/>
      <c r="B1074" s="14"/>
      <c r="C1074" s="14"/>
      <c r="D1074" s="14"/>
      <c r="E1074" s="12"/>
      <c r="F1074" s="12"/>
      <c r="G1074" s="14"/>
      <c r="H1074" s="14"/>
      <c r="I1074" s="15"/>
      <c r="J1074" s="14"/>
      <c r="K1074" s="15"/>
      <c r="L1074" s="14"/>
      <c r="M1074" s="14"/>
      <c r="N1074" s="14"/>
      <c r="O1074" s="14"/>
      <c r="P1074" s="14"/>
      <c r="Q1074" s="14"/>
      <c r="R1074" s="7"/>
      <c r="S1074" s="7"/>
      <c r="T1074" s="7"/>
      <c r="U1074" s="7"/>
      <c r="V1074" s="7"/>
      <c r="W1074" s="7"/>
      <c r="X1074" s="7"/>
      <c r="Y1074" s="7"/>
      <c r="Z1074" s="7"/>
      <c r="AA1074" s="7"/>
    </row>
    <row r="1075" spans="1:27" ht="13.2">
      <c r="A1075" s="14"/>
      <c r="B1075" s="14"/>
      <c r="C1075" s="14"/>
      <c r="D1075" s="14"/>
      <c r="E1075" s="12"/>
      <c r="F1075" s="12"/>
      <c r="G1075" s="14"/>
      <c r="H1075" s="14"/>
      <c r="I1075" s="15"/>
      <c r="J1075" s="14"/>
      <c r="K1075" s="15"/>
      <c r="L1075" s="14"/>
      <c r="M1075" s="14"/>
      <c r="N1075" s="14"/>
      <c r="O1075" s="14"/>
      <c r="P1075" s="14"/>
      <c r="Q1075" s="14"/>
      <c r="R1075" s="7"/>
      <c r="S1075" s="7"/>
      <c r="T1075" s="7"/>
      <c r="U1075" s="7"/>
      <c r="V1075" s="7"/>
      <c r="W1075" s="7"/>
      <c r="X1075" s="7"/>
      <c r="Y1075" s="7"/>
      <c r="Z1075" s="7"/>
      <c r="AA1075" s="7"/>
    </row>
    <row r="1076" spans="1:27" ht="13.2">
      <c r="A1076" s="14"/>
      <c r="B1076" s="14"/>
      <c r="C1076" s="14"/>
      <c r="D1076" s="14"/>
      <c r="E1076" s="12"/>
      <c r="F1076" s="12"/>
      <c r="G1076" s="14"/>
      <c r="H1076" s="14"/>
      <c r="I1076" s="15"/>
      <c r="J1076" s="14"/>
      <c r="K1076" s="15"/>
      <c r="L1076" s="14"/>
      <c r="M1076" s="14"/>
      <c r="N1076" s="14"/>
      <c r="O1076" s="14"/>
      <c r="P1076" s="14"/>
      <c r="Q1076" s="14"/>
      <c r="R1076" s="7"/>
      <c r="S1076" s="7"/>
      <c r="T1076" s="7"/>
      <c r="U1076" s="7"/>
      <c r="V1076" s="7"/>
      <c r="W1076" s="7"/>
      <c r="X1076" s="7"/>
      <c r="Y1076" s="7"/>
      <c r="Z1076" s="7"/>
      <c r="AA1076" s="7"/>
    </row>
    <row r="1077" spans="1:27" ht="13.2">
      <c r="A1077" s="14"/>
      <c r="B1077" s="14"/>
      <c r="C1077" s="14"/>
      <c r="D1077" s="14"/>
      <c r="E1077" s="12"/>
      <c r="F1077" s="12"/>
      <c r="G1077" s="14"/>
      <c r="H1077" s="14"/>
      <c r="I1077" s="15"/>
      <c r="J1077" s="14"/>
      <c r="K1077" s="15"/>
      <c r="L1077" s="14"/>
      <c r="M1077" s="14"/>
      <c r="N1077" s="14"/>
      <c r="O1077" s="14"/>
      <c r="P1077" s="14"/>
      <c r="Q1077" s="14"/>
      <c r="R1077" s="7"/>
      <c r="S1077" s="7"/>
      <c r="T1077" s="7"/>
      <c r="U1077" s="7"/>
      <c r="V1077" s="7"/>
      <c r="W1077" s="7"/>
      <c r="X1077" s="7"/>
      <c r="Y1077" s="7"/>
      <c r="Z1077" s="7"/>
      <c r="AA1077" s="7"/>
    </row>
    <row r="1078" spans="1:27" ht="13.2">
      <c r="A1078" s="14"/>
      <c r="B1078" s="14"/>
      <c r="C1078" s="14"/>
      <c r="D1078" s="14"/>
      <c r="E1078" s="12"/>
      <c r="F1078" s="12"/>
      <c r="G1078" s="14"/>
      <c r="H1078" s="14"/>
      <c r="I1078" s="15"/>
      <c r="J1078" s="14"/>
      <c r="K1078" s="15"/>
      <c r="L1078" s="14"/>
      <c r="M1078" s="14"/>
      <c r="N1078" s="14"/>
      <c r="O1078" s="14"/>
      <c r="P1078" s="14"/>
      <c r="Q1078" s="14"/>
      <c r="R1078" s="7"/>
      <c r="S1078" s="7"/>
      <c r="T1078" s="7"/>
      <c r="U1078" s="7"/>
      <c r="V1078" s="7"/>
      <c r="W1078" s="7"/>
      <c r="X1078" s="7"/>
      <c r="Y1078" s="7"/>
      <c r="Z1078" s="7"/>
      <c r="AA1078" s="7"/>
    </row>
    <row r="1079" spans="1:27" ht="13.2">
      <c r="A1079" s="14"/>
      <c r="B1079" s="14"/>
      <c r="C1079" s="14"/>
      <c r="D1079" s="14"/>
      <c r="E1079" s="12"/>
      <c r="F1079" s="12"/>
      <c r="G1079" s="14"/>
      <c r="H1079" s="14"/>
      <c r="I1079" s="15"/>
      <c r="J1079" s="14"/>
      <c r="K1079" s="15"/>
      <c r="L1079" s="14"/>
      <c r="M1079" s="14"/>
      <c r="N1079" s="14"/>
      <c r="O1079" s="14"/>
      <c r="P1079" s="14"/>
      <c r="Q1079" s="14"/>
      <c r="R1079" s="7"/>
      <c r="S1079" s="7"/>
      <c r="T1079" s="7"/>
      <c r="U1079" s="7"/>
      <c r="V1079" s="7"/>
      <c r="W1079" s="7"/>
      <c r="X1079" s="7"/>
      <c r="Y1079" s="7"/>
      <c r="Z1079" s="7"/>
      <c r="AA1079" s="7"/>
    </row>
    <row r="1080" spans="1:27" ht="13.2">
      <c r="A1080" s="14"/>
      <c r="B1080" s="14"/>
      <c r="C1080" s="14"/>
      <c r="D1080" s="14"/>
      <c r="E1080" s="12"/>
      <c r="F1080" s="12"/>
      <c r="G1080" s="14"/>
      <c r="H1080" s="14"/>
      <c r="I1080" s="15"/>
      <c r="J1080" s="14"/>
      <c r="K1080" s="15"/>
      <c r="L1080" s="14"/>
      <c r="M1080" s="14"/>
      <c r="N1080" s="14"/>
      <c r="O1080" s="14"/>
      <c r="P1080" s="14"/>
      <c r="Q1080" s="14"/>
      <c r="R1080" s="7"/>
      <c r="S1080" s="7"/>
      <c r="T1080" s="7"/>
      <c r="U1080" s="7"/>
      <c r="V1080" s="7"/>
      <c r="W1080" s="7"/>
      <c r="X1080" s="7"/>
      <c r="Y1080" s="7"/>
      <c r="Z1080" s="7"/>
      <c r="AA1080" s="7"/>
    </row>
    <row r="1081" spans="1:27" ht="13.2">
      <c r="A1081" s="14"/>
      <c r="B1081" s="14"/>
      <c r="C1081" s="14"/>
      <c r="D1081" s="14"/>
      <c r="E1081" s="12"/>
      <c r="F1081" s="12"/>
      <c r="G1081" s="14"/>
      <c r="H1081" s="14"/>
      <c r="I1081" s="15"/>
      <c r="J1081" s="14"/>
      <c r="K1081" s="15"/>
      <c r="L1081" s="14"/>
      <c r="M1081" s="14"/>
      <c r="N1081" s="14"/>
      <c r="O1081" s="14"/>
      <c r="P1081" s="14"/>
      <c r="Q1081" s="14"/>
      <c r="R1081" s="7"/>
      <c r="S1081" s="7"/>
      <c r="T1081" s="7"/>
      <c r="U1081" s="7"/>
      <c r="V1081" s="7"/>
      <c r="W1081" s="7"/>
      <c r="X1081" s="7"/>
      <c r="Y1081" s="7"/>
      <c r="Z1081" s="7"/>
      <c r="AA1081" s="7"/>
    </row>
    <row r="1082" spans="1:27" ht="13.2">
      <c r="A1082" s="14"/>
      <c r="B1082" s="14"/>
      <c r="C1082" s="14"/>
      <c r="D1082" s="14"/>
      <c r="E1082" s="12"/>
      <c r="F1082" s="12"/>
      <c r="G1082" s="14"/>
      <c r="H1082" s="14"/>
      <c r="I1082" s="15"/>
      <c r="J1082" s="14"/>
      <c r="K1082" s="15"/>
      <c r="L1082" s="14"/>
      <c r="M1082" s="14"/>
      <c r="N1082" s="14"/>
      <c r="O1082" s="14"/>
      <c r="P1082" s="14"/>
      <c r="Q1082" s="14"/>
      <c r="R1082" s="7"/>
      <c r="S1082" s="7"/>
      <c r="T1082" s="7"/>
      <c r="U1082" s="7"/>
      <c r="V1082" s="7"/>
      <c r="W1082" s="7"/>
      <c r="X1082" s="7"/>
      <c r="Y1082" s="7"/>
      <c r="Z1082" s="7"/>
      <c r="AA1082" s="7"/>
    </row>
    <row r="1083" spans="1:27" ht="13.2">
      <c r="A1083" s="14"/>
      <c r="B1083" s="14"/>
      <c r="C1083" s="14"/>
      <c r="D1083" s="14"/>
      <c r="E1083" s="12"/>
      <c r="F1083" s="12"/>
      <c r="G1083" s="14"/>
      <c r="H1083" s="14"/>
      <c r="I1083" s="15"/>
      <c r="J1083" s="14"/>
      <c r="K1083" s="15"/>
      <c r="L1083" s="14"/>
      <c r="M1083" s="14"/>
      <c r="N1083" s="14"/>
      <c r="O1083" s="14"/>
      <c r="P1083" s="14"/>
      <c r="Q1083" s="14"/>
      <c r="R1083" s="7"/>
      <c r="S1083" s="7"/>
      <c r="T1083" s="7"/>
      <c r="U1083" s="7"/>
      <c r="V1083" s="7"/>
      <c r="W1083" s="7"/>
      <c r="X1083" s="7"/>
      <c r="Y1083" s="7"/>
      <c r="Z1083" s="7"/>
      <c r="AA1083" s="7"/>
    </row>
    <row r="1084" spans="1:27" ht="13.2">
      <c r="A1084" s="14"/>
      <c r="B1084" s="14"/>
      <c r="C1084" s="14"/>
      <c r="D1084" s="14"/>
      <c r="E1084" s="12"/>
      <c r="F1084" s="12"/>
      <c r="G1084" s="14"/>
      <c r="H1084" s="14"/>
      <c r="I1084" s="15"/>
      <c r="J1084" s="14"/>
      <c r="K1084" s="15"/>
      <c r="L1084" s="14"/>
      <c r="M1084" s="14"/>
      <c r="N1084" s="14"/>
      <c r="O1084" s="14"/>
      <c r="P1084" s="14"/>
      <c r="Q1084" s="14"/>
      <c r="R1084" s="7"/>
      <c r="S1084" s="7"/>
      <c r="T1084" s="7"/>
      <c r="U1084" s="7"/>
      <c r="V1084" s="7"/>
      <c r="W1084" s="7"/>
      <c r="X1084" s="7"/>
      <c r="Y1084" s="7"/>
      <c r="Z1084" s="7"/>
      <c r="AA1084" s="7"/>
    </row>
    <row r="1085" spans="1:27" ht="13.2">
      <c r="A1085" s="14"/>
      <c r="B1085" s="14"/>
      <c r="C1085" s="14"/>
      <c r="D1085" s="14"/>
      <c r="E1085" s="12"/>
      <c r="F1085" s="12"/>
      <c r="G1085" s="14"/>
      <c r="H1085" s="14"/>
      <c r="I1085" s="15"/>
      <c r="J1085" s="14"/>
      <c r="K1085" s="15"/>
      <c r="L1085" s="14"/>
      <c r="M1085" s="14"/>
      <c r="N1085" s="14"/>
      <c r="O1085" s="14"/>
      <c r="P1085" s="14"/>
      <c r="Q1085" s="14"/>
      <c r="R1085" s="7"/>
      <c r="S1085" s="7"/>
      <c r="T1085" s="7"/>
      <c r="U1085" s="7"/>
      <c r="V1085" s="7"/>
      <c r="W1085" s="7"/>
      <c r="X1085" s="7"/>
      <c r="Y1085" s="7"/>
      <c r="Z1085" s="7"/>
      <c r="AA1085" s="7"/>
    </row>
    <row r="1086" spans="1:27" ht="13.2">
      <c r="A1086" s="7"/>
      <c r="B1086" s="7"/>
      <c r="C1086" s="7"/>
      <c r="D1086" s="7"/>
      <c r="E1086" s="75"/>
      <c r="F1086" s="75"/>
      <c r="G1086" s="7"/>
      <c r="H1086" s="7"/>
      <c r="I1086" s="73"/>
      <c r="J1086" s="7"/>
      <c r="K1086" s="73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</row>
    <row r="1087" spans="1:27" ht="13.2">
      <c r="A1087" s="7"/>
      <c r="B1087" s="7"/>
      <c r="C1087" s="7"/>
      <c r="D1087" s="7"/>
      <c r="E1087" s="75"/>
      <c r="F1087" s="75"/>
      <c r="G1087" s="7"/>
      <c r="H1087" s="7"/>
      <c r="I1087" s="73"/>
      <c r="J1087" s="7"/>
      <c r="K1087" s="73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</row>
    <row r="1088" spans="1:27" ht="13.2">
      <c r="A1088" s="7"/>
      <c r="B1088" s="7"/>
      <c r="C1088" s="7"/>
      <c r="D1088" s="7"/>
      <c r="E1088" s="75"/>
      <c r="F1088" s="75"/>
      <c r="G1088" s="7"/>
      <c r="H1088" s="7"/>
      <c r="I1088" s="73"/>
      <c r="J1088" s="7"/>
      <c r="K1088" s="73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</row>
    <row r="1089" spans="1:27" ht="13.2">
      <c r="A1089" s="7"/>
      <c r="B1089" s="7"/>
      <c r="C1089" s="7"/>
      <c r="D1089" s="7"/>
      <c r="E1089" s="75"/>
      <c r="F1089" s="75"/>
      <c r="G1089" s="7"/>
      <c r="H1089" s="7"/>
      <c r="I1089" s="73"/>
      <c r="J1089" s="7"/>
      <c r="K1089" s="73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</row>
    <row r="1090" spans="1:27" ht="13.2">
      <c r="A1090" s="7"/>
      <c r="B1090" s="7"/>
      <c r="C1090" s="7"/>
      <c r="D1090" s="7"/>
      <c r="E1090" s="75"/>
      <c r="F1090" s="75"/>
      <c r="G1090" s="7"/>
      <c r="H1090" s="7"/>
      <c r="I1090" s="73"/>
      <c r="J1090" s="7"/>
      <c r="K1090" s="73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</row>
    <row r="1091" spans="1:27" ht="13.2">
      <c r="A1091" s="7"/>
      <c r="B1091" s="7"/>
      <c r="C1091" s="7"/>
      <c r="D1091" s="7"/>
      <c r="E1091" s="75"/>
      <c r="F1091" s="75"/>
      <c r="G1091" s="7"/>
      <c r="H1091" s="7"/>
      <c r="I1091" s="73"/>
      <c r="J1091" s="7"/>
      <c r="K1091" s="73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</row>
    <row r="1092" spans="1:27" ht="13.2">
      <c r="A1092" s="7"/>
      <c r="B1092" s="7"/>
      <c r="C1092" s="7"/>
      <c r="D1092" s="7"/>
      <c r="E1092" s="75"/>
      <c r="F1092" s="75"/>
      <c r="G1092" s="7"/>
      <c r="H1092" s="7"/>
      <c r="I1092" s="73"/>
      <c r="J1092" s="7"/>
      <c r="K1092" s="73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</row>
    <row r="1093" spans="1:27" ht="13.2">
      <c r="A1093" s="7"/>
      <c r="B1093" s="7"/>
      <c r="C1093" s="7"/>
      <c r="D1093" s="7"/>
      <c r="E1093" s="75"/>
      <c r="F1093" s="75"/>
      <c r="G1093" s="7"/>
      <c r="H1093" s="7"/>
      <c r="I1093" s="73"/>
      <c r="J1093" s="7"/>
      <c r="K1093" s="73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</row>
    <row r="1094" spans="1:27" ht="13.2">
      <c r="A1094" s="7"/>
      <c r="B1094" s="7"/>
      <c r="C1094" s="7"/>
      <c r="D1094" s="7"/>
      <c r="E1094" s="75"/>
      <c r="F1094" s="75"/>
      <c r="G1094" s="7"/>
      <c r="H1094" s="7"/>
      <c r="I1094" s="73"/>
      <c r="J1094" s="7"/>
      <c r="K1094" s="73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</row>
    <row r="1095" spans="1:27" ht="13.2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</row>
    <row r="1096" spans="1:27" ht="13.2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</row>
    <row r="1097" spans="1:27" ht="13.2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</row>
    <row r="1098" spans="1:27" ht="13.2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</row>
    <row r="1099" spans="1:27" ht="13.2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</row>
    <row r="1100" spans="1:27" ht="13.2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</row>
    <row r="1101" spans="1:27" ht="13.2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</row>
    <row r="1102" spans="1:27" ht="13.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</row>
    <row r="1103" spans="1:27" ht="13.2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</row>
    <row r="1104" spans="1:27" ht="13.2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</row>
    <row r="1105" spans="1:27" ht="13.2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</row>
    <row r="1106" spans="1:27" ht="13.2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</row>
    <row r="1107" spans="1:27" ht="13.2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</row>
    <row r="1108" spans="1:27" ht="13.2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</row>
    <row r="1109" spans="1:27" ht="13.2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</row>
    <row r="1110" spans="1:27" ht="13.2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</row>
    <row r="1111" spans="1:27" ht="13.2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</row>
    <row r="1112" spans="1:27" ht="13.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</row>
    <row r="1113" spans="1:27" ht="13.2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</row>
    <row r="1114" spans="1:27" ht="13.2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</row>
    <row r="1115" spans="1:27" ht="13.2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</row>
    <row r="1116" spans="1:27" ht="13.2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</row>
    <row r="1117" spans="1:27" ht="13.2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</row>
    <row r="1118" spans="1:27" ht="13.2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</row>
    <row r="1119" spans="1:27" ht="13.2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</row>
    <row r="1120" spans="1:27" ht="13.2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</row>
    <row r="1121" spans="1:27" ht="13.2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</row>
    <row r="1122" spans="1:27" ht="13.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</row>
    <row r="1123" spans="1:27" ht="13.2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</row>
    <row r="1124" spans="1:27" ht="13.2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</row>
    <row r="1125" spans="1:27" ht="13.2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</row>
    <row r="1126" spans="1:27" ht="13.2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</row>
    <row r="1127" spans="1:27" ht="13.2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</row>
    <row r="1128" spans="1:27" ht="13.2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</row>
    <row r="1129" spans="1:27" ht="13.2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</row>
    <row r="1130" spans="1:27" ht="13.2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</row>
    <row r="1131" spans="1:27" ht="13.2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</row>
    <row r="1132" spans="1:27" ht="13.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</row>
    <row r="1133" spans="1:27" ht="13.2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</row>
    <row r="1134" spans="1:27" ht="13.2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</row>
    <row r="1135" spans="1:27" ht="13.2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</row>
    <row r="1136" spans="1:27" ht="13.2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</row>
    <row r="1137" spans="1:27" ht="13.2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</row>
    <row r="1138" spans="1:27" ht="13.2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</row>
    <row r="1139" spans="1:27" ht="13.2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</row>
    <row r="1140" spans="1:27" ht="13.2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</row>
    <row r="1141" spans="1:27" ht="13.2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</row>
    <row r="1142" spans="1:27" ht="13.2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</row>
    <row r="1143" spans="1:27" ht="13.2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</row>
    <row r="1144" spans="1:27" ht="13.2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</row>
    <row r="1145" spans="1:27" ht="13.2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</row>
    <row r="1146" spans="1:27" ht="13.2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</row>
    <row r="1147" spans="1:27" ht="13.2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</row>
    <row r="1148" spans="1:27" ht="13.2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</row>
    <row r="1149" spans="1:27" ht="13.2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</row>
    <row r="1150" spans="1:27" ht="13.2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</row>
    <row r="1151" spans="1:27" ht="13.2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</row>
    <row r="1152" spans="1:27" ht="13.2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</row>
    <row r="1153" spans="1:27" ht="13.2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</row>
    <row r="1154" spans="1:27" ht="13.2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</row>
    <row r="1155" spans="1:27" ht="13.2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</row>
    <row r="1156" spans="1:27" ht="13.2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</row>
    <row r="1157" spans="1:27" ht="13.2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</row>
    <row r="1158" spans="1:27" ht="13.2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</row>
    <row r="1159" spans="1:27" ht="13.2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</row>
    <row r="1160" spans="1:27" ht="13.2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</row>
    <row r="1161" spans="1:27" ht="13.2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</row>
    <row r="1162" spans="1:27" ht="13.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</row>
    <row r="1163" spans="1:27" ht="13.2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</row>
    <row r="1164" spans="1:27" ht="13.2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</row>
    <row r="1165" spans="1:27" ht="13.2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</row>
    <row r="1166" spans="1:27" ht="13.2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</row>
    <row r="1167" spans="1:27" ht="13.2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</row>
    <row r="1168" spans="1:27" ht="13.2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</row>
    <row r="1169" spans="1:27" ht="13.2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</row>
    <row r="1170" spans="1:27" ht="13.2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</row>
    <row r="1171" spans="1:27" ht="13.2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</row>
    <row r="1172" spans="1:27" ht="13.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</row>
    <row r="1173" spans="1:27" ht="13.2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</row>
    <row r="1174" spans="1:27" ht="13.2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</row>
    <row r="1175" spans="1:27" ht="13.2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</row>
    <row r="1176" spans="1:27" ht="13.2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</row>
    <row r="1177" spans="1:27" ht="13.2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</row>
    <row r="1178" spans="1:27" ht="13.2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</row>
    <row r="1179" spans="1:27" ht="13.2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</row>
    <row r="1180" spans="1:27" ht="13.2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</row>
    <row r="1181" spans="1:27" ht="13.2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</row>
    <row r="1182" spans="1:27" ht="13.2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</row>
    <row r="1183" spans="1:27" ht="13.2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</row>
    <row r="1184" spans="1:27" ht="13.2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</row>
    <row r="1185" spans="1:27" ht="13.2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</row>
    <row r="1186" spans="1:27" ht="13.2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</row>
    <row r="1187" spans="1:27" ht="13.2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</row>
    <row r="1188" spans="1:27" ht="13.2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</row>
    <row r="1189" spans="1:27" ht="13.2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</row>
    <row r="1190" spans="1:27" ht="13.2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</row>
    <row r="1191" spans="1:27" ht="13.2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</row>
    <row r="1192" spans="1:27" ht="13.2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</row>
    <row r="1193" spans="1:27" ht="13.2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</row>
    <row r="1194" spans="1:27" ht="13.2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</row>
    <row r="1195" spans="1:27" ht="13.2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</row>
    <row r="1196" spans="1:27" ht="13.2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</row>
    <row r="1197" spans="1:27" ht="13.2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</row>
    <row r="1198" spans="1:27" ht="13.2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</row>
    <row r="1199" spans="1:27" ht="13.2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</row>
    <row r="1200" spans="1:27" ht="13.2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</row>
    <row r="1201" spans="1:27" ht="13.2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</row>
    <row r="1202" spans="1:27" ht="13.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</row>
    <row r="1203" spans="1:27" ht="13.2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</row>
    <row r="1204" spans="1:27" ht="13.2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</row>
    <row r="1205" spans="1:27" ht="13.2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</row>
    <row r="1206" spans="1:27" ht="13.2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</row>
    <row r="1207" spans="1:27" ht="13.2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</row>
    <row r="1208" spans="1:27" ht="13.2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</row>
    <row r="1209" spans="1:27" ht="13.2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</row>
    <row r="1210" spans="1:27" ht="13.2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</row>
    <row r="1211" spans="1:27" ht="13.2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</row>
    <row r="1212" spans="1:27" ht="13.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</row>
    <row r="1213" spans="1:27" ht="13.2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</row>
    <row r="1214" spans="1:27" ht="13.2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</row>
    <row r="1215" spans="1:27" ht="13.2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</row>
    <row r="1216" spans="1:27" ht="13.2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</row>
    <row r="1217" spans="1:27" ht="13.2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</row>
    <row r="1218" spans="1:27" ht="13.2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</row>
    <row r="1219" spans="1:27" ht="13.2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</row>
    <row r="1220" spans="1:27" ht="13.2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</row>
    <row r="1221" spans="1:27" ht="13.2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</row>
    <row r="1222" spans="1:27" ht="13.2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</row>
    <row r="1223" spans="1:27" ht="13.2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</row>
    <row r="1224" spans="1:27" ht="13.2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</row>
    <row r="1225" spans="1:27" ht="13.2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</row>
    <row r="1226" spans="1:27" ht="13.2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</row>
    <row r="1227" spans="1:27" ht="13.2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</row>
    <row r="1228" spans="1:27" ht="13.2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</row>
    <row r="1229" spans="1:27" ht="13.2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</row>
    <row r="1230" spans="1:27" ht="13.2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</row>
    <row r="1231" spans="1:27" ht="13.2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</row>
    <row r="1232" spans="1:27" ht="13.2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</row>
    <row r="1233" spans="1:27" ht="13.2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</row>
    <row r="1234" spans="1:27" ht="13.2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</row>
    <row r="1235" spans="1:27" ht="13.2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</row>
    <row r="1236" spans="1:27" ht="13.2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</row>
    <row r="1237" spans="1:27" ht="13.2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</row>
    <row r="1238" spans="1:27" ht="13.2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</row>
    <row r="1239" spans="1:27" ht="13.2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</row>
    <row r="1240" spans="1:27" ht="13.2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</row>
    <row r="1241" spans="1:27" ht="13.2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</row>
    <row r="1242" spans="1:27" ht="13.2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</row>
    <row r="1243" spans="1:27" ht="13.2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</row>
    <row r="1244" spans="1:27" ht="13.2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</row>
    <row r="1245" spans="1:27" ht="13.2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</row>
    <row r="1246" spans="1:27" ht="13.2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</row>
    <row r="1247" spans="1:27" ht="13.2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</row>
    <row r="1248" spans="1:27" ht="13.2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</row>
    <row r="1249" spans="1:27" ht="13.2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</row>
    <row r="1250" spans="1:27" ht="13.2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</row>
    <row r="1251" spans="1:27" ht="13.2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</row>
    <row r="1252" spans="1:27" ht="13.2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</row>
    <row r="1253" spans="1:27" ht="13.2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</row>
    <row r="1254" spans="1:27" ht="13.2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</row>
    <row r="1255" spans="1:27" ht="13.2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</row>
    <row r="1256" spans="1:27" ht="13.2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</row>
    <row r="1257" spans="1:27" ht="13.2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</row>
    <row r="1258" spans="1:27" ht="13.2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</row>
    <row r="1259" spans="1:27" ht="13.2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</row>
    <row r="1260" spans="1:27" ht="13.2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</row>
    <row r="1261" spans="1:27" ht="13.2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</row>
    <row r="1262" spans="1:27" ht="13.2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</row>
    <row r="1263" spans="1:27" ht="13.2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</row>
    <row r="1264" spans="1:27" ht="13.2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</row>
    <row r="1265" spans="1:27" ht="13.2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</row>
    <row r="1266" spans="1:27" ht="13.2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</row>
    <row r="1267" spans="1:27" ht="13.2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</row>
    <row r="1268" spans="1:27" ht="13.2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</row>
    <row r="1269" spans="1:27" ht="13.2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</row>
    <row r="1270" spans="1:27" ht="13.2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</row>
    <row r="1271" spans="1:27" ht="13.2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</row>
    <row r="1272" spans="1:27" ht="13.2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</row>
    <row r="1273" spans="1:27" ht="13.2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</row>
    <row r="1274" spans="1:27" ht="13.2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</row>
    <row r="1275" spans="1:27" ht="13.2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</row>
    <row r="1276" spans="1:27" ht="13.2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</row>
    <row r="1277" spans="1:27" ht="13.2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</row>
    <row r="1278" spans="1:27" ht="13.2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</row>
    <row r="1279" spans="1:27" ht="13.2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</row>
    <row r="1280" spans="1:27" ht="13.2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</row>
    <row r="1281" spans="1:27" ht="13.2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</row>
    <row r="1282" spans="1:27" ht="13.2">
      <c r="C1282" s="126"/>
      <c r="D1282" s="126"/>
      <c r="K1282" s="126"/>
    </row>
    <row r="1283" spans="1:27" ht="13.2">
      <c r="C1283" s="126"/>
      <c r="D1283" s="126"/>
      <c r="K1283" s="126"/>
    </row>
    <row r="1284" spans="1:27" ht="13.2">
      <c r="C1284" s="126"/>
      <c r="D1284" s="126"/>
      <c r="K1284" s="126"/>
    </row>
    <row r="1285" spans="1:27" ht="13.2">
      <c r="C1285" s="126"/>
      <c r="D1285" s="126"/>
      <c r="K1285" s="126"/>
    </row>
    <row r="1286" spans="1:27" ht="13.2">
      <c r="C1286" s="126"/>
      <c r="D1286" s="126"/>
      <c r="K1286" s="126"/>
    </row>
    <row r="1287" spans="1:27" ht="13.2">
      <c r="C1287" s="126"/>
      <c r="D1287" s="126"/>
      <c r="K1287" s="126"/>
    </row>
    <row r="1288" spans="1:27" ht="13.2">
      <c r="C1288" s="126"/>
      <c r="D1288" s="126"/>
      <c r="K1288" s="126"/>
    </row>
    <row r="1289" spans="1:27" ht="13.2">
      <c r="C1289" s="126"/>
      <c r="D1289" s="126"/>
      <c r="K1289" s="126"/>
    </row>
    <row r="1290" spans="1:27" ht="13.2">
      <c r="C1290" s="126"/>
      <c r="D1290" s="126"/>
      <c r="K1290" s="126"/>
    </row>
    <row r="1291" spans="1:27" ht="13.2">
      <c r="C1291" s="126"/>
      <c r="D1291" s="126"/>
      <c r="K1291" s="126"/>
    </row>
    <row r="1292" spans="1:27" ht="13.2">
      <c r="C1292" s="126"/>
      <c r="D1292" s="126"/>
      <c r="K1292" s="126"/>
    </row>
    <row r="1293" spans="1:27" ht="13.2">
      <c r="C1293" s="126"/>
      <c r="D1293" s="126"/>
      <c r="K1293" s="126"/>
    </row>
    <row r="1294" spans="1:27" ht="13.2">
      <c r="C1294" s="126"/>
      <c r="D1294" s="126"/>
      <c r="K1294" s="126"/>
    </row>
    <row r="1295" spans="1:27" ht="13.2">
      <c r="C1295" s="126"/>
      <c r="D1295" s="126"/>
      <c r="K1295" s="126"/>
    </row>
    <row r="1296" spans="1:27" ht="13.2">
      <c r="C1296" s="126"/>
      <c r="D1296" s="126"/>
      <c r="K1296" s="126"/>
    </row>
    <row r="1297" spans="3:11" ht="13.2">
      <c r="C1297" s="126"/>
      <c r="D1297" s="126"/>
      <c r="K1297" s="126"/>
    </row>
    <row r="1298" spans="3:11" ht="13.2">
      <c r="C1298" s="126"/>
      <c r="D1298" s="126"/>
      <c r="K1298" s="126"/>
    </row>
    <row r="1299" spans="3:11" ht="13.2">
      <c r="C1299" s="126"/>
      <c r="D1299" s="126"/>
      <c r="K1299" s="126"/>
    </row>
    <row r="1300" spans="3:11" ht="13.2">
      <c r="C1300" s="126"/>
      <c r="D1300" s="126"/>
      <c r="K1300" s="126"/>
    </row>
    <row r="1301" spans="3:11" ht="13.2">
      <c r="C1301" s="126"/>
      <c r="D1301" s="126"/>
      <c r="K1301" s="126"/>
    </row>
    <row r="1302" spans="3:11" ht="13.2">
      <c r="C1302" s="126"/>
      <c r="D1302" s="126"/>
      <c r="K1302" s="126"/>
    </row>
    <row r="1303" spans="3:11" ht="13.2">
      <c r="C1303" s="126"/>
      <c r="D1303" s="126"/>
      <c r="K1303" s="126"/>
    </row>
    <row r="1304" spans="3:11" ht="13.2">
      <c r="C1304" s="126"/>
      <c r="D1304" s="126"/>
      <c r="K1304" s="126"/>
    </row>
    <row r="1305" spans="3:11" ht="13.2">
      <c r="C1305" s="126"/>
      <c r="D1305" s="126"/>
      <c r="K1305" s="126"/>
    </row>
    <row r="1306" spans="3:11" ht="13.2">
      <c r="C1306" s="126"/>
      <c r="D1306" s="126"/>
      <c r="K1306" s="126"/>
    </row>
    <row r="1307" spans="3:11" ht="13.2">
      <c r="C1307" s="126"/>
      <c r="D1307" s="126"/>
      <c r="K1307" s="126"/>
    </row>
    <row r="1308" spans="3:11" ht="13.2">
      <c r="C1308" s="126"/>
      <c r="D1308" s="126"/>
      <c r="K1308" s="126"/>
    </row>
    <row r="1309" spans="3:11" ht="13.2">
      <c r="C1309" s="126"/>
      <c r="D1309" s="126"/>
      <c r="K1309" s="126"/>
    </row>
    <row r="1310" spans="3:11" ht="13.2">
      <c r="C1310" s="126"/>
      <c r="D1310" s="126"/>
      <c r="K1310" s="126"/>
    </row>
    <row r="1311" spans="3:11" ht="13.2">
      <c r="C1311" s="126"/>
      <c r="D1311" s="126"/>
      <c r="K1311" s="126"/>
    </row>
    <row r="1312" spans="3:11" ht="13.2">
      <c r="C1312" s="126"/>
      <c r="D1312" s="126"/>
      <c r="K1312" s="126"/>
    </row>
    <row r="1313" spans="3:11" ht="13.2">
      <c r="C1313" s="126"/>
      <c r="D1313" s="126"/>
      <c r="K1313" s="126"/>
    </row>
    <row r="1314" spans="3:11" ht="13.2">
      <c r="C1314" s="126"/>
      <c r="D1314" s="126"/>
      <c r="K1314" s="126"/>
    </row>
    <row r="1315" spans="3:11" ht="13.2">
      <c r="C1315" s="126"/>
      <c r="D1315" s="126"/>
      <c r="K1315" s="126"/>
    </row>
    <row r="1316" spans="3:11" ht="13.2">
      <c r="C1316" s="126"/>
      <c r="D1316" s="126"/>
      <c r="K1316" s="126"/>
    </row>
    <row r="1317" spans="3:11" ht="13.2">
      <c r="C1317" s="126"/>
      <c r="D1317" s="126"/>
      <c r="K1317" s="126"/>
    </row>
    <row r="1318" spans="3:11" ht="13.2">
      <c r="C1318" s="126"/>
      <c r="D1318" s="126"/>
      <c r="K1318" s="126"/>
    </row>
    <row r="1319" spans="3:11" ht="13.2">
      <c r="C1319" s="126"/>
      <c r="D1319" s="126"/>
      <c r="K1319" s="126"/>
    </row>
    <row r="1320" spans="3:11" ht="13.2">
      <c r="C1320" s="126"/>
      <c r="D1320" s="126"/>
      <c r="K1320" s="126"/>
    </row>
    <row r="1321" spans="3:11" ht="13.2">
      <c r="C1321" s="126"/>
      <c r="D1321" s="126"/>
      <c r="K1321" s="126"/>
    </row>
    <row r="1322" spans="3:11" ht="13.2">
      <c r="C1322" s="126"/>
      <c r="D1322" s="126"/>
      <c r="K1322" s="126"/>
    </row>
    <row r="1323" spans="3:11" ht="13.2">
      <c r="C1323" s="126"/>
      <c r="D1323" s="126"/>
      <c r="K1323" s="126"/>
    </row>
    <row r="1324" spans="3:11" ht="13.2">
      <c r="C1324" s="126"/>
      <c r="D1324" s="126"/>
      <c r="K1324" s="126"/>
    </row>
    <row r="1325" spans="3:11" ht="13.2">
      <c r="C1325" s="126"/>
      <c r="D1325" s="126"/>
      <c r="K1325" s="126"/>
    </row>
    <row r="1326" spans="3:11" ht="13.2">
      <c r="C1326" s="126"/>
      <c r="D1326" s="126"/>
      <c r="K1326" s="126"/>
    </row>
    <row r="1327" spans="3:11" ht="13.2">
      <c r="C1327" s="126"/>
      <c r="D1327" s="126"/>
      <c r="K1327" s="126"/>
    </row>
    <row r="1328" spans="3:11" ht="13.2">
      <c r="C1328" s="126"/>
      <c r="D1328" s="126"/>
      <c r="K1328" s="126"/>
    </row>
    <row r="1329" spans="3:11" ht="13.2">
      <c r="C1329" s="126"/>
      <c r="D1329" s="126"/>
      <c r="K1329" s="126"/>
    </row>
    <row r="1330" spans="3:11" ht="13.2">
      <c r="C1330" s="126"/>
      <c r="D1330" s="126"/>
      <c r="K1330" s="126"/>
    </row>
    <row r="1331" spans="3:11" ht="13.2">
      <c r="C1331" s="126"/>
      <c r="D1331" s="126"/>
      <c r="K1331" s="126"/>
    </row>
    <row r="1332" spans="3:11" ht="13.2">
      <c r="C1332" s="126"/>
      <c r="D1332" s="126"/>
      <c r="K1332" s="126"/>
    </row>
    <row r="1333" spans="3:11" ht="13.2">
      <c r="C1333" s="126"/>
      <c r="D1333" s="126"/>
      <c r="K1333" s="126"/>
    </row>
    <row r="1334" spans="3:11" ht="13.2">
      <c r="C1334" s="126"/>
      <c r="D1334" s="126"/>
      <c r="K1334" s="126"/>
    </row>
    <row r="1335" spans="3:11" ht="13.2">
      <c r="C1335" s="126"/>
      <c r="D1335" s="126"/>
      <c r="K1335" s="126"/>
    </row>
    <row r="1336" spans="3:11" ht="13.2">
      <c r="C1336" s="126"/>
      <c r="D1336" s="126"/>
      <c r="K1336" s="126"/>
    </row>
    <row r="1337" spans="3:11" ht="13.2">
      <c r="C1337" s="126"/>
      <c r="D1337" s="126"/>
      <c r="K1337" s="126"/>
    </row>
    <row r="1338" spans="3:11" ht="13.2">
      <c r="C1338" s="126"/>
      <c r="D1338" s="126"/>
      <c r="K1338" s="126"/>
    </row>
    <row r="1339" spans="3:11" ht="13.2">
      <c r="C1339" s="126"/>
      <c r="D1339" s="126"/>
      <c r="K1339" s="126"/>
    </row>
    <row r="1340" spans="3:11" ht="13.2">
      <c r="C1340" s="126"/>
      <c r="D1340" s="126"/>
      <c r="K1340" s="126"/>
    </row>
    <row r="1341" spans="3:11" ht="13.2">
      <c r="C1341" s="126"/>
      <c r="D1341" s="126"/>
      <c r="K1341" s="126"/>
    </row>
    <row r="1342" spans="3:11" ht="13.2">
      <c r="C1342" s="126"/>
      <c r="D1342" s="126"/>
      <c r="K1342" s="126"/>
    </row>
    <row r="1343" spans="3:11" ht="13.2">
      <c r="C1343" s="126"/>
      <c r="D1343" s="126"/>
      <c r="K1343" s="126"/>
    </row>
    <row r="1344" spans="3:11" ht="13.2">
      <c r="C1344" s="126"/>
      <c r="D1344" s="126"/>
      <c r="K1344" s="126"/>
    </row>
    <row r="1345" spans="3:11" ht="13.2">
      <c r="C1345" s="126"/>
      <c r="D1345" s="126"/>
      <c r="K1345" s="126"/>
    </row>
    <row r="1346" spans="3:11" ht="13.2">
      <c r="C1346" s="126"/>
      <c r="D1346" s="126"/>
      <c r="K1346" s="126"/>
    </row>
    <row r="1347" spans="3:11" ht="13.2">
      <c r="C1347" s="126"/>
      <c r="D1347" s="126"/>
      <c r="K1347" s="126"/>
    </row>
    <row r="1348" spans="3:11" ht="13.2">
      <c r="C1348" s="126"/>
      <c r="D1348" s="126"/>
      <c r="K1348" s="126"/>
    </row>
    <row r="1349" spans="3:11" ht="13.2">
      <c r="C1349" s="126"/>
      <c r="D1349" s="126"/>
      <c r="K1349" s="126"/>
    </row>
    <row r="1350" spans="3:11" ht="13.2">
      <c r="C1350" s="126"/>
      <c r="D1350" s="126"/>
      <c r="K1350" s="126"/>
    </row>
    <row r="1351" spans="3:11" ht="13.2">
      <c r="C1351" s="126"/>
      <c r="D1351" s="126"/>
      <c r="K1351" s="126"/>
    </row>
    <row r="1352" spans="3:11" ht="13.2">
      <c r="C1352" s="126"/>
      <c r="D1352" s="126"/>
      <c r="K1352" s="126"/>
    </row>
    <row r="1353" spans="3:11" ht="13.2">
      <c r="C1353" s="126"/>
      <c r="D1353" s="126"/>
      <c r="K1353" s="126"/>
    </row>
    <row r="1354" spans="3:11" ht="13.2">
      <c r="C1354" s="126"/>
      <c r="D1354" s="126"/>
      <c r="K1354" s="126"/>
    </row>
    <row r="1355" spans="3:11" ht="13.2">
      <c r="C1355" s="126"/>
      <c r="D1355" s="126"/>
      <c r="K1355" s="126"/>
    </row>
    <row r="1356" spans="3:11" ht="13.2">
      <c r="C1356" s="126"/>
      <c r="D1356" s="126"/>
      <c r="K1356" s="126"/>
    </row>
    <row r="1357" spans="3:11" ht="13.2">
      <c r="C1357" s="126"/>
      <c r="D1357" s="126"/>
      <c r="K1357" s="126"/>
    </row>
    <row r="1358" spans="3:11" ht="13.2">
      <c r="C1358" s="126"/>
      <c r="D1358" s="126"/>
      <c r="K1358" s="126"/>
    </row>
    <row r="1359" spans="3:11" ht="13.2">
      <c r="C1359" s="126"/>
      <c r="D1359" s="126"/>
      <c r="K1359" s="126"/>
    </row>
    <row r="1360" spans="3:11" ht="13.2">
      <c r="C1360" s="126"/>
      <c r="D1360" s="126"/>
      <c r="K1360" s="126"/>
    </row>
    <row r="1361" spans="3:11" ht="13.2">
      <c r="C1361" s="126"/>
      <c r="D1361" s="126"/>
      <c r="K1361" s="126"/>
    </row>
    <row r="1362" spans="3:11" ht="13.2">
      <c r="C1362" s="126"/>
      <c r="D1362" s="126"/>
      <c r="K1362" s="126"/>
    </row>
    <row r="1363" spans="3:11" ht="13.2">
      <c r="C1363" s="126"/>
      <c r="D1363" s="126"/>
      <c r="K1363" s="126"/>
    </row>
    <row r="1364" spans="3:11" ht="13.2">
      <c r="C1364" s="126"/>
      <c r="D1364" s="126"/>
      <c r="K1364" s="126"/>
    </row>
    <row r="1365" spans="3:11" ht="13.2">
      <c r="C1365" s="126"/>
      <c r="D1365" s="126"/>
      <c r="K1365" s="126"/>
    </row>
    <row r="1366" spans="3:11" ht="13.2">
      <c r="C1366" s="126"/>
      <c r="D1366" s="126"/>
      <c r="K1366" s="126"/>
    </row>
    <row r="1367" spans="3:11" ht="13.2">
      <c r="C1367" s="126"/>
      <c r="D1367" s="126"/>
      <c r="K1367" s="126"/>
    </row>
    <row r="1368" spans="3:11" ht="13.2">
      <c r="C1368" s="126"/>
      <c r="D1368" s="126"/>
      <c r="K1368" s="126"/>
    </row>
    <row r="1369" spans="3:11" ht="13.2">
      <c r="C1369" s="126"/>
      <c r="D1369" s="126"/>
      <c r="K1369" s="126"/>
    </row>
    <row r="1370" spans="3:11" ht="13.2">
      <c r="C1370" s="126"/>
      <c r="D1370" s="126"/>
      <c r="K1370" s="126"/>
    </row>
    <row r="1371" spans="3:11" ht="13.2">
      <c r="C1371" s="126"/>
      <c r="D1371" s="126"/>
      <c r="K1371" s="126"/>
    </row>
    <row r="1372" spans="3:11" ht="13.2">
      <c r="C1372" s="126"/>
      <c r="D1372" s="126"/>
      <c r="K1372" s="126"/>
    </row>
    <row r="1373" spans="3:11" ht="13.2">
      <c r="C1373" s="126"/>
      <c r="D1373" s="126"/>
      <c r="K1373" s="126"/>
    </row>
    <row r="1374" spans="3:11" ht="13.2">
      <c r="C1374" s="126"/>
      <c r="D1374" s="126"/>
      <c r="K1374" s="126"/>
    </row>
    <row r="1375" spans="3:11" ht="13.2">
      <c r="C1375" s="126"/>
      <c r="D1375" s="126"/>
      <c r="K1375" s="126"/>
    </row>
    <row r="1376" spans="3:11" ht="13.2">
      <c r="C1376" s="126"/>
      <c r="D1376" s="126"/>
      <c r="K1376" s="126"/>
    </row>
    <row r="1377" spans="3:11" ht="13.2">
      <c r="C1377" s="126"/>
      <c r="D1377" s="126"/>
      <c r="K1377" s="126"/>
    </row>
    <row r="1378" spans="3:11" ht="13.2">
      <c r="C1378" s="126"/>
      <c r="D1378" s="126"/>
      <c r="K1378" s="126"/>
    </row>
    <row r="1379" spans="3:11" ht="13.2">
      <c r="C1379" s="126"/>
      <c r="D1379" s="126"/>
      <c r="K1379" s="126"/>
    </row>
    <row r="1380" spans="3:11" ht="13.2">
      <c r="C1380" s="126"/>
      <c r="D1380" s="126"/>
      <c r="K1380" s="126"/>
    </row>
    <row r="1381" spans="3:11" ht="13.2">
      <c r="C1381" s="126"/>
      <c r="D1381" s="126"/>
      <c r="K1381" s="126"/>
    </row>
    <row r="1382" spans="3:11" ht="13.2">
      <c r="C1382" s="126"/>
      <c r="D1382" s="126"/>
      <c r="K1382" s="126"/>
    </row>
    <row r="1383" spans="3:11" ht="13.2">
      <c r="C1383" s="126"/>
      <c r="D1383" s="126"/>
      <c r="K1383" s="126"/>
    </row>
    <row r="1384" spans="3:11" ht="13.2">
      <c r="C1384" s="126"/>
      <c r="D1384" s="126"/>
      <c r="K1384" s="126"/>
    </row>
    <row r="1385" spans="3:11" ht="13.2">
      <c r="C1385" s="126"/>
      <c r="D1385" s="126"/>
      <c r="K1385" s="126"/>
    </row>
    <row r="1386" spans="3:11" ht="13.2">
      <c r="C1386" s="126"/>
      <c r="D1386" s="126"/>
      <c r="K1386" s="126"/>
    </row>
    <row r="1387" spans="3:11" ht="13.2">
      <c r="C1387" s="126"/>
      <c r="D1387" s="126"/>
      <c r="K1387" s="126"/>
    </row>
    <row r="1388" spans="3:11" ht="13.2">
      <c r="C1388" s="126"/>
      <c r="D1388" s="126"/>
      <c r="K1388" s="126"/>
    </row>
    <row r="1389" spans="3:11" ht="13.2">
      <c r="C1389" s="126"/>
      <c r="D1389" s="126"/>
      <c r="K1389" s="126"/>
    </row>
    <row r="1390" spans="3:11" ht="13.2">
      <c r="C1390" s="126"/>
      <c r="D1390" s="126"/>
      <c r="K1390" s="126"/>
    </row>
    <row r="1391" spans="3:11" ht="13.2">
      <c r="C1391" s="126"/>
      <c r="D1391" s="126"/>
      <c r="K1391" s="126"/>
    </row>
    <row r="1392" spans="3:11" ht="13.2">
      <c r="C1392" s="126"/>
      <c r="D1392" s="126"/>
      <c r="K1392" s="126"/>
    </row>
    <row r="1393" spans="3:11" ht="13.2">
      <c r="C1393" s="126"/>
      <c r="D1393" s="126"/>
      <c r="K1393" s="126"/>
    </row>
    <row r="1394" spans="3:11" ht="13.2">
      <c r="C1394" s="126"/>
      <c r="D1394" s="126"/>
      <c r="K1394" s="126"/>
    </row>
    <row r="1395" spans="3:11" ht="13.2">
      <c r="C1395" s="126"/>
      <c r="D1395" s="126"/>
      <c r="K1395" s="126"/>
    </row>
    <row r="1396" spans="3:11" ht="13.2">
      <c r="C1396" s="126"/>
      <c r="D1396" s="126"/>
      <c r="K1396" s="126"/>
    </row>
    <row r="1397" spans="3:11" ht="13.2">
      <c r="C1397" s="126"/>
      <c r="D1397" s="126"/>
      <c r="K1397" s="126"/>
    </row>
    <row r="1398" spans="3:11" ht="13.2">
      <c r="C1398" s="126"/>
      <c r="D1398" s="126"/>
      <c r="K1398" s="126"/>
    </row>
    <row r="1399" spans="3:11" ht="13.2">
      <c r="C1399" s="126"/>
      <c r="D1399" s="126"/>
      <c r="K1399" s="126"/>
    </row>
    <row r="1400" spans="3:11" ht="13.2">
      <c r="C1400" s="126"/>
      <c r="D1400" s="126"/>
      <c r="K1400" s="126"/>
    </row>
    <row r="1401" spans="3:11" ht="13.2">
      <c r="C1401" s="126"/>
      <c r="D1401" s="126"/>
      <c r="K1401" s="126"/>
    </row>
    <row r="1402" spans="3:11" ht="13.2">
      <c r="C1402" s="126"/>
      <c r="D1402" s="126"/>
      <c r="K1402" s="126"/>
    </row>
    <row r="1403" spans="3:11" ht="13.2">
      <c r="C1403" s="126"/>
      <c r="D1403" s="126"/>
      <c r="K1403" s="126"/>
    </row>
    <row r="1404" spans="3:11" ht="13.2">
      <c r="C1404" s="126"/>
      <c r="D1404" s="126"/>
      <c r="K1404" s="126"/>
    </row>
    <row r="1405" spans="3:11" ht="13.2">
      <c r="C1405" s="126"/>
      <c r="D1405" s="126"/>
      <c r="K1405" s="126"/>
    </row>
    <row r="1406" spans="3:11" ht="13.2">
      <c r="C1406" s="126"/>
      <c r="D1406" s="126"/>
      <c r="K1406" s="126"/>
    </row>
    <row r="1407" spans="3:11" ht="13.2">
      <c r="C1407" s="126"/>
      <c r="D1407" s="126"/>
      <c r="K1407" s="126"/>
    </row>
    <row r="1408" spans="3:11" ht="13.2">
      <c r="C1408" s="126"/>
      <c r="D1408" s="126"/>
      <c r="K1408" s="126"/>
    </row>
    <row r="1409" spans="3:11" ht="13.2">
      <c r="C1409" s="126"/>
      <c r="D1409" s="126"/>
      <c r="K1409" s="126"/>
    </row>
    <row r="1410" spans="3:11" ht="13.2">
      <c r="C1410" s="126"/>
      <c r="D1410" s="126"/>
      <c r="K1410" s="126"/>
    </row>
    <row r="1411" spans="3:11" ht="13.2">
      <c r="C1411" s="126"/>
      <c r="D1411" s="126"/>
      <c r="K1411" s="126"/>
    </row>
    <row r="1412" spans="3:11" ht="13.2">
      <c r="C1412" s="126"/>
      <c r="D1412" s="126"/>
      <c r="K1412" s="126"/>
    </row>
    <row r="1413" spans="3:11" ht="13.2">
      <c r="C1413" s="126"/>
      <c r="D1413" s="126"/>
      <c r="K1413" s="126"/>
    </row>
    <row r="1414" spans="3:11" ht="13.2">
      <c r="C1414" s="126"/>
      <c r="D1414" s="126"/>
      <c r="K1414" s="126"/>
    </row>
    <row r="1415" spans="3:11" ht="13.2">
      <c r="C1415" s="126"/>
      <c r="D1415" s="126"/>
      <c r="K1415" s="126"/>
    </row>
    <row r="1416" spans="3:11" ht="13.2">
      <c r="C1416" s="126"/>
      <c r="D1416" s="126"/>
      <c r="K1416" s="126"/>
    </row>
    <row r="1417" spans="3:11" ht="13.2">
      <c r="C1417" s="126"/>
      <c r="D1417" s="126"/>
      <c r="K1417" s="126"/>
    </row>
    <row r="1418" spans="3:11" ht="13.2">
      <c r="C1418" s="126"/>
      <c r="D1418" s="126"/>
      <c r="K1418" s="126"/>
    </row>
    <row r="1419" spans="3:11" ht="13.2">
      <c r="C1419" s="126"/>
      <c r="D1419" s="126"/>
      <c r="K1419" s="126"/>
    </row>
    <row r="1420" spans="3:11" ht="13.2">
      <c r="C1420" s="126"/>
      <c r="D1420" s="126"/>
      <c r="K1420" s="126"/>
    </row>
    <row r="1421" spans="3:11" ht="13.2">
      <c r="C1421" s="126"/>
      <c r="D1421" s="126"/>
      <c r="K1421" s="126"/>
    </row>
    <row r="1422" spans="3:11" ht="13.2">
      <c r="C1422" s="126"/>
      <c r="D1422" s="126"/>
      <c r="K1422" s="126"/>
    </row>
    <row r="1423" spans="3:11" ht="13.2">
      <c r="C1423" s="126"/>
      <c r="D1423" s="126"/>
      <c r="K1423" s="126"/>
    </row>
    <row r="1424" spans="3:11" ht="13.2">
      <c r="C1424" s="126"/>
      <c r="D1424" s="126"/>
      <c r="K1424" s="126"/>
    </row>
    <row r="1425" spans="3:11" ht="13.2">
      <c r="C1425" s="126"/>
      <c r="D1425" s="126"/>
      <c r="K1425" s="126"/>
    </row>
    <row r="1426" spans="3:11" ht="13.2">
      <c r="C1426" s="126"/>
      <c r="D1426" s="126"/>
      <c r="K1426" s="126"/>
    </row>
    <row r="1427" spans="3:11" ht="13.2">
      <c r="C1427" s="126"/>
      <c r="D1427" s="126"/>
      <c r="K1427" s="126"/>
    </row>
    <row r="1428" spans="3:11" ht="13.2">
      <c r="C1428" s="126"/>
      <c r="D1428" s="126"/>
      <c r="K1428" s="126"/>
    </row>
    <row r="1429" spans="3:11" ht="13.2">
      <c r="C1429" s="126"/>
      <c r="D1429" s="126"/>
      <c r="K1429" s="126"/>
    </row>
    <row r="1430" spans="3:11" ht="13.2">
      <c r="C1430" s="126"/>
      <c r="D1430" s="126"/>
      <c r="K1430" s="126"/>
    </row>
    <row r="1431" spans="3:11" ht="13.2">
      <c r="C1431" s="126"/>
      <c r="D1431" s="126"/>
      <c r="K1431" s="126"/>
    </row>
    <row r="1432" spans="3:11" ht="13.2">
      <c r="C1432" s="126"/>
      <c r="D1432" s="126"/>
      <c r="K1432" s="126"/>
    </row>
    <row r="1433" spans="3:11" ht="13.2">
      <c r="C1433" s="126"/>
      <c r="D1433" s="126"/>
      <c r="K1433" s="126"/>
    </row>
    <row r="1434" spans="3:11" ht="13.2">
      <c r="C1434" s="126"/>
      <c r="D1434" s="126"/>
      <c r="K1434" s="126"/>
    </row>
    <row r="1435" spans="3:11" ht="13.2">
      <c r="C1435" s="126"/>
      <c r="D1435" s="126"/>
      <c r="K1435" s="126"/>
    </row>
    <row r="1436" spans="3:11" ht="13.2">
      <c r="C1436" s="126"/>
      <c r="D1436" s="126"/>
      <c r="K1436" s="126"/>
    </row>
    <row r="1437" spans="3:11" ht="13.2">
      <c r="C1437" s="126"/>
      <c r="D1437" s="126"/>
      <c r="K1437" s="126"/>
    </row>
    <row r="1438" spans="3:11" ht="13.2">
      <c r="C1438" s="126"/>
      <c r="D1438" s="126"/>
      <c r="K1438" s="126"/>
    </row>
    <row r="1439" spans="3:11" ht="13.2">
      <c r="C1439" s="126"/>
      <c r="D1439" s="126"/>
      <c r="K1439" s="126"/>
    </row>
    <row r="1440" spans="3:11" ht="13.2">
      <c r="C1440" s="126"/>
      <c r="D1440" s="126"/>
      <c r="K1440" s="126"/>
    </row>
    <row r="1441" spans="3:11" ht="13.2">
      <c r="C1441" s="126"/>
      <c r="D1441" s="126"/>
      <c r="K1441" s="126"/>
    </row>
    <row r="1442" spans="3:11" ht="13.2">
      <c r="C1442" s="126"/>
      <c r="D1442" s="126"/>
      <c r="K1442" s="126"/>
    </row>
    <row r="1443" spans="3:11" ht="13.2">
      <c r="C1443" s="126"/>
      <c r="D1443" s="126"/>
      <c r="K1443" s="126"/>
    </row>
    <row r="1444" spans="3:11" ht="13.2">
      <c r="C1444" s="126"/>
      <c r="D1444" s="126"/>
      <c r="K1444" s="126"/>
    </row>
    <row r="1445" spans="3:11" ht="13.2">
      <c r="C1445" s="126"/>
      <c r="D1445" s="126"/>
      <c r="K1445" s="126"/>
    </row>
    <row r="1446" spans="3:11" ht="13.2">
      <c r="C1446" s="126"/>
      <c r="D1446" s="126"/>
      <c r="K1446" s="126"/>
    </row>
    <row r="1447" spans="3:11" ht="13.2">
      <c r="C1447" s="126"/>
      <c r="D1447" s="126"/>
      <c r="K1447" s="126"/>
    </row>
    <row r="1448" spans="3:11" ht="13.2">
      <c r="C1448" s="126"/>
      <c r="D1448" s="126"/>
      <c r="K1448" s="126"/>
    </row>
    <row r="1449" spans="3:11" ht="13.2">
      <c r="C1449" s="126"/>
      <c r="D1449" s="126"/>
      <c r="K1449" s="126"/>
    </row>
    <row r="1450" spans="3:11" ht="13.2">
      <c r="C1450" s="126"/>
      <c r="D1450" s="126"/>
      <c r="K1450" s="126"/>
    </row>
    <row r="1451" spans="3:11" ht="13.2">
      <c r="C1451" s="126"/>
      <c r="D1451" s="126"/>
      <c r="K1451" s="126"/>
    </row>
    <row r="1452" spans="3:11" ht="13.2">
      <c r="C1452" s="126"/>
      <c r="D1452" s="126"/>
      <c r="K1452" s="126"/>
    </row>
    <row r="1453" spans="3:11" ht="13.2">
      <c r="C1453" s="126"/>
      <c r="D1453" s="126"/>
      <c r="K1453" s="126"/>
    </row>
    <row r="1454" spans="3:11" ht="13.2">
      <c r="C1454" s="126"/>
      <c r="D1454" s="126"/>
      <c r="K1454" s="126"/>
    </row>
    <row r="1455" spans="3:11" ht="13.2">
      <c r="C1455" s="126"/>
      <c r="D1455" s="126"/>
      <c r="K1455" s="126"/>
    </row>
    <row r="1456" spans="3:11" ht="13.2">
      <c r="C1456" s="126"/>
      <c r="D1456" s="126"/>
      <c r="K1456" s="126"/>
    </row>
    <row r="1457" spans="3:11" ht="13.2">
      <c r="C1457" s="126"/>
      <c r="D1457" s="126"/>
      <c r="K1457" s="126"/>
    </row>
    <row r="1458" spans="3:11" ht="13.2">
      <c r="C1458" s="126"/>
      <c r="D1458" s="126"/>
      <c r="K1458" s="126"/>
    </row>
    <row r="1459" spans="3:11" ht="13.2">
      <c r="C1459" s="126"/>
      <c r="D1459" s="126"/>
      <c r="K1459" s="126"/>
    </row>
    <row r="1460" spans="3:11" ht="13.2">
      <c r="C1460" s="126"/>
      <c r="D1460" s="126"/>
      <c r="K1460" s="126"/>
    </row>
    <row r="1461" spans="3:11" ht="13.2">
      <c r="C1461" s="126"/>
      <c r="D1461" s="126"/>
      <c r="K1461" s="126"/>
    </row>
    <row r="1462" spans="3:11" ht="13.2">
      <c r="C1462" s="126"/>
      <c r="D1462" s="126"/>
      <c r="K1462" s="126"/>
    </row>
    <row r="1463" spans="3:11" ht="13.2">
      <c r="C1463" s="126"/>
      <c r="D1463" s="126"/>
      <c r="K1463" s="126"/>
    </row>
    <row r="1464" spans="3:11" ht="13.2">
      <c r="C1464" s="126"/>
      <c r="D1464" s="126"/>
      <c r="K1464" s="126"/>
    </row>
    <row r="1465" spans="3:11" ht="13.2">
      <c r="C1465" s="126"/>
      <c r="D1465" s="126"/>
      <c r="K1465" s="126"/>
    </row>
    <row r="1466" spans="3:11" ht="13.2">
      <c r="C1466" s="126"/>
      <c r="D1466" s="126"/>
      <c r="K1466" s="126"/>
    </row>
    <row r="1467" spans="3:11" ht="13.2">
      <c r="C1467" s="126"/>
      <c r="D1467" s="126"/>
      <c r="K1467" s="126"/>
    </row>
    <row r="1468" spans="3:11" ht="13.2">
      <c r="C1468" s="126"/>
      <c r="D1468" s="126"/>
      <c r="K1468" s="126"/>
    </row>
    <row r="1469" spans="3:11" ht="13.2">
      <c r="C1469" s="126"/>
      <c r="D1469" s="126"/>
      <c r="K1469" s="126"/>
    </row>
    <row r="1470" spans="3:11" ht="13.2">
      <c r="C1470" s="126"/>
      <c r="D1470" s="126"/>
      <c r="K1470" s="126"/>
    </row>
    <row r="1471" spans="3:11" ht="13.2">
      <c r="C1471" s="126"/>
      <c r="D1471" s="126"/>
      <c r="K1471" s="126"/>
    </row>
    <row r="1472" spans="3:11" ht="13.2">
      <c r="C1472" s="126"/>
      <c r="D1472" s="126"/>
      <c r="K1472" s="126"/>
    </row>
    <row r="1473" spans="3:11" ht="13.2">
      <c r="C1473" s="126"/>
      <c r="D1473" s="126"/>
      <c r="K1473" s="126"/>
    </row>
    <row r="1474" spans="3:11" ht="13.2">
      <c r="C1474" s="126"/>
      <c r="D1474" s="126"/>
      <c r="K1474" s="126"/>
    </row>
    <row r="1475" spans="3:11" ht="13.2">
      <c r="C1475" s="126"/>
      <c r="D1475" s="126"/>
      <c r="K1475" s="126"/>
    </row>
    <row r="1476" spans="3:11" ht="13.2">
      <c r="C1476" s="126"/>
      <c r="D1476" s="126"/>
      <c r="K1476" s="126"/>
    </row>
    <row r="1477" spans="3:11" ht="13.2">
      <c r="C1477" s="126"/>
      <c r="D1477" s="126"/>
      <c r="K1477" s="126"/>
    </row>
    <row r="1478" spans="3:11" ht="13.2">
      <c r="C1478" s="126"/>
      <c r="D1478" s="126"/>
      <c r="K1478" s="126"/>
    </row>
    <row r="1479" spans="3:11" ht="13.2">
      <c r="C1479" s="126"/>
      <c r="D1479" s="126"/>
      <c r="K1479" s="126"/>
    </row>
    <row r="1480" spans="3:11" ht="13.2">
      <c r="C1480" s="126"/>
      <c r="D1480" s="126"/>
      <c r="K1480" s="126"/>
    </row>
    <row r="1481" spans="3:11" ht="13.2">
      <c r="C1481" s="126"/>
      <c r="D1481" s="126"/>
      <c r="K1481" s="126"/>
    </row>
    <row r="1482" spans="3:11" ht="13.2">
      <c r="C1482" s="126"/>
      <c r="D1482" s="126"/>
      <c r="K1482" s="126"/>
    </row>
    <row r="1483" spans="3:11" ht="13.2">
      <c r="C1483" s="126"/>
      <c r="D1483" s="126"/>
      <c r="K1483" s="126"/>
    </row>
    <row r="1484" spans="3:11" ht="13.2">
      <c r="C1484" s="126"/>
      <c r="D1484" s="126"/>
      <c r="K1484" s="126"/>
    </row>
    <row r="1485" spans="3:11" ht="13.2">
      <c r="C1485" s="126"/>
      <c r="D1485" s="126"/>
      <c r="K1485" s="126"/>
    </row>
    <row r="1486" spans="3:11" ht="13.2">
      <c r="C1486" s="126"/>
      <c r="D1486" s="126"/>
      <c r="K1486" s="126"/>
    </row>
    <row r="1487" spans="3:11" ht="13.2">
      <c r="C1487" s="126"/>
      <c r="D1487" s="126"/>
      <c r="K1487" s="126"/>
    </row>
    <row r="1488" spans="3:11" ht="13.2">
      <c r="C1488" s="126"/>
      <c r="D1488" s="126"/>
      <c r="K1488" s="126"/>
    </row>
    <row r="1489" spans="3:11" ht="13.2">
      <c r="C1489" s="126"/>
      <c r="D1489" s="126"/>
      <c r="K1489" s="126"/>
    </row>
    <row r="1490" spans="3:11" ht="13.2">
      <c r="C1490" s="126"/>
      <c r="D1490" s="126"/>
      <c r="K1490" s="126"/>
    </row>
    <row r="1491" spans="3:11" ht="13.2">
      <c r="C1491" s="126"/>
      <c r="D1491" s="126"/>
      <c r="K1491" s="126"/>
    </row>
    <row r="1492" spans="3:11" ht="13.2">
      <c r="C1492" s="126"/>
      <c r="D1492" s="126"/>
      <c r="K1492" s="126"/>
    </row>
    <row r="1493" spans="3:11" ht="13.2">
      <c r="C1493" s="126"/>
      <c r="D1493" s="126"/>
      <c r="K1493" s="126"/>
    </row>
    <row r="1494" spans="3:11" ht="13.2">
      <c r="C1494" s="126"/>
      <c r="D1494" s="126"/>
      <c r="K1494" s="126"/>
    </row>
    <row r="1495" spans="3:11" ht="13.2">
      <c r="C1495" s="126"/>
      <c r="D1495" s="126"/>
      <c r="K1495" s="126"/>
    </row>
    <row r="1496" spans="3:11" ht="13.2">
      <c r="C1496" s="126"/>
      <c r="D1496" s="126"/>
      <c r="K1496" s="126"/>
    </row>
    <row r="1497" spans="3:11" ht="13.2">
      <c r="C1497" s="126"/>
      <c r="D1497" s="126"/>
      <c r="K1497" s="126"/>
    </row>
    <row r="1498" spans="3:11" ht="13.2">
      <c r="C1498" s="126"/>
      <c r="D1498" s="126"/>
      <c r="K1498" s="126"/>
    </row>
    <row r="1499" spans="3:11" ht="13.2">
      <c r="C1499" s="126"/>
      <c r="D1499" s="126"/>
      <c r="K1499" s="126"/>
    </row>
    <row r="1500" spans="3:11" ht="13.2">
      <c r="C1500" s="126"/>
      <c r="D1500" s="126"/>
      <c r="K1500" s="126"/>
    </row>
    <row r="1501" spans="3:11" ht="13.2">
      <c r="C1501" s="126"/>
      <c r="D1501" s="126"/>
      <c r="K1501" s="126"/>
    </row>
    <row r="1502" spans="3:11" ht="13.2">
      <c r="C1502" s="126"/>
      <c r="D1502" s="126"/>
      <c r="K1502" s="126"/>
    </row>
    <row r="1503" spans="3:11" ht="13.2">
      <c r="C1503" s="126"/>
      <c r="D1503" s="126"/>
      <c r="K1503" s="126"/>
    </row>
    <row r="1504" spans="3:11" ht="13.2">
      <c r="C1504" s="126"/>
      <c r="D1504" s="126"/>
      <c r="K1504" s="126"/>
    </row>
    <row r="1505" spans="3:11" ht="13.2">
      <c r="C1505" s="126"/>
      <c r="D1505" s="126"/>
      <c r="K1505" s="126"/>
    </row>
    <row r="1506" spans="3:11" ht="13.2">
      <c r="C1506" s="126"/>
      <c r="D1506" s="126"/>
      <c r="K1506" s="126"/>
    </row>
    <row r="1507" spans="3:11" ht="13.2">
      <c r="C1507" s="126"/>
      <c r="D1507" s="126"/>
      <c r="K1507" s="126"/>
    </row>
    <row r="1508" spans="3:11" ht="13.2">
      <c r="C1508" s="126"/>
      <c r="D1508" s="126"/>
      <c r="K1508" s="126"/>
    </row>
    <row r="1509" spans="3:11" ht="13.2">
      <c r="C1509" s="126"/>
      <c r="D1509" s="126"/>
      <c r="K1509" s="126"/>
    </row>
    <row r="1510" spans="3:11" ht="13.2">
      <c r="C1510" s="126"/>
      <c r="D1510" s="126"/>
      <c r="K1510" s="126"/>
    </row>
    <row r="1511" spans="3:11" ht="13.2">
      <c r="C1511" s="126"/>
      <c r="D1511" s="126"/>
      <c r="K1511" s="126"/>
    </row>
    <row r="1512" spans="3:11" ht="13.2">
      <c r="C1512" s="126"/>
      <c r="D1512" s="126"/>
      <c r="K1512" s="126"/>
    </row>
    <row r="1513" spans="3:11" ht="13.2">
      <c r="C1513" s="126"/>
      <c r="D1513" s="126"/>
      <c r="K1513" s="126"/>
    </row>
    <row r="1514" spans="3:11" ht="13.2">
      <c r="C1514" s="126"/>
      <c r="D1514" s="126"/>
      <c r="K1514" s="126"/>
    </row>
    <row r="1515" spans="3:11" ht="13.2">
      <c r="C1515" s="126"/>
      <c r="D1515" s="126"/>
      <c r="K1515" s="126"/>
    </row>
    <row r="1516" spans="3:11" ht="13.2">
      <c r="C1516" s="126"/>
      <c r="D1516" s="126"/>
      <c r="K1516" s="126"/>
    </row>
    <row r="1517" spans="3:11" ht="13.2">
      <c r="C1517" s="126"/>
      <c r="D1517" s="126"/>
      <c r="K1517" s="126"/>
    </row>
    <row r="1518" spans="3:11" ht="13.2">
      <c r="C1518" s="126"/>
      <c r="D1518" s="126"/>
      <c r="K1518" s="126"/>
    </row>
    <row r="1519" spans="3:11" ht="13.2">
      <c r="C1519" s="126"/>
      <c r="D1519" s="126"/>
      <c r="K1519" s="126"/>
    </row>
    <row r="1520" spans="3:11" ht="13.2">
      <c r="C1520" s="126"/>
      <c r="D1520" s="126"/>
      <c r="K1520" s="126"/>
    </row>
    <row r="1521" spans="3:11" ht="13.2">
      <c r="C1521" s="126"/>
      <c r="D1521" s="126"/>
      <c r="K1521" s="126"/>
    </row>
    <row r="1522" spans="3:11" ht="13.2">
      <c r="C1522" s="126"/>
      <c r="D1522" s="126"/>
      <c r="K1522" s="126"/>
    </row>
    <row r="1523" spans="3:11" ht="13.2">
      <c r="C1523" s="126"/>
      <c r="D1523" s="126"/>
      <c r="K1523" s="126"/>
    </row>
    <row r="1524" spans="3:11" ht="13.2">
      <c r="C1524" s="126"/>
      <c r="D1524" s="126"/>
      <c r="K1524" s="126"/>
    </row>
    <row r="1525" spans="3:11" ht="13.2">
      <c r="C1525" s="126"/>
      <c r="D1525" s="126"/>
      <c r="K1525" s="126"/>
    </row>
    <row r="1526" spans="3:11" ht="13.2">
      <c r="C1526" s="126"/>
      <c r="D1526" s="126"/>
      <c r="K1526" s="126"/>
    </row>
    <row r="1527" spans="3:11" ht="13.2">
      <c r="C1527" s="126"/>
      <c r="D1527" s="126"/>
      <c r="K1527" s="126"/>
    </row>
    <row r="1528" spans="3:11" ht="13.2">
      <c r="C1528" s="126"/>
      <c r="D1528" s="126"/>
      <c r="K1528" s="126"/>
    </row>
    <row r="1529" spans="3:11" ht="13.2">
      <c r="C1529" s="126"/>
      <c r="D1529" s="126"/>
      <c r="K1529" s="126"/>
    </row>
    <row r="1530" spans="3:11" ht="13.2">
      <c r="C1530" s="126"/>
      <c r="D1530" s="126"/>
      <c r="K1530" s="126"/>
    </row>
    <row r="1531" spans="3:11" ht="13.2">
      <c r="C1531" s="126"/>
      <c r="D1531" s="126"/>
      <c r="K1531" s="126"/>
    </row>
    <row r="1532" spans="3:11" ht="13.2">
      <c r="C1532" s="126"/>
      <c r="D1532" s="126"/>
      <c r="K1532" s="126"/>
    </row>
    <row r="1533" spans="3:11" ht="13.2">
      <c r="C1533" s="126"/>
      <c r="D1533" s="126"/>
      <c r="K1533" s="126"/>
    </row>
    <row r="1534" spans="3:11" ht="13.2">
      <c r="C1534" s="126"/>
      <c r="D1534" s="126"/>
      <c r="K1534" s="126"/>
    </row>
    <row r="1535" spans="3:11" ht="13.2">
      <c r="C1535" s="126"/>
      <c r="D1535" s="126"/>
      <c r="K1535" s="126"/>
    </row>
    <row r="1536" spans="3:11" ht="13.2">
      <c r="C1536" s="126"/>
      <c r="D1536" s="126"/>
      <c r="K1536" s="126"/>
    </row>
    <row r="1537" spans="3:11" ht="13.2">
      <c r="C1537" s="126"/>
      <c r="D1537" s="126"/>
      <c r="K1537" s="126"/>
    </row>
    <row r="1538" spans="3:11" ht="13.2">
      <c r="C1538" s="126"/>
      <c r="D1538" s="126"/>
      <c r="K1538" s="126"/>
    </row>
    <row r="1539" spans="3:11" ht="13.2">
      <c r="C1539" s="126"/>
      <c r="D1539" s="126"/>
      <c r="K1539" s="126"/>
    </row>
    <row r="1540" spans="3:11" ht="13.2">
      <c r="C1540" s="126"/>
      <c r="D1540" s="126"/>
      <c r="K1540" s="126"/>
    </row>
    <row r="1541" spans="3:11" ht="13.2">
      <c r="C1541" s="126"/>
      <c r="D1541" s="126"/>
      <c r="K1541" s="126"/>
    </row>
    <row r="1542" spans="3:11" ht="13.2">
      <c r="C1542" s="126"/>
      <c r="D1542" s="126"/>
      <c r="K1542" s="126"/>
    </row>
    <row r="1543" spans="3:11" ht="13.2">
      <c r="C1543" s="126"/>
      <c r="D1543" s="126"/>
      <c r="K1543" s="126"/>
    </row>
    <row r="1544" spans="3:11" ht="13.2">
      <c r="C1544" s="126"/>
      <c r="D1544" s="126"/>
      <c r="K1544" s="126"/>
    </row>
    <row r="1545" spans="3:11" ht="13.2">
      <c r="C1545" s="126"/>
      <c r="D1545" s="126"/>
      <c r="K1545" s="126"/>
    </row>
    <row r="1546" spans="3:11" ht="13.2">
      <c r="C1546" s="126"/>
      <c r="D1546" s="126"/>
      <c r="K1546" s="126"/>
    </row>
    <row r="1547" spans="3:11" ht="13.2">
      <c r="C1547" s="126"/>
      <c r="D1547" s="126"/>
      <c r="K1547" s="126"/>
    </row>
    <row r="1548" spans="3:11" ht="13.2">
      <c r="C1548" s="126"/>
      <c r="D1548" s="126"/>
      <c r="K1548" s="1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9" max="9" width="15.6640625" customWidth="1"/>
  </cols>
  <sheetData>
    <row r="1" spans="1:10" ht="15.75" customHeight="1">
      <c r="A1" s="159" t="s">
        <v>0</v>
      </c>
      <c r="B1" s="159" t="s">
        <v>1</v>
      </c>
      <c r="C1" s="159" t="s">
        <v>295</v>
      </c>
      <c r="D1" s="159" t="s">
        <v>296</v>
      </c>
      <c r="E1" s="159" t="s">
        <v>297</v>
      </c>
      <c r="F1" s="160"/>
    </row>
    <row r="2" spans="1:10" ht="15.75" customHeight="1">
      <c r="A2" s="161"/>
      <c r="B2" s="99"/>
      <c r="C2" s="162" t="s">
        <v>56</v>
      </c>
      <c r="D2" s="162" t="s">
        <v>56</v>
      </c>
      <c r="E2" s="162" t="s">
        <v>56</v>
      </c>
      <c r="F2" s="163" t="s">
        <v>298</v>
      </c>
      <c r="G2" s="6" t="s">
        <v>299</v>
      </c>
      <c r="H2" s="6" t="s">
        <v>300</v>
      </c>
      <c r="I2" s="6" t="s">
        <v>301</v>
      </c>
      <c r="J2" s="6" t="s">
        <v>302</v>
      </c>
    </row>
    <row r="3" spans="1:10" ht="15.75" customHeight="1">
      <c r="A3" s="161" t="s">
        <v>56</v>
      </c>
      <c r="B3" s="99">
        <v>0</v>
      </c>
      <c r="C3" s="164">
        <f>AVERAGE(SAAC!F3,SAAC!F92:F95,SAAC!F195:F198,SAAC!F298:F300,SAAC!F407:F410,SAAC!F514:F517,SAAC!F626:F629,SAAC!F735:F738,SAAC!F844:F847,SAAC!F957:F960)</f>
        <v>5.7129629629629646</v>
      </c>
      <c r="D3" s="165">
        <f>AVERAGE(SAAC!J956:J960,SAAC!J843:J847,SAAC!J734:J738,SAAC!J625:J629,SAAC!J513:J517,SAAC!J406:J410,SAAC!J296:J300,SAAC!J194:J198,SAAC!J91:J95,SAAC!J2:J6)</f>
        <v>4.551550387596901</v>
      </c>
      <c r="E3" s="166">
        <f>AVERAGE(SAAC!K2:K6,SAAC!K91:K95,SAAC!K194:K198,SAAC!K296:K300,SAAC!K406:K410,SAAC!K513:K517,SAAC!K625:K629,SAAC!K734:K738,SAAC!K843:K847,SAAC!K956:K960)</f>
        <v>21.31600000000001</v>
      </c>
      <c r="F3" s="166">
        <f>AVERAGE(SAAC!K2:K6,SAAC!K91:K95,SAAC!K194:K198,SAAC!K296:K300,SAAC!K406:K410)</f>
        <v>24.192000000000007</v>
      </c>
      <c r="G3" s="74">
        <f>AVERAGE(SAAC!K513:K517,SAAC!K625:K629,SAAC!K734:K738,SAAC!K843:K847,SAAC!K956:K960,)</f>
        <v>17.73076923076923</v>
      </c>
      <c r="H3">
        <f>STDEV(SAAC!K2:K6,SAAC!K91:K95,SAAC!K194:K198,SAAC!K296:K300,SAAC!K406:K410)/SQRT(5)</f>
        <v>0.70426320837217293</v>
      </c>
      <c r="I3">
        <f>STDEV(SAAC!K513:K517,SAAC!K625:K629,SAAC!K734:K738,SAAC!K843:K847,SAAC!K956:K960)/SQRT(5)</f>
        <v>0.56184220797895446</v>
      </c>
    </row>
    <row r="4" spans="1:10" ht="15.75" customHeight="1">
      <c r="A4" s="167"/>
      <c r="B4" s="168">
        <v>0.5</v>
      </c>
      <c r="C4" s="164">
        <f>AVERAGE(SAAC!F4,SAAC!F93:F96,SAAC!F196:F199,SAAC!F299:F301,SAAC!F408:F411,SAAC!F515:F518,SAAC!F627:F630,SAAC!F736:F739,SAAC!F845:F848,SAAC!F958:F961)</f>
        <v>5.8888888888888893</v>
      </c>
      <c r="D4" s="165">
        <f>AVERAGE(SAAC!J7:J10,SAAC!J97:J99,SAAC!J200:J202,SAAC!J302:J304,SAAC!J412:J414,SAAC!J519:J521,SAAC!J631:J633,SAAC!J740:J742,SAAC!J849:J851,SAAC!J962:J964)</f>
        <v>3.8111111111111104</v>
      </c>
      <c r="E4" s="166">
        <f>AVERAGE(SAAC!K7:K10,SAAC!K97:K99,SAAC!K200:K202,SAAC!K302:K304,SAAC!K412:K414,SAAC!K519:K521,SAAC!K631:K633,SAAC!K740:K742,SAAC!K849:K851,SAAC!K962:K964)</f>
        <v>23.189999999999994</v>
      </c>
      <c r="F4" s="166">
        <f>AVERAGE(SAAC!K8:K10,SAAC!K97:K99,SAAC!K200:K202,SAAC!K302:K304,SAAC!K412:K414)</f>
        <v>26.6</v>
      </c>
      <c r="G4" s="74">
        <f>AVERAGE(SAAC!K519:K521,SAAC!K631:K633,SAAC!K740:K742,SAAC!K849:K851,SAAC!K962:K964,)</f>
        <v>18.543750000000006</v>
      </c>
      <c r="H4">
        <f>STDEV(SAAC!K8:K10,SAAC!K97:K99,SAAC!K200:K202,SAAC!K302:K304,SAAC!K412:K414)/SQRT(5)</f>
        <v>0.71773453110663232</v>
      </c>
      <c r="I4">
        <f>STDEV(SAAC!K519:K521,SAAC!K631:K633,SAAC!K740:K742,SAAC!K849:K851,SAAC!K962:K964)/SQRT(5)</f>
        <v>0.72154595933216326</v>
      </c>
    </row>
    <row r="5" spans="1:10" ht="15.75" customHeight="1">
      <c r="A5" s="167"/>
      <c r="B5" s="99">
        <v>1</v>
      </c>
      <c r="C5" s="164">
        <f>AVERAGE(SAAC!F5,SAAC!F94:F97,SAAC!F197:F200,SAAC!F300:F302,SAAC!F409:F412,SAAC!F516:F519,SAAC!F628:F631,SAAC!F737:F740,SAAC!F846:F849,SAAC!F959:F962)</f>
        <v>5.9518518518518526</v>
      </c>
      <c r="D5" s="165">
        <f>AVERAGE(SAAC!J12:J14,SAAC!J101:J103,SAAC!J204:J206,SAAC!J306:J308,SAAC!J416:J418,SAAC!J523:J525,SAAC!J635:J637,SAAC!J744:J746,SAAC!J853:J855,SAAC!J966:J968)</f>
        <v>2.697222222222222</v>
      </c>
      <c r="E5" s="166">
        <f>AVERAGE(SAAC!K12:K14,SAAC!K101:K103,SAAC!K204:K206,SAAC!K306:K308,SAAC!K416:K418,SAAC!K523:K525,SAAC!K635:K637,SAAC!K744:K746,SAAC!K853:K855,SAAC!K966:K968)</f>
        <v>24.81</v>
      </c>
      <c r="F5" s="166">
        <f>AVERAGE(SAAC!K12:K14,SAAC!K101:K103,SAAC!K204:K206,SAAC!K306:K308,SAAC!K416:K418,)</f>
        <v>26.512499999999999</v>
      </c>
      <c r="G5" s="74">
        <f>AVERAGE(SAAC!K966:K968,SAAC!K853:K855,SAAC!K744:K746,SAAC!K635:K637,SAAC!K523:K525)</f>
        <v>21.34</v>
      </c>
      <c r="H5">
        <f>STDEV(SAAC!K12:K14,SAAC!K101:K103,SAAC!K204:K206,SAAC!K306:K308,SAAC!K416:K418)/SQRT(5)</f>
        <v>0.58363393615225234</v>
      </c>
      <c r="I5">
        <f>STDEV(SAAC!K966:K968,SAAC!K853:K855,SAAC!K744:K746,SAAC!K635:K637,SAAC!K523:K525)/SQRT(5)</f>
        <v>0.73286131995467907</v>
      </c>
    </row>
    <row r="6" spans="1:10" ht="15.75" customHeight="1">
      <c r="A6" s="167"/>
      <c r="B6" s="99">
        <v>2</v>
      </c>
      <c r="C6" s="164">
        <f>AVERAGE(SAAC!F6,SAAC!F95:F98,SAAC!F198:F201,SAAC!F301:F303,SAAC!F410:F413,SAAC!F517:F520,SAAC!F629:F632,SAAC!F738:F741,SAAC!F847:F850,SAAC!F960:F963)</f>
        <v>5.8884615384615406</v>
      </c>
      <c r="D6" s="165">
        <f>AVERAGE(SAAC!J970:J972,SAAC!J857:J859,SAAC!J748:J750,SAAC!J639:J641,SAAC!J527:J529,SAAC!J420:J423,SAAC!J310:J313,SAAC!J208:J211,SAAC!J105:J108,SAAC!J16:J19)</f>
        <v>4.8070238095238107</v>
      </c>
      <c r="E6" s="166">
        <f>AVERAGE(SAAC!K16:K18,SAAC!K105:K108,SAAC!K208:K210,SAAC!K310:K312,SAAC!K420:K422,SAAC!K527:K529,SAAC!K639:K641,SAAC!K748:K750,SAAC!K857:K859,SAAC!K970:K972)</f>
        <v>26.646666666666665</v>
      </c>
      <c r="F6" s="166">
        <f>AVERAGE(SAAC!K16:K18,SAAC!K105:K108,SAAC!K208:K210,SAAC!K310:K312,SAAC!K420:K422)</f>
        <v>30.773333333333333</v>
      </c>
      <c r="G6" s="74">
        <f>AVERAGE(SAAC!K527:K529,SAAC!K639:K641,SAAC!K748:K750,SAAC!K857:K859,SAAC!K970:K972,SAAC!K1028)</f>
        <v>24.124999999999996</v>
      </c>
      <c r="H6">
        <f>STDEV(SAAC!K16:K18,SAAC!K105:K108,SAAC!K208:K210,SAAC!K310:K312,SAAC!K420:K422)/SQRT(5)</f>
        <v>0.96428606701933584</v>
      </c>
      <c r="I6">
        <f>STDEV(SAAC!K527:K529,SAAC!K639:K641,SAAC!K748:K750,SAAC!K857:K859,SAAC!K970:K972,SAAC!K1028)/SQRT(5)</f>
        <v>3.075429509298941</v>
      </c>
    </row>
    <row r="7" spans="1:10" ht="15.75" customHeight="1">
      <c r="A7" s="167"/>
      <c r="B7" s="99">
        <v>3</v>
      </c>
      <c r="C7" s="164">
        <f>AVERAGE(SAAC!F7,SAAC!F96:F99,SAAC!F199:F202,SAAC!F302:F304,SAAC!F411:F414,SAAC!F518:F521,SAAC!F630:F633,SAAC!F739:F742,SAAC!F848:F851,SAAC!F961:F964)</f>
        <v>4.7750000000000004</v>
      </c>
      <c r="D7" s="165">
        <f>AVERAGE(SAAC!J974:J977,SAAC!J20:J23,SAAC!J110:J113,SAAC!J212:J215,SAAC!J314:J317,SAAC!J424:J427,SAAC!J531:J534,SAAC!J643:J646,SAAC!J752:J755,SAAC!J861:J864)</f>
        <v>3.5684848484848497</v>
      </c>
      <c r="E7" s="166">
        <f>AVERAGE(SAAC!K20:K23,SAAC!K110:K113,SAAC!K212:K215,SAAC!K314:K317,SAAC!K424:K427,SAAC!K531:K534,SAAC!K643:K646,SAAC!K752:K755,SAAC!K861:K864,SAAC!K974:K977)</f>
        <v>28.616666666666664</v>
      </c>
      <c r="F7" s="166">
        <f>AVERAGE(SAAC!K20:K22,SAAC!K110:K112,SAAC!K212:K214,SAAC!K314:K316,SAAC!K424:K426)</f>
        <v>33.413333333333334</v>
      </c>
      <c r="G7" s="74">
        <f>AVERAGE(SAAC!K531:K533,SAAC!K643:K645,SAAC!K752:K754,SAAC!K861:K863,SAAC!K974:K976)</f>
        <v>23.82</v>
      </c>
      <c r="H7">
        <f>STDEV(SAAC!K20:K22,SAAC!K110:K112,SAAC!K212:K214,SAAC!K314:K316,SAAC!K424:K426)/SQRT(5)</f>
        <v>1.0001238018603595</v>
      </c>
      <c r="I7">
        <f>STDEV(SAAC!K531:K533,SAAC!K643:K645,SAAC!K752:K754,SAAC!K861:K863,SAAC!K974:K976)/SQRT(5)</f>
        <v>1.0031664154779394</v>
      </c>
    </row>
    <row r="8" spans="1:10" ht="15.75" customHeight="1">
      <c r="A8" s="167"/>
      <c r="B8" s="99">
        <v>4</v>
      </c>
      <c r="C8" s="164">
        <f>AVERAGE(SAAC!F8,SAAC!F97:F100,SAAC!F200:F203,SAAC!F303:F305,SAAC!F412:F415,SAAC!F519:F522,SAAC!F631:F634,SAAC!F740:F743,SAAC!F849:F852,SAAC!F962:F965)</f>
        <v>4.7673076923076909</v>
      </c>
      <c r="D8" s="165">
        <f>AVERAGE(SAAC!J24:J26,SAAC!J114:J116,SAAC!J216:J218,SAAC!J318:J320,SAAC!J428:J430,SAAC!J535:J537,SAAC!J647:J649,SAAC!J756:J758,SAAC!J865:J867,SAAC!J978:J980)</f>
        <v>3.3038461538461545</v>
      </c>
      <c r="E8" s="166">
        <f>AVERAGE(SAAC!K24:K26,SAAC!K114:K116,SAAC!K216:K218,SAAC!K318:K320,SAAC!K428:K430,SAAC!K535,SAAC!K643:K645,SAAC!K756:K758,SAAC!K865:K867,SAAC!K978:K980)</f>
        <v>30.028571428571421</v>
      </c>
      <c r="F8" s="166">
        <f>AVERAGE(SAAC!K24:K26,SAAC!K114:K116,SAAC!K216:K218,SAAC!K318:K320,SAAC!K428:K430)</f>
        <v>35.22</v>
      </c>
      <c r="G8" s="74">
        <f>AVERAGE(SAAC!K534:K538,SAAC!K647:K649,SAAC!K756:K758,SAAC!K865:K867,SAAC!K978:K980,)</f>
        <v>22.292857142857144</v>
      </c>
      <c r="H8">
        <f>STDEV(SAAC!K24:K26,SAAC!K114:K116,SAAC!K216:K218,SAAC!K318:K320,SAAC!K428:K430)/SQRT(5)</f>
        <v>1.1119095543895898</v>
      </c>
      <c r="I8">
        <f>STDEV(SAAC!K534:K538,SAAC!K647:K649,SAAC!K756:K758,SAAC!K865:K867,SAAC!K978:K980)/SQRT(5)</f>
        <v>1.3212950135456125</v>
      </c>
    </row>
    <row r="9" spans="1:10" ht="15.75" customHeight="1">
      <c r="A9" s="167"/>
      <c r="B9" s="99">
        <v>5</v>
      </c>
      <c r="C9" s="164">
        <f>AVERAGE(SAAC!F9,SAAC!F98:F101,SAAC!F201:F204,SAAC!F304:F306,SAAC!F413:F416,SAAC!F520:F523,SAAC!F632:F635,SAAC!F741:F744,SAAC!F850:F853,SAAC!F963:F966)</f>
        <v>4.8179487179487186</v>
      </c>
      <c r="D9" s="165">
        <f>AVERAGE(SAAC!J982:J984,SAAC!J869:J871,SAAC!J760:J762,SAAC!J651:J653,SAAC!J539:J541,SAAC!J432:J434,SAAC!J322:J324,SAAC!J220:J222,SAAC!J118:J120,SAAC!J28:J30)</f>
        <v>3.5494252873563221</v>
      </c>
      <c r="E9" s="166">
        <f>AVERAGE(SAAC!K28:K30,SAAC!K118:K120,SAAC!K220:K222,SAAC!K322:K324,SAAC!K432:K434,SAAC!K539:K541,SAAC!K651:K653,SAAC!K760:K762,SAAC!K869:K871,SAAC!K982:K984)</f>
        <v>31.566666666666659</v>
      </c>
      <c r="F9" s="166">
        <f>AVERAGE(SAAC!K28:K30,SAAC!K118:K120,SAAC!K220:K222,SAAC!K322:K324,SAAC!K432:K434)</f>
        <v>36.9</v>
      </c>
      <c r="G9" s="74">
        <f>AVERAGE(SAAC!K539:K541,SAAC!K650:K653,SAAC!K760:K762,SAAC!K869:K871,SAAC!K982:K984,)</f>
        <v>24.59375</v>
      </c>
      <c r="H9">
        <f>STDEV(SAAC!K28:K30,SAAC!K118:K120,SAAC!K220:K222,SAAC!K322:K324,SAAC!K432:K434)/SQRT(5)</f>
        <v>1.1591869071527183</v>
      </c>
      <c r="I9">
        <f>STDEV(SAAC!K539:K541,SAAC!K650:K653,SAAC!K760:K762,SAAC!K869:K871,SAAC!K982:K984)/SQRT(5)</f>
        <v>1.6497330231340568</v>
      </c>
    </row>
    <row r="10" spans="1:10" ht="15.75" customHeight="1">
      <c r="A10" s="167"/>
      <c r="B10" s="99">
        <v>6</v>
      </c>
      <c r="C10" s="164">
        <f>AVERAGE(SAAC!F10,SAAC!F99:F102,SAAC!F202:F205,SAAC!F305:F307,SAAC!F414:F417,SAAC!F521:F524,SAAC!F633:F636,SAAC!F742:F745,SAAC!F851:F854,SAAC!F964:F967)</f>
        <v>4.6716049382716047</v>
      </c>
      <c r="D10" s="165">
        <f>AVERAGE(SAAC!J32:J34,SAAC!J122:J124,SAAC!J224:J226,SAAC!J326:J328,SAAC!J436:J438,SAAC!J543:J545,SAAC!J655:J657,SAAC!J764:J766,SAAC!J873:J875,SAAC!J986:J988)</f>
        <v>4.2649425287356326</v>
      </c>
      <c r="E10" s="166">
        <f>AVERAGE(SAAC!K32:K34,SAAC!K122:K124,SAAC!K224:K226,SAAC!K326:K328,SAAC!K436:K438,SAAC!K543:K545,SAAC!K655:K657,SAAC!K764:K766,SAAC!K873:K875,SAAC!K986:K988)</f>
        <v>33.86666666666666</v>
      </c>
      <c r="F10" s="166">
        <f>AVERAGE(SAAC!K436:K438,SAAC!K326:K328,SAAC!K224:K226,SAAC!K122:K124,SAAC!K32:K34)</f>
        <v>39.566666666666656</v>
      </c>
      <c r="G10" s="74">
        <f>AVERAGE(SAAC!K543:K545,SAAC!K655:K657,SAAC!K764:K766,SAAC!K873:K875,SAAC!K986:K988,)</f>
        <v>26.40625</v>
      </c>
      <c r="H10">
        <f>STDEV(SAAC!K436:K438,SAAC!K326:K328,SAAC!K224:K226,SAAC!K122:K124,SAAC!K32:K34)/SQRT(5)</f>
        <v>1.252274121824162</v>
      </c>
      <c r="I10">
        <f>STDEV(SAAC!K543:K545,SAAC!K655:K657,SAAC!K764:K766,SAAC!K873:K875,SAAC!K986:K988)/SQRT(5)</f>
        <v>1.8441929451788996</v>
      </c>
    </row>
    <row r="11" spans="1:10" ht="15.75" customHeight="1">
      <c r="A11" s="167"/>
      <c r="B11" s="99">
        <v>7</v>
      </c>
      <c r="C11" s="164">
        <f>AVERAGE(SAAC!F11,SAAC!F100:F103,SAAC!F203:F206,SAAC!F306:F308,SAAC!F415:F418,SAAC!F522:F525,SAAC!F634:F637,SAAC!F743:F746,SAAC!F852:F855,SAAC!F965:F968)</f>
        <v>5.9808641975308658</v>
      </c>
      <c r="D11" s="165">
        <f>AVERAGE(SAAC!J36:J38,SAAC!J122:J124,SAAC!J228:J230,SAAC!J330:J332,SAAC!J440:J442,SAAC!J547:J549,SAAC!J659:J661,SAAC!J768:J770,SAAC!J877:J879,SAAC!J990:J992)</f>
        <v>3.265333333333333</v>
      </c>
      <c r="E11" s="166">
        <f>AVERAGE(SAAC!K38,SAAC!K124,SAAC!K230,SAAC!K332,SAAC!K442,SAAC!K549,SAAC!K661,SAAC!K770,SAAC!K879,F12)</f>
        <v>37.027272727272724</v>
      </c>
      <c r="F11" s="166">
        <f>AVERAGE(SAAC!K36:K38,SAAC!K126:K128,SAAC!K228:K230,SAAC!K330:K332,SAAC!K440:K442)</f>
        <v>41.986666666666665</v>
      </c>
      <c r="G11" s="74">
        <f>AVERAGE(SAAC!K990:K992,SAAC!K877:K879,SAAC!K768:K770,SAAC!K659:K661,SAAC!K547:K549)</f>
        <v>29.946666666666665</v>
      </c>
      <c r="H11">
        <f>STDEV(SAAC!K36:K38,SAAC!K126:K128,SAAC!K228:K230,SAAC!K330:K332,SAAC!K440:K442)/SQRT(5)</f>
        <v>1.305468352373055</v>
      </c>
      <c r="I11">
        <f>STDEV(SAAC!K990:K992,SAAC!K877:K879,SAAC!K768:K770,SAAC!K659:K661,SAAC!K547:K549)/SQRT(5)</f>
        <v>2.0356723471035059</v>
      </c>
    </row>
    <row r="12" spans="1:10" ht="15.75" customHeight="1">
      <c r="A12" s="167"/>
      <c r="B12" s="99">
        <v>8</v>
      </c>
      <c r="C12" s="164">
        <f>AVERAGE(SAAC!F12,SAAC!F101:F104,SAAC!F204:F207,SAAC!F307:F309,SAAC!F416:F419,SAAC!F523:F526,SAAC!F635:F638,SAAC!F744:F747,SAAC!F853:F856,SAAC!F966:F969)</f>
        <v>5.9790123456790134</v>
      </c>
      <c r="D12" s="165">
        <f>AVERAGE(SAAC!J40:J41,SAAC!J126:J128,SAAC!J232:J233,SAAC!J333:J335,SAAC!J444:J445,SAAC!J551:J552,SAAC!J663:J664,SAAC!J772:J773,SAAC!J881:J882,SAAC!J994:J995)</f>
        <v>3.7824074074074079</v>
      </c>
      <c r="E12" s="166">
        <f>AVERAGE(SAAC!K41,SAAC!K131,SAAC!K233,SAAC!K335,SAAC!K445,SAAC!K552,SAAC!K664,SAAC!K773,SAAC!K882,SAAC!K995)</f>
        <v>37.540000000000006</v>
      </c>
      <c r="F12" s="166">
        <f>AVERAGE(SAAC!K444:K446,SAAC!K334:K336,SAAC!K232:K234,SAAC!K129:K131,SAAC!K40:K41,)</f>
        <v>39.27272727272728</v>
      </c>
      <c r="G12" s="74">
        <f>AVERAGE(SAAC!K551:K553,SAAC!K663:K665,SAAC!K772:K773,SAAC!K881:K882,SAAC!K994:K995,)</f>
        <v>28.40909090909091</v>
      </c>
      <c r="H12">
        <f>STDEV(SAAC!K444:K446,SAAC!K334:K336,SAAC!K232:K234,SAAC!K129:K131,SAAC!K40:K41)/SQRT(5)</f>
        <v>1.2238373167123879</v>
      </c>
      <c r="I12">
        <f>STDEV(SAAC!K551:K553,SAAC!K663:K665,SAAC!K772:K773,SAAC!K881:K882,SAAC!K994:K995)/SQRT(5)</f>
        <v>2.1745242136052454</v>
      </c>
    </row>
    <row r="13" spans="1:10" ht="15.75" customHeight="1">
      <c r="A13" s="167"/>
      <c r="B13" s="99">
        <v>9</v>
      </c>
      <c r="C13" s="164">
        <f>AVERAGE(SAAC!F13,SAAC!F102:F105,SAAC!F205:F208,SAAC!F308:F310,SAAC!F417:F420,SAAC!F524:F527,SAAC!F636:F639,SAAC!F745:F748,SAAC!F854:F857,SAAC!F967:F970)</f>
        <v>6.3115384615384631</v>
      </c>
      <c r="D13" s="165">
        <f>AVERAGE(SAAC!J44:J47,SAAC!J133:J137,SAAC!J235:J239,SAAC!J337:J341,SAAC!J447:J451,SAAC!J554:J558,SAAC!J666:J669,SAAC!J775:J779,SAAC!J884:J888,SAAC!J997:J1001)</f>
        <v>5.7513888888888909</v>
      </c>
      <c r="E13" s="166">
        <f>AVERAGE(SAAC!K47,SAAC!K137,SAAC!K239,SAAC!K341,SAAC!K451,SAAC!K558,SAAC!K670,SAAC!K779,SAAC!K888,SAAC!K1001)</f>
        <v>40.480000000000004</v>
      </c>
      <c r="F13" s="166">
        <f>AVERAGE(SAAC!K44:K47,SAAC!K133:K136,SAAC!K235:K239,SAAC!K337:K341,SAAC!K449:K452,)</f>
        <v>42.626315789473686</v>
      </c>
      <c r="G13" s="74">
        <f>AVERAGE(SAAC!K997:K1001,SAAC!K884:K888,SAAC!K775:K779,SAAC!K666:K670,SAAC!K554:K558,)</f>
        <v>32.199999999999996</v>
      </c>
      <c r="H13">
        <f>STDEV(SAAC!K44:K47,SAAC!K133:K136,SAAC!K235:K239,SAAC!K337:K341,SAAC!K449:K452,)/SQRT(5)</f>
        <v>4.7856926145720635</v>
      </c>
      <c r="I13">
        <f>STDEV(SAAC!K997:K1001,SAAC!K884:K888,SAAC!K775:K779,SAAC!K666:K670,SAAC!K554:K558)/SQRT(5)</f>
        <v>1.9400434070021935</v>
      </c>
    </row>
    <row r="14" spans="1:10" ht="15.75" customHeight="1">
      <c r="A14" s="167"/>
      <c r="B14" s="99">
        <v>10</v>
      </c>
      <c r="C14" s="164">
        <f>AVERAGE(SAAC!F14,SAAC!F103:F106,SAAC!F206:F209,SAAC!F309:F311,SAAC!F418:F421,SAAC!F525:F528,SAAC!F637:F640,SAAC!F746:F749,SAAC!F855:F858,SAAC!F968:F971)</f>
        <v>6.3726666666666691</v>
      </c>
      <c r="D14" s="165">
        <f>AVERAGE(SAAC!J49:J51,SAAC!J139:J141,SAAC!J241:J243,SAAC!J343:J345,SAAC!J453:J455,SAAC!J560:J562,SAAC!J672:J674,SAAC!J781:J783,SAAC!J890:J892,SAAC!J1003:J1005)</f>
        <v>3.5339506172839501</v>
      </c>
      <c r="E14" s="166">
        <f>AVERAGE(SAAC!K51,SAAC!K141,SAAC!K243,SAAC!K345,SAAC!K455,SAAC!K562,SAAC!K674,SAAC!K783,SAAC!K892,SAAC!K1005)</f>
        <v>41.65</v>
      </c>
      <c r="F14" s="166">
        <f>AVERAGE(SAAC!K453:K455,SAAC!K343:K345,SAAC!K241:K243,SAAC!K139:K141,SAAC!K49:K51)</f>
        <v>46.433333333333344</v>
      </c>
      <c r="G14" s="74">
        <f>AVERAGE(SAAC!K560:K563,SAAC!K672:K674,SAAC!K781:K783,SAAC!K890:K892,SAAC!K1003:K1005)</f>
        <v>36.48749999999999</v>
      </c>
      <c r="H14">
        <f>STDEV(SAAC!K453:K455,SAAC!K343:K345,SAAC!K241:K243,SAAC!K139:K141,SAAC!K49:K51)/SQRT(5)</f>
        <v>1.4782872972914747</v>
      </c>
      <c r="I14">
        <f>STDEV(SAAC!K560:K563,SAAC!K672:K674,SAAC!K781:K783,SAAC!K890:K892,SAAC!K1003:K1005)/SQRT(5)</f>
        <v>2.3016443397420954</v>
      </c>
    </row>
    <row r="15" spans="1:10" ht="15.75" customHeight="1">
      <c r="A15" s="167"/>
      <c r="B15" s="99">
        <v>11</v>
      </c>
      <c r="C15" s="164">
        <f>AVERAGE(SAAC!F15,SAAC!F104:F107,SAAC!F207:F210,SAAC!F310:F312,SAAC!F419:F422,SAAC!F526:F529,SAAC!F638:F641,SAAC!F747:F750,SAAC!F856:F859,SAAC!F969:F972)</f>
        <v>5.5289855072463769</v>
      </c>
      <c r="D15" s="165">
        <f>AVERAGE(SAAC!J53:J55,SAAC!J143:J145,SAAC!J245:J247,SAAC!J343:J345,SAAC!J458:J459,SAAC!J563:J565,SAAC!J677:J679,SAAC!J785:J787,SAAC!J894:J896,SAAC!J1007:J1009)</f>
        <v>3.631333333333334</v>
      </c>
      <c r="E15" s="166">
        <f>AVERAGE(SAAC!K53:K55,SAAC!K143:K145,SAAC!K245:K247,SAAC!K347:K349,SAAC!K457:K459,SAAC!K564:K566,SAAC!K676:K678,SAAC!K785:K787,SAAC!K894:K896,SAAC!K1012:K1014)</f>
        <v>43.396666666666668</v>
      </c>
      <c r="F15" s="166">
        <f>AVERAGE(SAAC!K53:K55,SAAC!K143:K145,SAAC!K245:K247,SAAC!K347:K349,SAAC!K457:K459,SAAC!K461)</f>
        <v>48.3125</v>
      </c>
      <c r="G15" s="74">
        <f>AVERAGE(SAAC!K1007:K1009,SAAC!K894:K896,SAAC!K676:K679,SAAC!K563:K566,)</f>
        <v>36.573333333333338</v>
      </c>
      <c r="H15">
        <f>STDEV(SAAC!K53:K55,SAAC!K143:K145,SAAC!K245:K247,SAAC!K347:K349,SAAC!K457:K459,SAAC!K461)/SQRT(5)</f>
        <v>0.84850849534148276</v>
      </c>
      <c r="I15">
        <f>STDEV(SAAC!K1007:K1009,SAAC!K894:K896,SAAC!K676:K679,SAAC!K563:K566,)/SQRT(5)</f>
        <v>4.9040061368717867</v>
      </c>
    </row>
    <row r="16" spans="1:10" ht="15.75" customHeight="1">
      <c r="A16" s="167"/>
      <c r="B16" s="168"/>
      <c r="C16" s="160"/>
      <c r="D16" s="160"/>
      <c r="E16" s="160"/>
      <c r="F16" s="160"/>
    </row>
    <row r="17" spans="1:14" ht="15.75" customHeight="1">
      <c r="A17" s="167"/>
      <c r="C17" s="160"/>
      <c r="D17" s="160"/>
      <c r="E17" s="160"/>
      <c r="F17" s="160"/>
    </row>
    <row r="18" spans="1:14" ht="15.75" customHeight="1">
      <c r="A18" s="167"/>
      <c r="C18" s="160"/>
      <c r="D18" s="160"/>
      <c r="E18" s="160"/>
      <c r="F18" s="160"/>
    </row>
    <row r="19" spans="1:14" ht="15.75" customHeight="1">
      <c r="A19" s="167"/>
      <c r="B19" s="160"/>
      <c r="C19" s="163" t="s">
        <v>317</v>
      </c>
      <c r="D19" s="163" t="s">
        <v>317</v>
      </c>
      <c r="E19" s="163" t="s">
        <v>317</v>
      </c>
      <c r="F19" s="163" t="s">
        <v>111</v>
      </c>
      <c r="G19" s="6" t="s">
        <v>320</v>
      </c>
      <c r="H19" s="6" t="s">
        <v>321</v>
      </c>
      <c r="I19" s="6" t="s">
        <v>322</v>
      </c>
    </row>
    <row r="20" spans="1:14" ht="15.75" customHeight="1">
      <c r="A20" s="177" t="s">
        <v>317</v>
      </c>
      <c r="B20" s="99">
        <v>0</v>
      </c>
      <c r="C20" s="164">
        <f>AVERAGE(STEVIA!F3:F6,STEVIA!F92:F96,STEVIA!F197:F200,STEVIA!F330:F333,STEVIA!F430:F433,STEVIA!F539:F542,STEVIA!F653:F656,STEVIA!F766:F769,STEVIA!F853:F856,STEVIA!F970:F973)</f>
        <v>5.359166666666666</v>
      </c>
      <c r="D20" s="165">
        <f>AVERAGE(STEVIA!J2:J6,STEVIA!J92:J96,STEVIA!J196:J200,STEVIA!J329:J333,STEVIA!J429:J433,STEVIA!J538:J542,STEVIA!J652:J656,STEVIA!J765:J769,STEVIA!J852:J856,STEVIA!J969:J973)</f>
        <v>3.7317073170731714</v>
      </c>
      <c r="E20" s="166">
        <f>AVERAGE(STEVIA!K2:K7,STEVIA!K92:K97,STEVIA!K196:K200,STEVIA!K329:K333,STEVIA!K429:K433,STEVIA!K538:K542,STEVIA!K652:K656,STEVIA!K765:K769,STEVIA!K852:K856,STEVIA!K969:K973)</f>
        <v>21.273999999999997</v>
      </c>
      <c r="F20" s="166">
        <f>AVERAGE(STEVIA!K2:K6,STEVIA!K92:K96,STEVIA!K196:K200,STEVIA!K329:K333,STEVIA!K652:K656,)</f>
        <v>23.261538461538461</v>
      </c>
      <c r="G20" s="74">
        <f>AVERAGE(STEVIA!K429:K434,STEVIA!K538:K542,STEVIA!K852:K856,STEVIA!K969:K973,)</f>
        <v>17.214285714285715</v>
      </c>
      <c r="H20">
        <f>STDEV(STEVIA!K2:K6,STEVIA!K92:K96,STEVIA!K196:K200,STEVIA!K329:K333,STEVIA!K652:K656)/SQRT(5)</f>
        <v>0.72340859823477366</v>
      </c>
      <c r="I20">
        <f>STDEV(STEVIA!K429:K434,STEVIA!K538:K542,STEVIA!K852:K856,STEVIA!K969:K973)/SQRT(5)</f>
        <v>0.44694871953585097</v>
      </c>
    </row>
    <row r="21" spans="1:14" ht="15.75" customHeight="1">
      <c r="A21" s="167"/>
      <c r="B21" s="168">
        <v>0.5</v>
      </c>
      <c r="C21" s="164">
        <f>AVERAGE(STEVIA!F7:F10,STEVIA!F97:F100,STEVIA!F201:F204,STEVIA!F334:F337,STEVIA!F434:F437,STEVIA!F543:F546,STEVIA!F657:F660,STEVIA!F770:F773,STEVIA!F857:F860,STEVIA!F974:F977)</f>
        <v>4.1528735632183915</v>
      </c>
      <c r="D21" s="165">
        <f>AVERAGE(STEVIA!J7:J10,STEVIA!J97:J100,STEVIA!J201:J204,STEVIA!J334:J337,STEVIA!J434:J437,STEVIA!J543:J546,STEVIA!J657:J660,STEVIA!J770:J773,STEVIA!J857:J860,STEVIA!J974:J977)</f>
        <v>3.0838888888888887</v>
      </c>
      <c r="E21" s="166">
        <f>AVERAGE(STEVIA!K8:K10,STEVIA!K98:K100,STEVIA!K202:K204,STEVIA!K334:K337,STEVIA!K435:K437,STEVIA!K544:K546,STEVIA!K658:K660,STEVIA!K771:K773,STEVIA!K858:K860,STEVIA!K975:K977)</f>
        <v>23.27</v>
      </c>
      <c r="F21" s="166">
        <f>AVERAGE(STEVIA!K7:K10,STEVIA!K97:K100,STEVIA!K202:K204,STEVIA!K335:K337,STEVIA!K657:K660)</f>
        <v>26.84</v>
      </c>
      <c r="G21" s="74">
        <f>AVERAGE(STEVIA!K974:K977,STEVIA!K858:K860,STEVIA!K544:K546,STEVIA!K435:K437,)</f>
        <v>18.030769230769234</v>
      </c>
      <c r="H21">
        <f>STDEV(STEVIA!K7:K10,STEVIA!K97:K100,STEVIA!K202:K204,STEVIA!K335:K337,STEVIA!K657:K660)/SQRT(5)</f>
        <v>0.92702288459963533</v>
      </c>
      <c r="I21">
        <f>STDEV(STEVIA!K974:K977,STEVIA!K858:K860,STEVIA!K544:K546,STEVIA!K435:K437)/SQRT(5)</f>
        <v>0.77678435836076087</v>
      </c>
    </row>
    <row r="22" spans="1:14" ht="15.75" customHeight="1">
      <c r="A22" s="167"/>
      <c r="B22" s="99">
        <v>1</v>
      </c>
      <c r="C22" s="164">
        <f>AVERAGE(STEVIA!F11:F15,STEVIA!F101:F105,STEVIA!F205:F209,STEVIA!F338:F342,STEVIA!F438:F442,STEVIA!F547:F551,STEVIA!F661:F665,STEVIA!F774:F778,STEVIA!F861:F865,STEVIA!F978:F982)</f>
        <v>6.3450000000000006</v>
      </c>
      <c r="D22" s="165">
        <f>AVERAGE(STEVIA!J12:J14,STEVIA!J102:J104,STEVIA!J206:J208,STEVIA!J339:J341,STEVIA!J439:J441,STEVIA!J548:J550,STEVIA!J662:J664,STEVIA!J775:J777,STEVIA!J862:J864,STEVIA!J979:J981)</f>
        <v>2.7544444444444434</v>
      </c>
      <c r="E22" s="166">
        <f>AVERAGE(STEVIA!K12:K14,STEVIA!K102:K104,STEVIA!K205:K208,STEVIA!K339:K341,STEVIA!K439:K441,STEVIA!K548:K550,STEVIA!K662:K664,STEVIA!K775:K777,STEVIA!K862:K864,STEVIA!K979:K981)</f>
        <v>24.936666666666664</v>
      </c>
      <c r="F22" s="166">
        <f>AVERAGE(STEVIA!K661:K664,STEVIA!K12:K14,STEVIA!K102:K104,STEVIA!K205:K208,STEVIA!K339:K341,)</f>
        <v>27.018750000000001</v>
      </c>
      <c r="G22" s="74">
        <f>AVERAGE(STEVIA!K439:K441,STEVIA!K548:K550,STEVIA!K862:K864,STEVIA!K979:K981,)</f>
        <v>19.453846153846154</v>
      </c>
      <c r="H22">
        <f>STDEV(STEVIA!K661:K664,STEVIA!K12:K14,STEVIA!K102:K104,STEVIA!K205:K208,STEVIA!K339:K341,)/SQRT(5)</f>
        <v>3.3941604263793996</v>
      </c>
      <c r="I22">
        <f>STDEV(STEVIA!K439:K441,STEVIA!K548:K550,STEVIA!K862:K864,STEVIA!K979:K981)/SQRT(5)</f>
        <v>1.0380269746013411</v>
      </c>
    </row>
    <row r="23" spans="1:14" ht="15.75" customHeight="1">
      <c r="A23" s="167"/>
      <c r="B23" s="99">
        <v>2</v>
      </c>
      <c r="C23" s="164">
        <f>AVERAGE(STEVIA!F983:F986,STEVIA!F16:F19,STEVIA!F106:F109,STEVIA!F210:F213,STEVIA!F343:F346,STEVIA!F443:F446,STEVIA!F552:F555,STEVIA!F666:F669,STEVIA!F866:F869)</f>
        <v>5.6796296296296314</v>
      </c>
      <c r="D23" s="165">
        <f>AVERAGE(STEVIA!J16:J18,STEVIA!J106:J108,STEVIA!J210:J212,STEVIA!J343:J345,STEVIA!J443:J445,STEVIA!J552:J554,STEVIA!J666:J668,STEVIA!J779:J781,STEVIA!J866:J868,STEVIA!J983:J985)</f>
        <v>2.8632183908045992</v>
      </c>
      <c r="E23" s="166">
        <f>AVERAGE(STEVIA!K16:K18,STEVIA!K106:K108,STEVIA!K210:K212,STEVIA!K343:K345,STEVIA!K443:K445,STEVIA!K552:K554,STEVIA!K666:K668,STEVIA!K779:K781,STEVIA!K866:K868,STEVIA!K983:K985)</f>
        <v>26.483333333333331</v>
      </c>
      <c r="F23" s="74">
        <f>AVERAGE(STEVIA!K16:K18,STEVIA!K106:K108,STEVIA!K210:K212,STEVIA!K343:K345,STEVIA!K666:K668,)</f>
        <v>29.4</v>
      </c>
      <c r="G23" s="74">
        <f>AVERAGE(STEVIA!K443:K445,STEVIA!K552:K554,STEVIA!K866:K868,STEVIA!K983:K985,)</f>
        <v>20.707692307692305</v>
      </c>
      <c r="H23">
        <f>STDEV(STEVIA!K16:K18,STEVIA!K106:K108,STEVIA!K210:K212,STEVIA!K343:K345,STEVIA!K666:K668)/SQRT(5)</f>
        <v>1.2773633558456041</v>
      </c>
      <c r="I23">
        <f>STDEV(STEVIA!K443:K445,STEVIA!K552:K554,STEVIA!K866:K868,STEVIA!K983:K985)/SQRT(5)</f>
        <v>1.1557497894257078</v>
      </c>
    </row>
    <row r="24" spans="1:14" ht="15.75" customHeight="1">
      <c r="A24" s="167"/>
      <c r="B24" s="99">
        <v>3</v>
      </c>
      <c r="C24" s="164">
        <f>AVERAGE(STEVIA!F20:F22,STEVIA!F110:F112,STEVIA!F214:F217,STEVIA!F347:F350,STEVIA!F447:F450,STEVIA!F556:F559,STEVIA!F670:F673,STEVIA!F870:F873,STEVIA!F987:F990)</f>
        <v>6.3154320987654335</v>
      </c>
      <c r="D24" s="165">
        <f>AVERAGE(STEVIA!J20:J22,STEVIA!J110:J112,STEVIA!J214:J216,STEVIA!J347:J350,STEVIA!J447:J450,STEVIA!J556:J559,STEVIA!J670:J672,STEVIA!J870:J873,STEVIA!J983:J986)</f>
        <v>3.869533333333333</v>
      </c>
      <c r="E24" s="166">
        <f>AVERAGE(STEVIA!K987:K989,STEVIA!K20:K22,STEVIA!K110:K112,STEVIA!K214:K217,STEVIA!K347:K350,STEVIA!K447:K450,STEVIA!K556:K559,STEVIA!K670:K673,STEVIA!K779:K782,STEVIA!K870:K873)</f>
        <v>28.536666666666669</v>
      </c>
      <c r="F24" s="166">
        <f>AVERAGE(STEVIA!K666:K668,STEVIA!K343:K345,STEVIA!K210:K212,STEVIA!K16:K18,STEVIA!K106:K108)</f>
        <v>31.36</v>
      </c>
      <c r="G24" s="74">
        <f>AVERAGE(STEVIA!K447:K449,STEVIA!K556:K559,STEVIA!K870:K872,STEVIA!K987:K989)</f>
        <v>23.974999999999998</v>
      </c>
      <c r="H24">
        <f>STDEV(STEVIA!K666:K668,STEVIA!K343:K345,STEVIA!K210:K212,STEVIA!K16:K18,STEVIA!K106:K108)/SQRT(5)</f>
        <v>1.2773633558456039</v>
      </c>
      <c r="I24">
        <f>STDEV(STEVIA!K447:K449,STEVIA!K556:K559,STEVIA!K870:K872,STEVIA!K987:K989)/SQRT(5)</f>
        <v>1.5012873263848083</v>
      </c>
    </row>
    <row r="25" spans="1:14" ht="15.75" customHeight="1">
      <c r="A25" s="167"/>
      <c r="B25" s="99">
        <v>4</v>
      </c>
      <c r="C25" s="164">
        <f>AVERAGE(STEVIA!F24:F26,STEVIA!F114:F116,STEVIA!F218:F220,STEVIA!F351:F353,STEVIA!F451:F453,STEVIA!F560:F562,STEVIA!F674:F676,STEVIA!F874:F876,STEVIA!F991:F993)</f>
        <v>6.4012345679012332</v>
      </c>
      <c r="D25" s="165">
        <f>AVERAGE(STEVIA!J24:J26,STEVIA!J114:J116,STEVIA!J218:J220,STEVIA!J351:J353,STEVIA!J451:J453,STEVIA!J560:J562,STEVIA!J674:J676,STEVIA!J874:J876,STEVIA!J991:J993)</f>
        <v>2.9080246913580248</v>
      </c>
      <c r="E25" s="166">
        <f>AVERAGE(STEVIA!K991:K993,STEVIA!K874:K876,STEVIA!K674:K676,STEVIA!K560:K562,STEVIA!K451:K453,STEVIA!K351:K353,STEVIA!K218:K220,STEVIA!K114:K116,STEVIA!K24:K26)</f>
        <v>31.43333333333333</v>
      </c>
      <c r="F25" s="166">
        <f>AVERAGE(STEVIA!K24:K26,STEVIA!K114:K116,STEVIA!K218:K220,STEVIA!K351:K353,STEVIA!K674:K677)</f>
        <v>36.120000000000005</v>
      </c>
      <c r="G25" s="74">
        <f>AVERAGE(STEVIA!K991:K993,STEVIA!K874:K876,STEVIA!K560:K562,STEVIA!K451:K453,)</f>
        <v>23.607692307692311</v>
      </c>
      <c r="H25">
        <f>STDEV(STEVIA!K24:K26,STEVIA!K114:K116,STEVIA!K218:K220,STEVIA!K351:K353,STEVIA!K674:K677)/SQRT(5)</f>
        <v>1.3568029649563293</v>
      </c>
      <c r="I25">
        <f>STDEV(STEVIA!K991:K993,STEVIA!K874:K876,STEVIA!K560:K562,STEVIA!K451:K453)/SQRT(5)</f>
        <v>1.9573753298277168</v>
      </c>
    </row>
    <row r="26" spans="1:14" ht="15.75" customHeight="1">
      <c r="A26" s="167"/>
      <c r="B26" s="99">
        <v>5</v>
      </c>
      <c r="C26" s="166">
        <f>AVERAGEA(STEVIA!F995:F997,STEVIA!F878:F880,STEVIA!F678:F680,STEVIA!F564:F566,STEVIA!F455:F457,STEVIA!F355:F357,STEVIA!F222:F224,STEVIA!F118:F120,STEVIA!F28:F30)</f>
        <v>5.9506172839506162</v>
      </c>
      <c r="D26" s="165">
        <f>AVERAGE(STEVIA!J28:J30,STEVIA!J118:J120,STEVIA!J222:J224,STEVIA!J355:J357,STEVIA!J455:J457,STEVIA!J564:J566,STEVIA!J678:J680,STEVIA!J878:J880,STEVIA!J995:J997)</f>
        <v>3.0364197530864194</v>
      </c>
      <c r="E26" s="166">
        <f>AVERAGE(STEVIA!K28:K30,STEVIA!K118:K120,STEVIA!K222:K224,STEVIA!K355:K357,STEVIA!K455:K457,STEVIA!K564:K566,STEVIA!K678:K680,STEVIA!K878:K880,STEVIA!K995:K997)</f>
        <v>33.244444444444447</v>
      </c>
      <c r="F26" s="166">
        <f>AVERAGE(STEVIA!K28:K30,STEVIA!K118:K120,STEVIA!K222:K224,STEVIA!K355:K357,STEVIA!K678:K680)</f>
        <v>37.940000000000005</v>
      </c>
      <c r="G26" s="74">
        <f>AVERAGE(STEVIA!K455:K457,STEVIA!K564:K566,STEVIA!K878:K880,STEVIA!K995:K998)</f>
        <v>27.375000000000004</v>
      </c>
      <c r="H26">
        <f>STDEV(STEVIA!K28:K30,STEVIA!K118:K120,STEVIA!K222:K224,STEVIA!K355:K357,STEVIA!K678:K680)/SQRT(5)</f>
        <v>1.3487348569254503</v>
      </c>
      <c r="I26">
        <f>STDEV(STEVIA!K455:K457,STEVIA!K564:K566,STEVIA!K878:K880,STEVIA!K995:K998)/SQRT(4)</f>
        <v>2.6470502450841225</v>
      </c>
    </row>
    <row r="27" spans="1:14" ht="15.75" customHeight="1">
      <c r="A27" s="167"/>
      <c r="B27" s="99">
        <v>6</v>
      </c>
      <c r="C27" s="164">
        <f>AVERAGE(STEVIA!F32:F34,STEVIA!F122:F124,STEVIA!F226:F228,STEVIA!F359:F361,STEVIA!F459:F461,STEVIA!F568:F570,STEVIA!F682:F684,STEVIA!F882:F884,STEVIA!F999:F1001)</f>
        <v>5.0253086419753101</v>
      </c>
      <c r="D27" s="166">
        <f>AVERAGE(STEVIA!J32:J34,STEVIA!J122:J124,STEVIA!J226:J228,STEVIA!J359:J361,STEVIA!J459:J461,STEVIA!J568:J570,STEVIA!J682:J684,STEVIA!J882:J884,STEVIA!J999:J1001)</f>
        <v>2.9549382716049375</v>
      </c>
      <c r="E27" s="166">
        <f>AVERAGE(STEVIA!K32:K34,STEVIA!K122:K124,STEVIA!K226:K228,STEVIA!K359:K361,STEVIA!K459:K461,STEVIA!K564:K566,STEVIA!K682:K684,STEVIA!K882:K884,STEVIA!K999:K1001)</f>
        <v>35.470370370370368</v>
      </c>
      <c r="F27" s="166">
        <f>AVERAGE(STEVIA!K32:K34,STEVIA!K122:K124,STEVIA!K226:K228,STEVIA!K359:K361,STEVIA!J682:J684)</f>
        <v>33.592222222222219</v>
      </c>
      <c r="G27" s="74">
        <f>AVERAGE(STEVIA!K999:K1001,STEVIA!K882:K884,STEVIA!K568:K570,STEVIA!K459:K461,)</f>
        <v>27.1</v>
      </c>
      <c r="H27">
        <f>STDEV(STEVIA!K32:K34,STEVIA!K122:K124,STEVIA!K226:K228,STEVIA!K359:K361,STEVIA!K682:K684)/SQRT(5)</f>
        <v>1.4534490998016703</v>
      </c>
      <c r="I27">
        <f>STDEV(STEVIA!K999:K1001,STEVIA!K882:K884,STEVIA!K568:K570,STEVIA!K459:K461)/SQRT(4)</f>
        <v>2.8168695013931271</v>
      </c>
    </row>
    <row r="28" spans="1:14" ht="15.75" customHeight="1">
      <c r="A28" s="167"/>
      <c r="B28" s="99">
        <v>7</v>
      </c>
      <c r="C28" s="164">
        <f>AVERAGE(STEVIA!F36:F38,STEVIA!F126:F128,STEVIA!F230:F233,STEVIA!F363:F365,STEVIA!F463:F465,STEVIA!F572:F574,STEVIA!F686:F688,STEVIA!F886:F888,STEVIA!F1003:F1005)</f>
        <v>6.1845679012345727</v>
      </c>
      <c r="D28" s="166">
        <f>AVERAGE(STEVIA!J36:J38,STEVIA!J126:J128,STEVIA!J230:J233,STEVIA!J363:J365,STEVIA!J463:J465,STEVIA!J572:J574,STEVIA!J686:J688,STEVIA!J886:J888,STEVIA!J1003:J1005)</f>
        <v>2.9697530864197539</v>
      </c>
      <c r="E28" s="166">
        <f>AVERAGE(STEVIA!K36:K38,STEVIA!K126:K128,STEVIA!K230:K233,STEVIA!K363:K365,STEVIA!K463:K465,STEVIA!K572:K574,STEVIA!K686:K688,STEVIA!K886:K888,STEVIA!K1003:K1005)</f>
        <v>37.851851851851855</v>
      </c>
      <c r="F28" s="166">
        <f>AVERAGE(STEVIA!K36:K38,STEVIA!K126:K128,STEVIA!K230:K232,STEVIA!K363:K365,STEVIA!K686:K688)</f>
        <v>43.392857142857146</v>
      </c>
      <c r="G28" s="74">
        <f>AVERAGE(STEVIA!K463:K465,STEVIA!K572:K574,STEVIA!K886:K888,STEVIA!K1003:K1005,)</f>
        <v>28.65384615384615</v>
      </c>
      <c r="H28">
        <f>STDEV(STEVIA!K36:K38,STEVIA!K126:K128,STEVIA!K230:K232,STEVIA!K363:K365,STEVIA!K686:K688)/SQRT(5)</f>
        <v>1.5984092366825491</v>
      </c>
      <c r="I28">
        <f>STDEV(STEVIA!K463:K465,STEVIA!K572:K574,STEVIA!K886:K888,STEVIA!K1003:K1005,)/SQRT(4)</f>
        <v>5.0928305564708385</v>
      </c>
    </row>
    <row r="29" spans="1:14" ht="15.75" customHeight="1">
      <c r="A29" s="167"/>
      <c r="B29" s="99">
        <v>8</v>
      </c>
      <c r="C29" s="164">
        <f>AVERAGE(STEVIA!F40:F41,STEVIA!F130:F131,STEVIA!F235:F236,STEVIA!F367:F368,STEVIA!F467:F468,STEVIA!F576:F577,STEVIA!F690:F691,STEVIA!F890:F891,STEVIA!F1007:F1008)</f>
        <v>6.7185185185185192</v>
      </c>
      <c r="D29" s="166">
        <f>AVERAGE(STEVIA!J40:J41,STEVIA!J130:J131,STEVIA!J235:J236,STEVIA!J367:J368,STEVIA!J467:J468,STEVIA!J576:J577,STEVIA!J690:J691,STEVIA!J890:J891,STEVIA!J1007:J1008)</f>
        <v>3.1833333333333336</v>
      </c>
      <c r="E29" s="166">
        <f>AVERAGE(STEVIA!K1007:K1008,STEVIA!K890:K891,STEVIA!K690:K691,STEVIA!K576:K577,STEVIA!K467:K468,STEVIA!K367:K368,STEVIA!K235:K236,STEVIA!K130:K131,STEVIA!K40:K41)</f>
        <v>38.93333333333333</v>
      </c>
      <c r="F29" s="166">
        <f>AVERAGE(STEVIA!K40:K43,STEVIA!K130:K133,STEVIA!K233:K237,STEVIA!K367:K371,STEVIA!K690:K694)</f>
        <v>44.5</v>
      </c>
      <c r="G29" s="74">
        <f>AVERAGE(STEVIA!K467:K470,STEVIA!K576:K579,STEVIA!K890:K893,STEVIA!K1007:K1010)</f>
        <v>32.883333333333333</v>
      </c>
      <c r="H29">
        <f>STDEV(STEVIA!K40:K43,STEVIA!K130:K133,STEVIA!K233:K237,STEVIA!K367:K371,STEVIA!K690:K694)/SQRT(5)</f>
        <v>1.5851994016076156</v>
      </c>
      <c r="I29">
        <f>STDEV(STEVIA!K467:K470,STEVIA!K576:K579,STEVIA!K890:K893,STEVIA!K1007:K1010)/SQRT(4)</f>
        <v>2.7375198906154328</v>
      </c>
      <c r="N29" s="6" t="s">
        <v>323</v>
      </c>
    </row>
    <row r="30" spans="1:14" ht="15.75" customHeight="1">
      <c r="A30" s="167"/>
      <c r="B30" s="99">
        <v>9</v>
      </c>
      <c r="C30" s="164">
        <f>AVERAGE(STEVIA!F43:F47,STEVIA!F133:F137,STEVIA!F238:F241,STEVIA!F370:F374,STEVIA!F470:F474,STEVIA!F579:F583,STEVIA!F693:F697,STEVIA!F893:F897,STEVIA!F1010:F1014)</f>
        <v>5.7837962962962948</v>
      </c>
      <c r="D30" s="165">
        <f>AVERAGE(STEVIA!J43:J47,STEVIA!J133:J137,STEVIA!J238:J241,STEVIA!J370:J374,STEVIA!J470:J474,STEVIA!J579:J583,STEVIA!J693:J697,STEVIA!J893:J897,STEVIA!J1010:J1014)</f>
        <v>3.7736111111111117</v>
      </c>
      <c r="E30" s="166">
        <f>AVERAGE(STEVIA!K47,STEVIA!K137,STEVIA!K241,STEVIA!K374,STEVIA!K474,STEVIA!K583,STEVIA!K697,STEVIA!K897,STEVIA!K1014)</f>
        <v>42.322222222222216</v>
      </c>
      <c r="F30" s="166">
        <f>AVERAGE(STEVIA!K695:K697,STEVIA!K372:K374,STEVIA!K239:K241,STEVIA!K135:K137,STEVIA!K45:K47)</f>
        <v>47.226666666666674</v>
      </c>
      <c r="G30" s="74">
        <f>AVERAGE(STEVIA!K1012:K1014,STEVIA!K895:K897,STEVIA!K579:K583,STEVIA!K472:K474,)</f>
        <v>32.285714285714285</v>
      </c>
      <c r="H30">
        <f>STDEV(STEVIA!K695:K697,STEVIA!K372:K374,STEVIA!K239:K241,STEVIA!K135:K137,STEVIA!K45:K47)/SQRT(5)</f>
        <v>1.14909488190447</v>
      </c>
      <c r="I30">
        <f>STDEV(STEVIA!K1012:K1014,STEVIA!K895:K897,STEVIA!K579:K583,STEVIA!K472:K474)/SQRT(4)</f>
        <v>2.9087070878788897</v>
      </c>
      <c r="N30" s="6" t="s">
        <v>324</v>
      </c>
    </row>
    <row r="31" spans="1:14" ht="15.75" customHeight="1">
      <c r="A31" s="167"/>
      <c r="B31" s="99">
        <v>10</v>
      </c>
      <c r="C31" s="164">
        <f>AVERAGE(STEVIA!F49:F51,STEVIA!F139:F141,STEVIA!F243:F245,STEVIA!F376:F378,STEVIA!F476:F478,STEVIA!F585:F587,STEVIA!F699:F701,STEVIA!F899:F901,STEVIA!F1016:F1018)</f>
        <v>5.5253086419753075</v>
      </c>
      <c r="D31" s="165">
        <f>AVERAGE(STEVIA!J1016:J1018,STEVIA!J899:J901,STEVIA!J699:J701,STEVIA!J585:J587,STEVIA!J476:J478,STEVIA!J376:J378,STEVIA!J243:J245,STEVIA!J139:J141,STEVIA!J49:J51)</f>
        <v>2.9549382716049393</v>
      </c>
      <c r="E31" s="160">
        <f>AVERAGE(STEVIA!K1018,STEVIA!K901,STEVIA!K701,STEVIA!K478,STEVIA!K378,STEVIA!K245,STEVIA!K141,STEVIA!K51)</f>
        <v>44.199999999999996</v>
      </c>
      <c r="F31" s="166">
        <f>AVERAGE(STEVIA!K49:K51,STEVIA!K139:K141,STEVIA!K243:K245,STEVIA!K376:K378,STEVIA!K699:K701,)</f>
        <v>46.006250000000001</v>
      </c>
      <c r="G31" s="74">
        <f>AVERAGE(STEVIA!K476:K478,STEVIA!K585:K587,STEVIA!K895:K897,STEVIA!K1011:K1014,)</f>
        <v>32.530769230769224</v>
      </c>
      <c r="H31">
        <f>STDEV(STEVIA!K49:K51,STEVIA!K139:K141,STEVIA!K243:K245,STEVIA!K376:K378,STEVIA!K699:K701)/SQRT(5)</f>
        <v>0.91612018342365453</v>
      </c>
      <c r="I31">
        <f>STDEV(STEVIA!K476:K478,STEVIA!K585:K587,STEVIA!K895:K897,STEVIA!K1011:K1014)/SQRT(4)</f>
        <v>3.1579955044395986</v>
      </c>
    </row>
    <row r="32" spans="1:14" ht="15.75" customHeight="1">
      <c r="A32" s="167"/>
      <c r="B32" s="99">
        <v>11</v>
      </c>
      <c r="C32" s="164">
        <f>AVERAGE(STEVIA!F53:F55,STEVIA!F143:F145,STEVIA!F243:F245,STEVIA!F380:F382,STEVIA!F480:F482,STEVIA!F589:F591,STEVIA!F703:F705,STEVIA!F903:F905,STEVIA!F1020:F1022)</f>
        <v>4.7913580246913581</v>
      </c>
      <c r="D32" s="160">
        <f>AVERAGE(STEVIA!J53:J55,STEVIA!J143:J145,STEVIA!J247:J249,STEVIA!J380:J382,STEVIA!J480:J482,STEVIA!J589:J591,STEVIA!J703:J705,STEVIA!J903:J905,STEVIA!J1020:J1022,)</f>
        <v>2.8200000000000007</v>
      </c>
      <c r="E32" s="166">
        <f>AVERAGE(STEVIA!K53:K55,STEVIA!K143:K145,STEVIA!K247:K249,STEVIA!K380:K382,STEVIA!K480:K482,STEVIA!K589:K591,STEVIA!K703:K705,STEVIA!K903:K905,STEVIA!K1020:K1022)</f>
        <v>44.733333333333341</v>
      </c>
      <c r="F32" s="166">
        <f>AVERAGE(STEVIA!K53:K55,STEVIA!K143:K145,STEVIA!K247:K249,STEVIA!K380:K382,STEVIA!K703:K705,)</f>
        <v>47.412499999999994</v>
      </c>
      <c r="G32" s="74">
        <f>AVERAGE(STEVIA!K480:K482,STEVIA!K589:K591,STEVIA!K903:K905,STEVIA!K1020:K1022,)</f>
        <v>34.553846153846152</v>
      </c>
      <c r="H32">
        <f>STDEV(STEVIA!K53:K55,STEVIA!K143:K145,STEVIA!K247:K249,STEVIA!K380:K382,STEVIA!K703:K705,)/SQRT(5)</f>
        <v>5.7037034752284823</v>
      </c>
      <c r="I32">
        <f>STDEV(STEVIA!K480:K482,STEVIA!K589:K591,STEVIA!K903:K905,STEVIA!K1020:K1022)/SQRT(4)</f>
        <v>3.8101737811318053</v>
      </c>
      <c r="N32" s="6" t="s">
        <v>325</v>
      </c>
    </row>
    <row r="33" spans="1:14" ht="15.75" customHeight="1">
      <c r="A33" s="167"/>
      <c r="B33" s="99"/>
      <c r="C33" s="160"/>
      <c r="D33" s="160"/>
      <c r="E33" s="160"/>
      <c r="F33" s="160"/>
      <c r="N33" s="6" t="s">
        <v>326</v>
      </c>
    </row>
    <row r="34" spans="1:14" ht="15.75" customHeight="1">
      <c r="A34" s="167"/>
      <c r="B34" s="99"/>
      <c r="C34" s="163"/>
      <c r="D34" s="163"/>
      <c r="E34" s="163"/>
      <c r="F34" s="160"/>
      <c r="N34" s="6" t="s">
        <v>327</v>
      </c>
    </row>
    <row r="35" spans="1:14" ht="15.75" customHeight="1">
      <c r="A35" s="167"/>
      <c r="B35" s="99"/>
      <c r="C35" s="163"/>
      <c r="D35" s="163"/>
      <c r="E35" s="163"/>
      <c r="F35" s="160"/>
      <c r="N35" s="6" t="s">
        <v>22</v>
      </c>
    </row>
    <row r="36" spans="1:14" ht="15.75" customHeight="1">
      <c r="A36" s="167"/>
      <c r="B36" s="99"/>
      <c r="C36" s="163" t="s">
        <v>42</v>
      </c>
      <c r="D36" s="163" t="s">
        <v>42</v>
      </c>
      <c r="E36" s="163" t="s">
        <v>42</v>
      </c>
      <c r="F36" s="163" t="s">
        <v>328</v>
      </c>
      <c r="G36" s="6" t="s">
        <v>320</v>
      </c>
      <c r="H36" s="6" t="s">
        <v>329</v>
      </c>
      <c r="I36" s="6" t="s">
        <v>330</v>
      </c>
      <c r="N36" s="6" t="s">
        <v>42</v>
      </c>
    </row>
    <row r="37" spans="1:14" ht="13.2">
      <c r="A37" s="186" t="s">
        <v>42</v>
      </c>
      <c r="B37" s="99">
        <v>0</v>
      </c>
      <c r="C37" s="164">
        <f>AVERAGE(LF!F2:F6,LF!F80:F83,LF!F168:F171,LF!F294:F297,LF!F356:F359,LF!F443:F446,LF!F562:F565,LF!F643:F646,LF!F752:F755,LF!F871:F874)</f>
        <v>6.8087500000000052</v>
      </c>
      <c r="D37" s="165">
        <f>AVERAGE(LF!J2:J6,LF!J79:J83,LF!J167:J171,LF!J293:J297,LF!J355:J359,LF!J442:J446,LF!J561:J565,LF!J642:J646,LF!J751:J755,LF!J870:J874)</f>
        <v>3.8749999999999991</v>
      </c>
      <c r="E37" s="166">
        <f>AVERAGE(LF!K2:K5,LF!K79:K82,LF!K167:K170,LF!K293:K296,LF!K355:K358,LF!K442:K445,LF!K561:K564,LF!K642:K645,LF!K696:K754,LF!K870:K873)</f>
        <v>21.830232558139535</v>
      </c>
      <c r="F37" s="166">
        <f>AVERAGE(LF!K2:K6,LF!K355:K358,LF!K561:K564,LF!K751:K754,)</f>
        <v>22.544444444444448</v>
      </c>
      <c r="G37" s="74">
        <f>AVERAGE(LF!K79:K82,LF!K167:K170,LF!K293:K296,LF!K442:K445,LF!K642:K645,)</f>
        <v>17.642857142857142</v>
      </c>
      <c r="H37">
        <f>STDEV(LF!K2:K6,LF!K355:K358,LF!K561:K564,LF!K751:K754)/SQRT(5)</f>
        <v>0.56673730816895074</v>
      </c>
      <c r="I37">
        <f>STDEV(LF!K79:K82,LF!K167:K170,LF!K293:K296,LF!K442:K445,LF!K642:K645)/SQRT(5)</f>
        <v>0.5721381872093122</v>
      </c>
    </row>
    <row r="38" spans="1:14" ht="13.2">
      <c r="A38" s="167"/>
      <c r="B38" s="168">
        <v>0.5</v>
      </c>
      <c r="C38" s="164">
        <f>AVERAGE(LF!F7:F10,LF!F84:F87,LF!F172:F175,LF!F298:F301,LF!F360:F363,LF!F447:F450,LF!F566:F569,LF!F647:F650,LF!F756:F759,LF!F875:F878)</f>
        <v>6.3866666666666658</v>
      </c>
      <c r="D38" s="165">
        <f>AVERAGE(LF!J7:J9,LF!J84:J86,LF!J172:J174,LF!J298:J300,LF!J360:J362,LF!J447:J449,LF!J566:J568,LF!J647:J649,LF!J756:J758,LF!J874:J877)</f>
        <v>4.3894444444444449</v>
      </c>
      <c r="E38" s="166">
        <f>AVERAGE(LF!K6:K9,LF!K84:K87,LF!K172:K175,LF!K298:K301,LF!K360:K363,LF!K447:K450,LF!K566:K569,LF!K647:K650,LF!K756:K759,LF!K874:K877)</f>
        <v>22.222500000000004</v>
      </c>
      <c r="F38" s="166">
        <f>AVERAGE(LF!K6:K8,LF!K359:K361,LF!K565:K567,LF!K755:K757,)</f>
        <v>22.815384615384616</v>
      </c>
      <c r="G38" s="74">
        <f>AVERAGE(LF!K83:K85,LF!K171:K173,LF!K297:K299,LF!K446:K448,LF!K646:K648)</f>
        <v>18.926666666666666</v>
      </c>
      <c r="H38">
        <f>STDEV(LF!K6:K8,LF!K359:K361,LF!K565:K567,LF!K755:K757,LF!K870:K873)/SQRT(5)</f>
        <v>0.49805454855199688</v>
      </c>
      <c r="I38">
        <f>STDEV(LF!K83:K85,LF!K171:K173,LF!K297:K299,LF!K446:K448,LF!K646:K648)/SQRT(5)</f>
        <v>0.64795649471829431</v>
      </c>
    </row>
    <row r="39" spans="1:14" ht="13.2">
      <c r="A39" s="167"/>
      <c r="B39" s="99">
        <v>1</v>
      </c>
      <c r="C39" s="164">
        <f>AVERAGE(LF!F879:F883,LF!F11:F15,LF!F88:F92,LF!F176:F180,LF!F302:F306,LF!F364:F368,LF!F451:F455,LF!F570:F574,LF!F651:F655,LF!F760:F764)</f>
        <v>7.3291666666666684</v>
      </c>
      <c r="D39" s="165">
        <f>AVERAGE(LF!J10:J12,LF!J87:J89,LF!J175:J177,LF!J301:J303,LF!J363:J365,LF!J450:J452,LF!J570:J571,LF!J650:J652,LF!J759:J761,LF!J878:J880)</f>
        <v>3.6959770114942527</v>
      </c>
      <c r="E39" s="166">
        <f>AVERAGE(LF!K10:K12,LF!K87:K89,LF!J174:J176,LF!K301:K303,LF!K363:K365,LF!K450:K452,LF!K569:K571,LF!K650:K652,LF!K759:K761,LF!K878:K880)</f>
        <v>21.057222222222222</v>
      </c>
      <c r="F39" s="166">
        <f>AVERAGE(LF!K9:K12,LF!K362:K365,LF!K568:K571,LF!K758:K761,)</f>
        <v>23.7</v>
      </c>
      <c r="G39" s="74">
        <f>AVERAGE(LF!K86:K89,LF!K174:K177,LF!K299:K302,LF!K449:K452,LF!K649:K652)</f>
        <v>19.720000000000002</v>
      </c>
      <c r="H39">
        <f>STDEV(LF!K9:K12,LF!K362:K365,LF!K568:K571,LF!K758:K761,LF!K870:K873)/SQRT(5)</f>
        <v>0.39963140912332529</v>
      </c>
      <c r="I39">
        <f>STDEV(LF!K86:K89,LF!K174:K177,LF!K299:K302,LF!K449:K452,LF!K649:K652)/SQRT(5)</f>
        <v>0.71988303143452981</v>
      </c>
    </row>
    <row r="40" spans="1:14" ht="13.2">
      <c r="A40" s="167"/>
      <c r="B40" s="99">
        <v>2</v>
      </c>
      <c r="C40" s="164">
        <f>AVERAGE(LF!F14:F16,LF!F91:F93,LF!F179:F181,LF!F305:F307,LF!F367:F369,LF!F454:F456,LF!F573:F575,LF!F654:F656,LF!F763:F765,LF!F882:F884)</f>
        <v>7.0038888888888886</v>
      </c>
      <c r="D40" s="165">
        <f>AVERAGE(LF!J882:J884,LF!J14:J16,LF!J91:J93,LF!J179:J181,LF!J305:J307,LF!J367:J369,LF!J454:J456,LF!J573:J575,LF!J654:J656,LF!J763:J765)</f>
        <v>5.7796111111111115</v>
      </c>
      <c r="E40" s="166">
        <f>AVERAGE(LF!K14:K16,LF!K91:K93,LF!K179:K181,LF!K305:K307,LF!K367:K369,LF!K454:K456,LF!K573:K575,LF!K654:K656,LF!K763:K765,LF!K882:K884)</f>
        <v>23.40333333333334</v>
      </c>
      <c r="F40" s="166">
        <f>AVERAGE(LF!K14:K16,LF!K367:K369,LF!K573:K575,LF!K763:K765,)</f>
        <v>23.830769230769231</v>
      </c>
      <c r="G40" s="74">
        <f>AVERAGE(LF!K91:K93,LF!K178:K181,LF!K305:K307,LF!K454:K456,LF!K654:K656,)</f>
        <v>19.411764705882348</v>
      </c>
      <c r="H40">
        <f>STDEV(LF!K14:K16,LF!K367:K369,LF!K573:K575,LF!K763:K765,LF!K882:K884)/SQRT(5)</f>
        <v>0.50057110241346192</v>
      </c>
      <c r="I40">
        <f>STDEV(LF!K91:K93,LF!K178:K181,LF!K305:K307,LF!K454:K456,LF!K654:K656)/SQRT(5)</f>
        <v>0.86787095814988513</v>
      </c>
    </row>
    <row r="41" spans="1:14" ht="13.2">
      <c r="A41" s="167"/>
      <c r="B41" s="99">
        <v>3</v>
      </c>
      <c r="C41" s="164">
        <f>AVERAGE(LF!F886:F888,LF!F18:F20,LF!F95:F97,LF!F184:F186,LF!F309:F311,LF!F371:F373,LF!F458:F460,LF!F577:F579,LF!F658:F660,LF!F767:F769)</f>
        <v>7.3017241379310338</v>
      </c>
      <c r="D41" s="165">
        <f>AVERAGE(LF!J18:J20,LF!J95:J97,LF!J183:J185,LF!J309:J311,LF!J371:J373,LF!J458:J460,LF!J577:J579,LF!J658:J660,LF!J767:J769,LF!J886:J888)</f>
        <v>4.4539999999999997</v>
      </c>
      <c r="E41" s="166">
        <f>AVERAGE(LF!K18:K20,LF!K95:K97,LF!K183:K185,LF!K309:K311,LF!K371:K373,LF!K458:K460,LF!K577:K579,LF!K658:K660,LF!K767:K769,LF!K886:K888)</f>
        <v>23.979999999999993</v>
      </c>
      <c r="F41" s="166">
        <f>AVERAGE(LF!K18:K20,LF!K371:K373,LF!K577:K579,LF!K767:K769,)</f>
        <v>24.04615384615385</v>
      </c>
      <c r="G41" s="74">
        <f>AVERAGE(LF!K658:K660,LF!K458:K460,LF!K309:K311,LF!K183:K185,LF!K95:K97,)</f>
        <v>20.350000000000001</v>
      </c>
      <c r="H41">
        <f>STDEV(LF!K18:K20,LF!K371:K373,LF!K577:K579,LF!K767:K769,LF!K886:K888)/SQRT(5)</f>
        <v>0.43288621621677453</v>
      </c>
      <c r="I41">
        <f>STDEV(LF!K658:K660,LF!K458:K460,LF!K309:K311,LF!K183:K185,LF!K95:K97)/SQRT(5)</f>
        <v>1.6476361133165083</v>
      </c>
    </row>
    <row r="42" spans="1:14" ht="13.2">
      <c r="A42" s="167"/>
      <c r="B42" s="99">
        <v>4</v>
      </c>
      <c r="C42" s="164">
        <f>AVERAGE(LF!F22:F24,LF!F99:F101,LF!F187:F189,LF!F313:F315,LF!F375:F377,LF!F462:F464,LF!F581:F583,LF!F662:F664,LF!F771:F773,LF!F890:F892)</f>
        <v>7.7444444444444436</v>
      </c>
      <c r="D42" s="165">
        <f>AVERAGE(LF!J22:J24,LF!J99:J101,LF!J187:J189,LF!J313:J315,LF!J375:J377,LF!J462:J464,LF!J581:J583,LF!J662:J664,LF!J771:J773,LF!J890:J892)</f>
        <v>4.0777777777777784</v>
      </c>
      <c r="E42" s="166">
        <f>AVERAGE(LF!K22:K24,LF!K99:K101,LF!K187:K189,LF!K313:K315,LF!K375:K377,LF!K462:K464,LF!K581:K583,LF!K662:K664,LF!K771:K773,LF!K890:K892)</f>
        <v>23.869999999999997</v>
      </c>
      <c r="F42" s="166">
        <f>AVERAGE(LF!K22:K24,LF!K375:K377,LF!K581:K583,LF!K771:K773,)</f>
        <v>24.215384615384615</v>
      </c>
      <c r="G42" s="74">
        <f>AVERAGE(LF!K99:K101,LF!K187:K189,LF!K313:K315,LF!K462:K464,LF!K662:K664,)</f>
        <v>19.843749999999996</v>
      </c>
      <c r="H42">
        <f>STDEV(LF!K22:K24,LF!K375:K377,LF!K581:K583,LF!K771:K773,LF!K890:K892)/SQRT(5)</f>
        <v>0.50524864223092225</v>
      </c>
      <c r="I42">
        <f>STDEV(LF!K99:K101,LF!K187:K189,LF!K313:K315,LF!K462:K464,LF!K662:K664)/SQRT(5)</f>
        <v>0.62029179001652479</v>
      </c>
    </row>
    <row r="43" spans="1:14" ht="13.2">
      <c r="A43" s="167"/>
      <c r="B43" s="99">
        <v>5</v>
      </c>
      <c r="C43" s="164">
        <f>AVERAGE(LF!F894:F896,LF!F775:F777,LF!F666:F668,LF!F585:F587,LF!F466:F468,LF!F379:F381,LF!F317:F319,LF!F191:F193,LF!F103:F105,LF!F26:F28)</f>
        <v>6.7022222222222245</v>
      </c>
      <c r="D43" s="165">
        <f>AVERAGE(LF!J894:J896,LF!J775:J777,LF!J666:J668,LF!J585:J587,LF!J466:J468,LF!J379:J381,LF!J317:J319,LF!J191:J193,LF!J103:J105,LF!J26:J28)</f>
        <v>3.7433333333333336</v>
      </c>
      <c r="E43" s="166">
        <f>AVERAGE(LF!K894:K896,LF!K775:K777,LF!K666:K668,LF!K585:K587,LF!K466:K468,LF!K379:K381,LF!K317:K319,LF!K191:K193,LF!K103:K105,LF!K26:K28)</f>
        <v>24.13333333333334</v>
      </c>
      <c r="F43" s="166">
        <f>AVERAGE(LF!K26:K28,LF!K379:K381,LF!K585:K587,LF!K775:K777)</f>
        <v>26.608333333333334</v>
      </c>
      <c r="G43" s="74">
        <f>AVERAGE(LF!K894:K896,LF!K666:K668,LF!K466:K468,LF!K317:K319,LF!K191:K193,)</f>
        <v>20.856249999999999</v>
      </c>
      <c r="H43">
        <f>STDEV(LF!K26:K28,LF!K379:K381,LF!K585:K587,LF!K775:K777,LF!K103:K105)/SQRT(5)</f>
        <v>0.72174391976260233</v>
      </c>
      <c r="I43">
        <f>STDEV(LF!K894:K896,LF!K666:K668,LF!K466:K468,LF!K317:K319,LF!K191:K193)/SQRT(5)</f>
        <v>1.4117736227542947</v>
      </c>
    </row>
    <row r="44" spans="1:14" ht="13.2">
      <c r="A44" s="167"/>
      <c r="B44" s="99">
        <v>6</v>
      </c>
      <c r="C44" s="164">
        <f>AVERAGE(LF!F30:F32,LF!F107:F109,LF!F195:F197,LF!F321:F323,LF!F383:F385,LF!F470:F472,LF!F589:F591,LF!F670:F672,LF!F779:F781,LF!F898:F900)</f>
        <v>6.5238888888888855</v>
      </c>
      <c r="D44" s="165">
        <f>AVERAGE(LF!J30:J32,LF!J107:J109,LF!J195:J197,LF!J321:J323,LF!J383:J385,LF!J470:J472,LF!J589:J591,LF!J670:J672,LF!J779:J781,LF!J898:J900)</f>
        <v>3.7738888888888886</v>
      </c>
      <c r="E44" s="166">
        <f>AVERAGE(LF!K30:K32,LF!K107:K109,LF!K195:K197,LF!K321:K323,LF!K383:K385,LF!K470:K472,LF!K589:K591,LF!K670:K672,LF!K779:K781,LF!K898:K900)</f>
        <v>24.553333333333335</v>
      </c>
      <c r="F44" s="166">
        <f>AVERAGE(LF!K30:K32,LF!K383:K385,LF!K589:K591,LF!K779:K781)</f>
        <v>26.816666666666666</v>
      </c>
      <c r="G44" s="74">
        <f>AVERAGE(LF!K107:K109,LF!K195:K197,LF!K321:K323,LF!K470:K472,LF!K670:K672,)</f>
        <v>20.599999999999998</v>
      </c>
      <c r="H44">
        <f>STDEV(LF!K30:K32,LF!K383:K385,LF!K589:K591,LF!K779:K781,LF!K898:K901)/SQRT(5)</f>
        <v>0.68591266971546072</v>
      </c>
      <c r="I44">
        <f>STDEV(LF!K107:K109,LF!K195:K197,LF!K321:K323,LF!K470:K472,LF!K670:K672,)/SQRT(5)</f>
        <v>2.536296512634125</v>
      </c>
    </row>
    <row r="45" spans="1:14" ht="13.2">
      <c r="A45" s="167"/>
      <c r="B45" s="99">
        <v>7</v>
      </c>
      <c r="C45" s="164">
        <f>AVERAGE(LF!F34:F36,LF!F111:F113,LF!F199:F201,LF!F325:F327,LF!F387:F389,LF!F474:F476,LF!F593:F595,LF!F674:F676,LF!F783:F785,LF!F902:F904)</f>
        <v>7.1555555555555603</v>
      </c>
      <c r="D45" s="165">
        <f>AVERAGE(LF!J34:J36,LF!J111:J113,LF!J199:J201,LF!J325:J327,LF!J387:J389,LF!J474:J476,LF!J593:J595,LF!J674:J676,LF!J783:J785,LF!J902:J904)</f>
        <v>3.5370370370370372</v>
      </c>
      <c r="E45" s="166">
        <f>AVERAGE(LF!K34:K36,LF!K111:K113,LF!K199:K201,LF!K325:K327,LF!K387:K389,LF!K474:K476,LF!K593:K595,LF!K674:K676,LF!K783:K785,LF!K902:K904)</f>
        <v>24.826666666666664</v>
      </c>
      <c r="F45" s="166">
        <f>AVERAGE(LF!K34:K36,LF!K387:K389,LF!K593:K596,LF!K783:K785)</f>
        <v>27.099999999999998</v>
      </c>
      <c r="G45" s="74">
        <f>AVERAGE(LF!K111:K113,LF!K199:K201,LF!K325:K327,LF!K474:K476,LF!K674:K676,)</f>
        <v>20.806250000000002</v>
      </c>
      <c r="H45">
        <f>STDEV(LF!K34:K36,LF!K387:K389,LF!K593:K596,LF!K783:K785,LF!K902:K904)/SQRT(5)</f>
        <v>0.60493210953201759</v>
      </c>
      <c r="I45">
        <f>STDEV(LF!K111:K113,LF!K199:K201,LF!K325:K327,LF!K474:K476,LF!K674:K676)/SQRT(5)</f>
        <v>0.51393903659221418</v>
      </c>
    </row>
    <row r="46" spans="1:14" ht="13.2">
      <c r="A46" s="167"/>
      <c r="B46" s="99">
        <v>8</v>
      </c>
      <c r="C46" s="164">
        <f>AVERAGE(LF!F38:F39,LF!F115:F116,LF!F203:F204,LF!F329:F330,LF!F391:F392,LF!F478:F479,LF!F597:F598,LF!F678:F679,LF!F787:F788,LF!F906:F907)</f>
        <v>7.688333333333337</v>
      </c>
      <c r="D46" s="165">
        <f>AVERAGE(LF!J38:J39,LF!J115:J116,LF!J203:J204,LF!J329:J330,LF!J391:J392,LF!J478:J479,LF!J597:J598,LF!J678:J679,LF!J787:J788,LF!J906:J907)</f>
        <v>3.456666666666667</v>
      </c>
      <c r="E46" s="166">
        <f>AVERAGE(LF!K38:K39,LF!K115:K116,LF!K203:K204,LF!K329:K330,LF!K391:K392,LF!K478:K479,LF!K597:K598,LF!K678:K679,LF!K787:K788,LF!K906:K907)</f>
        <v>25.125000000000004</v>
      </c>
      <c r="F46" s="166">
        <f>AVERAGE(LF!K37:K41,LF!K391:K394,LF!K597:K600,LF!K787:K790)</f>
        <v>27.599999999999998</v>
      </c>
      <c r="G46" s="74">
        <f>AVERAGE(LF!K115:K118,LF!K202:K206,LF!K328:K332,LF!K477:K481,LF!K677:K681,)</f>
        <v>21.150000000000002</v>
      </c>
      <c r="H46">
        <f>STDEV(LF!K37:K41,LF!K391:K394,LF!K597:K600,LF!K787:K790,LF!K905:K909)/SQRT(5)</f>
        <v>0.57091405407719398</v>
      </c>
      <c r="I46">
        <f>STDEV(LF!K115:K118,LF!K202:K206,LF!K328:K332,LF!K477:K481,LF!K677:K681,)/SQRT(5)</f>
        <v>2.5996922894835048</v>
      </c>
    </row>
    <row r="47" spans="1:14" ht="13.2">
      <c r="A47" s="167"/>
      <c r="B47" s="99">
        <v>9</v>
      </c>
      <c r="C47" s="164">
        <f>AVERAGE(LF!F41:F45,LF!F118:F121,LF!F207:F209,LF!F332:F335,LF!F394:F397,LF!F481:F484,LF!F600:F603,LF!F681:F684,LF!F790:F793,LF!F909:F912)</f>
        <v>5.5346153846153827</v>
      </c>
      <c r="D47" s="165">
        <f>AVERAGE(LF!J41:J45,LF!J118:J121,LF!J206:J209,LF!J332:J335,LF!J394:J397,LF!J481:J484,LF!J600:J603,LF!J681:J684,LF!J790:J793,LF!J909:J912)</f>
        <v>4.3787499999999993</v>
      </c>
      <c r="E47" s="166">
        <f>AVERAGE(LF!K45,LF!K121,LF!K209,LF!K335,LF!K397,LF!K484,LF!K603,LF!K684,LF!K793,LF!K912)</f>
        <v>25.410000000000004</v>
      </c>
      <c r="F47" s="166">
        <f>AVERAGE(LF!K42:K45,LF!K394:K397,LF!K601:K603,LF!K791:K793)</f>
        <v>27.861538461538466</v>
      </c>
      <c r="G47" s="74">
        <f>AVERAGE(LF!K119:K121,LF!K207:K209,LF!K333:K335,LF!K482:K484,LF!K682:K684,,)</f>
        <v>19.8</v>
      </c>
      <c r="H47">
        <f>STDEV(LF!K42:K45,LF!K394:K397,LF!K601:K603,LF!K791:K793,LF!K910:K912)/SQRT(5)</f>
        <v>0.53652430824086006</v>
      </c>
      <c r="I47">
        <f>STDEV(LF!K119:K121,LF!K207:K209,LF!K333:K335,LF!K482:K484,LF!K682:K684)/SQRT(5)</f>
        <v>0.62810372209873555</v>
      </c>
    </row>
    <row r="48" spans="1:14" ht="13.2">
      <c r="A48" s="167"/>
      <c r="B48" s="99">
        <v>10</v>
      </c>
      <c r="C48" s="164">
        <f>AVERAGE(LF!F47:F49,LF!F123:F125,LF!F211:F213,LF!F337:F339,LF!F399:F401,LF!F486:F488,LF!F605:F607,LF!F686:F688,LF!F795:F797,LF!F914:F916)</f>
        <v>6.9633333333333303</v>
      </c>
      <c r="D48" s="165">
        <f>AVERAGE(LF!J47:J49,LF!J123:J125,LF!J211:J213,LF!J337:J339,LF!J399:J401,LF!J486:J488,LF!J605:J607,LF!J686:J688,LF!J795:J797,LF!J914:J916)</f>
        <v>3.5133333333333336</v>
      </c>
      <c r="E48" s="166">
        <f>AVERAGE(LF!K49,LF!K125,LF!K213,LF!K339,LF!K401,LF!K488,LF!K607,LF!K688,LF!K797,LF!K916)</f>
        <v>25.53</v>
      </c>
      <c r="F48" s="166">
        <f>AVERAGE(LF!K47:K49,LF!K399:K401,LF!K605:K607,LF!K795:K797,)</f>
        <v>26.146153846153847</v>
      </c>
      <c r="G48" s="74">
        <f>AVERAGE(LF!K123:K125,LF!K211:K213,LF!K337:K339,LF!K486:K488,LF!K686:K688,)</f>
        <v>21.106249999999996</v>
      </c>
      <c r="H48">
        <f>STDEV(LF!K47:K49,LF!K399:K401,LF!K605:K607,LF!K795:K797,LF!K914:K916)/SQRT(5)</f>
        <v>0.59502701019125392</v>
      </c>
      <c r="I48">
        <f>STDEV(LF!K123:K125,LF!K211:K213,LF!K337:K339,LF!K486:K488,LF!K686:K688)/SQRT(5)</f>
        <v>0.56083271421461622</v>
      </c>
    </row>
    <row r="49" spans="1:9" ht="13.2">
      <c r="A49" s="167"/>
      <c r="B49" s="99">
        <v>11</v>
      </c>
      <c r="C49" s="164">
        <f>AVERAGE(LF!F51:F53,LF!F127:F129,LF!F215:F217,LF!F341:F343,LF!F403:F405,LF!F490:F492,LF!F609:F611,LF!F690:F692,LF!F799:F801,LF!F918:F920)</f>
        <v>6.2327777777777804</v>
      </c>
      <c r="D49" s="165">
        <f>AVERAGE(LF!J51:J53,LF!J127:J129,LF!J215:J217,LF!J341:J343,LF!J403:J405,LF!J490:J492,LF!J609:J611,LF!J690:J692,LF!J799:J801,LF!J918:J920)</f>
        <v>4.0185185185185182</v>
      </c>
      <c r="E49" s="166">
        <f>AVERAGE(LF!K51:K53,LF!K127:K129,LF!K215:K217,LF!K341:K343,LF!K403:K405,LF!K490:K492,LF!K609:K611,LF!K690:K692,LF!K799:K801,LF!K918:K920)</f>
        <v>25.473333333333336</v>
      </c>
      <c r="F49" s="166">
        <f>AVERAGE(LF!K51:K53,LF!K403:K405,LF!K609:K611,LF!K799:K801)</f>
        <v>27.975000000000005</v>
      </c>
      <c r="G49" s="74">
        <f>AVERAGE(LF!K127:K129,LF!K215:K217,LF!K341:K343,LF!K490:K492,LF!K690:K692,)</f>
        <v>21.099999999999994</v>
      </c>
      <c r="H49">
        <f>STDEV(LF!K51:K53,LF!K403:K405,LF!K609:K611,LF!K799:K801,LF!K918:K920)/SQRT(5)</f>
        <v>0.66736154262245928</v>
      </c>
      <c r="I49">
        <f>STDEV(LF!K127:K129,LF!K215:K217,LF!K341:K343,LF!K490:K492,LF!K690:K692)/SQRT(5)</f>
        <v>0.60224975043976747</v>
      </c>
    </row>
    <row r="50" spans="1:9" ht="13.2">
      <c r="A50" s="167"/>
      <c r="B50" s="168"/>
      <c r="C50" s="160"/>
      <c r="D50" s="160"/>
      <c r="E50" s="160"/>
      <c r="F50" s="160"/>
    </row>
    <row r="51" spans="1:9" ht="13.2">
      <c r="A51" s="167"/>
      <c r="B51" s="99"/>
      <c r="C51" s="163"/>
      <c r="D51" s="163"/>
      <c r="E51" s="163"/>
      <c r="F51" s="160"/>
    </row>
    <row r="52" spans="1:9" ht="13.2">
      <c r="A52" s="167"/>
      <c r="B52" s="99"/>
      <c r="C52" s="163"/>
      <c r="D52" s="163"/>
      <c r="E52" s="163"/>
      <c r="F52" s="160"/>
    </row>
    <row r="53" spans="1:9" ht="13.2">
      <c r="A53" s="167"/>
      <c r="B53" s="99"/>
      <c r="C53" s="163" t="s">
        <v>22</v>
      </c>
      <c r="D53" s="163" t="s">
        <v>22</v>
      </c>
      <c r="E53" s="163" t="s">
        <v>22</v>
      </c>
      <c r="F53" s="163" t="s">
        <v>328</v>
      </c>
      <c r="G53" s="6" t="s">
        <v>320</v>
      </c>
      <c r="H53" s="6" t="s">
        <v>331</v>
      </c>
      <c r="I53" s="6" t="s">
        <v>332</v>
      </c>
    </row>
    <row r="54" spans="1:9" ht="13.2">
      <c r="A54" s="188" t="s">
        <v>22</v>
      </c>
      <c r="B54" s="99">
        <v>0</v>
      </c>
      <c r="C54" s="164">
        <f>AVERAGE(HF!F3:F6,HF!F86:F90,HF!F194:F197,HF!F281:F284,HF!F374:F377,HF!F483:F486,HF!F591:F594,HF!F703:F706,HF!F813:F816,HF!F906:F909)</f>
        <v>6.6316666666666659</v>
      </c>
      <c r="D54" s="165">
        <f>AVERAGE(HF!J2:J6,HF!J86:J90,HF!J193:J197,HF!J280:J284,HF!J373:J377,HF!J482:J486,HF!J590:J594,HF!J702:J706,HF!J812:J816,HF!J905:J909)</f>
        <v>4.5771317829457381</v>
      </c>
      <c r="E54" s="166">
        <f>AVERAGE(HF!K2:K6,HF!K86:K90,HF!K193:K197,HF!K280:K284,HF!K373:K377,HF!K482:K486,HF!K590:K594,HF!K702:K706,HF!K812:K816,HF!K905:K909)</f>
        <v>21.45</v>
      </c>
      <c r="F54" s="166">
        <f>AVERAGE(HF!K2:K6,HF!K193:K197,HF!K280:K284,HF!K812:K816,HF!K905:K909)</f>
        <v>24.383999999999997</v>
      </c>
      <c r="G54" s="74">
        <f>AVERAGE(HF!K86:K90,HF!K373:K377,HF!K482:K486,HF!K590:K594,HF!K702:K706,)</f>
        <v>17.803846153846159</v>
      </c>
      <c r="H54">
        <f>STDEV(HF!K2:K6,HF!K193:K197,HF!K280:K284,HF!K812:K816,HF!K905:K909)/SQRT(5)</f>
        <v>0.47830952321692266</v>
      </c>
      <c r="I54">
        <f>STDEV(HF!K86:K90,HF!K373:K377,HF!K482:K486,HF!K590:K594,HF!K702:K706)/SQRT(5)</f>
        <v>0.53660662189975505</v>
      </c>
    </row>
    <row r="55" spans="1:9" ht="13.2">
      <c r="A55" s="167"/>
      <c r="B55" s="168">
        <v>0.5</v>
      </c>
      <c r="C55" s="164">
        <f>AVERAGE(HF!F7:F10,HF!F91:F94,HF!F198:F201,HF!F285:F288,HF!F378:F381,HF!F487:F490,HF!F595:F598,HF!F707:F710,HF!F817:F820,HF!F910:F913)</f>
        <v>4.5517241379310356</v>
      </c>
      <c r="D55" s="165">
        <f>AVERAGE(HF!J7:J10,HF!J91:J94,HF!J198:J201,HF!J285:J288,HF!J378:J381,HF!J487:J490,HF!J595:J598,HF!J707:J710,HF!J817:J820,HF!J910:J913)</f>
        <v>3.4944444444444445</v>
      </c>
      <c r="E55" s="166">
        <f>AVERAGE(HF!K7:K10,HF!K92:K94,HF!K199:K201,HF!K286:K288,HF!K379:K381,HF!K488:K490,HF!K596:K598,HF!K708:K710,HF!K818:K820,HF!K911:K913)</f>
        <v>23.673333333333332</v>
      </c>
      <c r="F55" s="166">
        <f>AVERAGE(HF!K8:K10,HF!K199:K200,HF!K285:K287,HF!K817:K819,HF!K910:K912)</f>
        <v>27.04545454545454</v>
      </c>
      <c r="G55" s="74">
        <f>AVERAGE(HF!K91:K93,HF!K378:K380,HF!K487:K489,HF!K595:K597,HF!K707:K709,)</f>
        <v>18.16363636363636</v>
      </c>
      <c r="H55">
        <f>STDEV(HF!K8:K10,HF!K199:K200,HF!K285:K287,HF!K817:K819,HF!K910:K912)/SQRT(5)</f>
        <v>0.52701561129197538</v>
      </c>
      <c r="I55">
        <f>STDEV(HF!K91:K93,HF!K378:K380,HF!K487:K489,HF!K595:K597,HF!K707:K709)/SQRT(5)</f>
        <v>0.65210769390066592</v>
      </c>
    </row>
    <row r="56" spans="1:9" ht="13.2">
      <c r="A56" s="167"/>
      <c r="B56" s="99">
        <v>1</v>
      </c>
      <c r="C56" s="164">
        <f>AVERAGE(HF!F11:F13,HF!F95:F97,HF!F202:F204,HF!F289:F291,HF!F382:F384,HF!F491:F493,HF!F599:F601,HF!F711:F713,HF!F821:F823,HF!F914:F916)</f>
        <v>5.8738888888888878</v>
      </c>
      <c r="D56" s="165">
        <f>AVERAGE(HF!J11:J13,HF!J95:J97,HF!J202:J204,HF!J289:J291,HF!J382:J384,HF!J491:J493,HF!J599:J601,HF!J711:J713,HF!J821:J823,HF!J914:J916)</f>
        <v>2.7367816091954014</v>
      </c>
      <c r="E56" s="166">
        <f>AVERAGE(HF!K11:K13,HF!K95:K97,HF!K202:K204,HF!K289:K291,HF!K382:K384,HF!K491:K493,HF!K599:K601,HF!K711:K713,HF!K821:K823,HF!K914:K916)</f>
        <v>25.060000000000002</v>
      </c>
      <c r="F56" s="166">
        <f>AVERAGE(HF!K913:K916,HF!K820:K823,HF!K288:K291,HF!K201:K204,HF!K10:K13)</f>
        <v>28.564999999999998</v>
      </c>
      <c r="G56" s="74">
        <f>AVERAGE(HF!K94:K97,HF!K381:K384,HF!K490:K493,HF!K598:K601,HF!K710:K713,)</f>
        <v>20.085714285714282</v>
      </c>
      <c r="H56">
        <f>STDEV(HF!K913:K916,HF!K820:K823,HF!K288:K291,HF!K201:K204,HF!K10:K13)/SQRT(5)</f>
        <v>0.62648140225262938</v>
      </c>
      <c r="I56">
        <f>STDEV(HF!K94:K97,HF!K381:K384,HF!K490:K493,HF!K598:K601,HF!K710:K713)/SQRT(5)</f>
        <v>0.92462225572904844</v>
      </c>
    </row>
    <row r="57" spans="1:9" ht="13.2">
      <c r="A57" s="167"/>
      <c r="B57" s="99">
        <v>2</v>
      </c>
      <c r="C57" s="164">
        <f>AVERAGE(HF!F15:F17,HF!F99:F102,HF!F206:F208,HF!F293:F295,HF!F386:F388,HF!F495:F497,HF!F603:F605,HF!F715:F717,HF!F825:F827,HF!F918:F920)</f>
        <v>5.943678160919541</v>
      </c>
      <c r="D57" s="165">
        <f>AVERAGE(HF!J99:J101,,HF!J206:J208,HF!J293:J295,HF!J386:J388,HF!J495:J497,HF!J603:J605,HF!J715:J717,HF!J825:J827,HF!J918:J920)</f>
        <v>3.4003703703703709</v>
      </c>
      <c r="E57" s="166">
        <f>AVERAGE(HF!K15:K17,HF!K99:K101,HF!K206:K208,HF!K293:K295,HF!K386:K388,HF!K495:K497,HF!K603:K605,HF!K715:K717,HF!K825:K827,HF!K918:K920)</f>
        <v>26.956666666666671</v>
      </c>
      <c r="F57" s="166">
        <f>AVERAGE(HF!K15:K17,HF!K205:K208,HF!K292:K295,HF!K824:K827,HF!K917:K920)</f>
        <v>31.133333333333336</v>
      </c>
      <c r="G57" s="74">
        <f>AVERAGE(HF!K99:K101,HF!K386:K388,HF!K495:K497,HF!K603:K605,HF!K715:K717,)</f>
        <v>21.356249999999999</v>
      </c>
      <c r="H57">
        <f>STDEV(HF!K15:K17,HF!K205:K208,HF!K292:K295,HF!K824:K827,HF!K917:K920)/SQRT(5)</f>
        <v>0.67963575678797394</v>
      </c>
      <c r="I57">
        <f>STDEV(HF!K99:K101,HF!K386:K388,HF!K495:K497,HF!K603:K605,HF!K715:K717)/SQRT(5)</f>
        <v>1.2623334402152624</v>
      </c>
    </row>
    <row r="58" spans="1:9" ht="13.2">
      <c r="A58" s="167"/>
      <c r="B58" s="99">
        <v>3</v>
      </c>
      <c r="C58" s="164">
        <f>AVERAGE(HF!F19:F21,HF!F103:F105,HF!F210:F212,HF!F297:F299,HF!F390:F392,HF!F499:F501,HF!F607:F609,HF!F719:F721,HF!F829:F831,HF!F922:F924)</f>
        <v>5.9794444444444412</v>
      </c>
      <c r="D58" s="165">
        <f>AVERAGE(HF!J19:J21,HF!J103:J105,HF!J210:J212,HF!J297:J299,HF!J390:J392,HF!J499:J501,HF!J607:J609,HF!J719:J721,HF!J829:J831,HF!J922:J924)</f>
        <v>4.2735119047619055</v>
      </c>
      <c r="E58" s="166">
        <f>AVERAGE(HF!K19:K21,HF!K103:K105,HF!K210:K212,HF!K297:K299,HF!K390:K392,HF!K499:K501,HF!K607:K609,HF!K719:K721,HF!K829:K831,HF!K922:K924)</f>
        <v>28.933333333333337</v>
      </c>
      <c r="F58" s="166">
        <f>AVERAGE(HF!K19:K21,HF!K210:K212,HF!K297:K299,HF!K829:K831)</f>
        <v>34.116666666666667</v>
      </c>
      <c r="G58" s="74">
        <f>AVERAGE(HF!K103:K105,HF!K390:K392,HF!K499:K501,HF!K607:K609,HF!K719:K721,)</f>
        <v>22.475000000000001</v>
      </c>
      <c r="H58">
        <f>STDEV(HF!K19:K21,HF!K210:K212,HF!K297:K299,HF!K829:K831)/SQRT(5)</f>
        <v>0.89844984345934475</v>
      </c>
      <c r="I58">
        <f>STDEV(HF!K103:K105,HF!K390:K392,HF!K499:K501,HF!K607:K609,HF!K719:K721)/SQRT(5)</f>
        <v>1.3764827503113681</v>
      </c>
    </row>
    <row r="59" spans="1:9" ht="13.2">
      <c r="A59" s="167"/>
      <c r="B59" s="99">
        <v>4</v>
      </c>
      <c r="C59" s="164">
        <f>AVERAGE(HF!F23:F25,HF!F107:F109,HF!F214:F216,HF!F301:F303,HF!F394:F396,HF!F503:F505,HF!F611:F613,HF!F723:F725,HF!F833:F835,HF!F926:F928)</f>
        <v>6.4422222222222238</v>
      </c>
      <c r="D59" s="165">
        <f>AVERAGE(HF!J23:J25,HF!J107:J109,HF!J214:J216,HF!J301:J303,HF!J394:J396,HF!J503:J505,HF!J611:J613,HF!J723:J725,HF!J833:J835,HF!J926:J928)</f>
        <v>3.278333333333332</v>
      </c>
      <c r="E59" s="166">
        <f>AVERAGE(HF!K23:K25,HF!K107:K109,HF!K214:K216,HF!K301:K303,HF!K394:K396,HF!K503:K505,HF!K611:K613,HF!K723:K725,HF!K833:K835,HF!K926:K928)</f>
        <v>30.889999999999997</v>
      </c>
      <c r="F59" s="166">
        <f>AVERAGE(HF!K23:K25,HF!K214:K217,HF!K301:K303,HF!K829:K831,HF!K922:K924,)</f>
        <v>33.325000000000003</v>
      </c>
      <c r="G59" s="74">
        <f>AVERAGE(HF!K111:K113,HF!K398:K400,HF!K507:K509,HF!K615:K618,HF!K727:K729,)</f>
        <v>24.53125</v>
      </c>
      <c r="H59">
        <f>STDEV(HF!K23:K25,HF!K214:K217,HF!K301:K303,HF!K829:K831,HF!K922:K924)/SQRT(5)</f>
        <v>1.0731617727426697</v>
      </c>
      <c r="I59">
        <f>STDEV(HF!K111:K113,HF!K398:K400,HF!K507:K509,HF!K615:K618,HF!K727:K729)/SQRT(5)</f>
        <v>1.7498299237082358</v>
      </c>
    </row>
    <row r="60" spans="1:9" ht="13.2">
      <c r="A60" s="167"/>
      <c r="B60" s="99">
        <v>5</v>
      </c>
      <c r="C60" s="164">
        <f>AVERAGE(HF!F930:F932,HF!F837:F839,HF!F727:F729,HF!F615:F617,HF!F507:F509,HF!F398:F400,HF!F305:F307,HF!F218:F220,HF!F111:F113,HF!F27:F29)</f>
        <v>5.1377777777777824</v>
      </c>
      <c r="D60" s="165">
        <f>AVERAGE(HF!J930:J932,HF!J837:J839,HF!J727:J729,HF!J615:J617,HF!J507:J509,HF!J398:J400,HF!J305:J307,HF!J218:J220,HF!J111:J113,HF!J27:J29)</f>
        <v>3.5300000000000002</v>
      </c>
      <c r="E60" s="166">
        <f>AVERAGE(HF!K930:K932,HF!K837:K839,HF!K727:K729,HF!K615:K617,HF!K507:K509,HF!K398:K400,HF!K305:K307,HF!K218:K220,HF!K111:K113,HF!K27:K29)</f>
        <v>32.549999999999997</v>
      </c>
      <c r="F60" s="166">
        <f>AVERAGE(HF!K23:K25,HF!K214:K216,HF!K301:K303,HF!K833:K835,HF!K930:K932)</f>
        <v>37.200000000000003</v>
      </c>
      <c r="G60" s="74">
        <f>AVERAGE(HF!K115:K117,HF!K402:K404,HF!K511:K513,HF!K619:K621,HF!K731:K733,)</f>
        <v>26.53125</v>
      </c>
      <c r="H60">
        <f>STDEV(HF!K23:K25,HF!K214:K216,HF!K301:K303,HF!K833:K835,HF!K930:K932)/SQRT(5)</f>
        <v>0.98445053565065277</v>
      </c>
      <c r="I60">
        <f>STDEV(HF!K115:K117,HF!K402:K404,HF!K511:K513,HF!K619:K621,HF!K731:K733)/SQRT(5)</f>
        <v>2.0912743893206689</v>
      </c>
    </row>
    <row r="61" spans="1:9" ht="13.2">
      <c r="A61" s="167"/>
      <c r="B61" s="99">
        <v>6</v>
      </c>
      <c r="C61" s="164">
        <f>AVERAGE(HF!F31:F33,HF!F115:F117,HF!F222:F224,HF!F309:F311,HF!F402:F404,HF!F511:F513,HF!F619:F621,HF!F731:F733,HF!F841:F843,HF!F934:F936)</f>
        <v>4.9716666666666631</v>
      </c>
      <c r="D61" s="165">
        <f>AVERAGE(HF!J31:J33,HF!J115:J117,HF!J222:J224,HF!J309:J311,HF!J402:J404,HF!J511:J513,HF!J619:J621,HF!J731:J733,HF!J841:J843,HF!J934:J936)</f>
        <v>3.1077777777777786</v>
      </c>
      <c r="E61" s="166">
        <f>AVERAGE(HF!K31:K33,HF!K115:K117,HF!K222:K224,HF!K309:K311,HF!K402:K404,HF!K511:K513,HF!K619:K621,HF!K731:K733,HF!K841:K843,HF!K934:K936)</f>
        <v>34.956666666666663</v>
      </c>
      <c r="F61" s="166">
        <f>AVERAGE(HF!K31:K33,HF!K222:K225,HF!K309:K311,HF!K841:K843,HF!K934:K936)</f>
        <v>41.61333333333333</v>
      </c>
      <c r="G61" s="74">
        <f>AVERAGE(HF!K115:K117,HF!K402:K404,HF!K511:K513,HF!K619:K621,HF!K731:K733,)</f>
        <v>26.53125</v>
      </c>
      <c r="H61">
        <f>STDEV(HF!K31:K33,HF!K222:K225,HF!K309:K311,HF!K841:K843,HF!K934:K936)/SQRT(5)</f>
        <v>1.2731139177697521</v>
      </c>
      <c r="I61">
        <f>STDEV(HF!K115:K117,HF!K402:K404,HF!K511:K513,HF!K619:K621,HF!K731:K733)/SQRT(5)</f>
        <v>2.0912743893206689</v>
      </c>
    </row>
    <row r="62" spans="1:9" ht="13.2">
      <c r="A62" s="167"/>
      <c r="B62" s="99">
        <v>7</v>
      </c>
      <c r="C62" s="164">
        <f>AVERAGE(HF!F35:F37,HF!F119:F121,HF!F226:F228,HF!F313:F315,HF!F406:F408,HF!F515:F517,HF!F623:F625,HF!F735:F737,HF!F845:F847,HF!F938:F940)</f>
        <v>6.0644444444444447</v>
      </c>
      <c r="D62" s="165">
        <f>AVERAGE(HF!J35:J37,HF!J119:J121,HF!J226:J228,HF!J313:J315,HF!J406:J408,HF!J515:J517,HF!J623:J625,HF!J735:J737,HF!J845:J847,HF!J938:J940)</f>
        <v>3.3277777777777779</v>
      </c>
      <c r="E62" s="166">
        <f>AVERAGE(HF!K35:K37,HF!K119:K121,HF!K226:K228,HF!K313:K315,HF!K406:K408,HF!K515:K517,HF!K623:K625,HF!K735:K737,HF!K845:K847,HF!K938:K940)</f>
        <v>36.99</v>
      </c>
      <c r="F62" s="166">
        <f>AVERAGE(HF!K35:K37,HF!K226:K228,HF!K313:K315,HF!K845:K847,HF!K938:K940)</f>
        <v>43.853333333333332</v>
      </c>
      <c r="G62" s="74">
        <f>AVERAGE(HF!K119:K121,HF!K406:K408,HF!K515:K517,HF!K623:K625,HF!K735:K737)</f>
        <v>30.126666666666665</v>
      </c>
      <c r="H62">
        <f>STDEV(HF!K35:K37,HF!K226:K228,HF!K313:K315,HF!K845:K847,HF!K938:K940)/SQRT(5)</f>
        <v>1.2738991512749538</v>
      </c>
      <c r="I62">
        <f>STDEV(HF!K119:K121,HF!K406:K408,HF!K515:K517,HF!K623:K625,HF!K735:K737)/SQRT(5)</f>
        <v>2.2549923450403293</v>
      </c>
    </row>
    <row r="63" spans="1:9" ht="13.2">
      <c r="A63" s="167"/>
      <c r="B63" s="99">
        <v>8</v>
      </c>
      <c r="C63" s="164">
        <f>AVERAGE(HF!F942:F943,HF!F849:F850,HF!F739:F740,HF!F627:F628,HF!F519:F520,HF!F410:F411,HF!F317:F318,HF!F230:F231,HF!F123:F124,HF!F39:F40)</f>
        <v>6.8733333333333331</v>
      </c>
      <c r="D63" s="165">
        <f>AVERAGE(HF!J39:J40,HF!J123:J124,HF!J230:J231,HF!J317:J318,HF!J410:J411,HF!J519:J520,HF!J627:J628,HF!J739:J740,HF!J849:J850,HF!J942:J943)</f>
        <v>2.9208333333333329</v>
      </c>
      <c r="E63" s="166">
        <f>AVERAGE(HF!K39:K40,HF!K123:K124,HF!K230:K231,HF!K317:K318,HF!K410:K411,HF!K519:K520,HF!K627:K628,HF!K739:K740,HF!K849:K850,HF!K942:K943)</f>
        <v>37.880000000000003</v>
      </c>
      <c r="F63" s="166">
        <f>AVERAGE(HF!K39:K42,HF!K230:K233,HF!K317:K320,HF!K849:K852,HF!K942:K945)</f>
        <v>45.36</v>
      </c>
      <c r="G63" s="74">
        <f>AVERAGE(HF!K122:K126,HF!K409:K413,HF!K518:K522,HF!K626:K630,HF!K739:K742)</f>
        <v>31.226666666666667</v>
      </c>
      <c r="H63">
        <f>STDEV(HF!K39:K42,HF!K230:K233,HF!K317:K320,HF!K849:K852,HF!K942:K945)/SQRT(5)</f>
        <v>1.1355049223017166</v>
      </c>
      <c r="I63">
        <f>STDEV(HF!K122:K126,HF!K409:K413,HF!K518:K522,HF!K626:K630,HF!K739:K742)/SQRT(5)</f>
        <v>2.3533845940727693</v>
      </c>
    </row>
    <row r="64" spans="1:9" ht="13.2">
      <c r="A64" s="167"/>
      <c r="B64" s="99">
        <v>9</v>
      </c>
      <c r="C64" s="164">
        <f>AVERAGE(HF!F42:F46,HF!F126:F130,HF!F233:F237,HF!F320:F324,HF!F413:F417,HF!F522:F526,HF!F630:F634,HF!F742:F746,HF!F852:F856,HF!F945:F949)</f>
        <v>4.6962500000000009</v>
      </c>
      <c r="D64" s="165">
        <f>AVERAGE(HF!J42:J46,HF!J126:J130,HF!J233:J237,HF!J320:J324,HF!J413:J417,HF!J522:J526,HF!J630:J634,HF!J742:J746,HF!J852:J856,HF!J945:J949)</f>
        <v>4.0846250000000008</v>
      </c>
      <c r="E64" s="166">
        <f>AVERAGE(HF!K46,HF!K130,HF!K237,HF!K324,HF!K417,HF!K526,HF!K634,HF!K746,HF!K856,HF!K949)</f>
        <v>41.07</v>
      </c>
      <c r="F64" s="166">
        <f>AVERAGE(HF!K44:K46,HF!K235:K237,HF!K322:K324,HF!K854:K856,HF!K947:K949)</f>
        <v>48</v>
      </c>
      <c r="G64" s="74">
        <f>AVERAGE(HF!K128:K130,HF!K415:K417,HF!K524:K526,HF!K632:K634,HF!K744:K746,)</f>
        <v>30.881249999999998</v>
      </c>
      <c r="H64">
        <f>STDEV(HF!K44:K46,HF!K235:K237,HF!K322:K324,HF!K854:K856,HF!K947:K949)/SQRT(5)</f>
        <v>1.105699520019535</v>
      </c>
      <c r="I64">
        <f>STDEV(HF!K128:K130,HF!K415:K417,HF!K524:K526,HF!K632:K634,HF!K744:K746)/SQRT(5)</f>
        <v>2.7251631668056748</v>
      </c>
    </row>
    <row r="65" spans="1:9" ht="13.2">
      <c r="A65" s="167"/>
      <c r="B65" s="99">
        <v>10</v>
      </c>
      <c r="C65" s="164">
        <f>AVERAGE(HF!F48:F50,HF!F132:F134,HF!F239:F241,HF!F326:F328,HF!F419:F421,HF!F528:F530,HF!F636:F638,HF!F748:F750,HF!F858:F860,HF!F951:F953)</f>
        <v>5.6916666666666647</v>
      </c>
      <c r="D65" s="165">
        <f>AVERAGE(HF!J48:J50,HF!J132:J134,HF!J239:J241,HF!J326:J328,HF!J419:J421,HF!J528:J530,HF!J636:J638,HF!J748:J750,HF!J858:J860,HF!J951:J953)</f>
        <v>3.0849444444444449</v>
      </c>
      <c r="E65" s="190">
        <f>AVERAGE(HF!K50,HF!K134,HF!K241,HF!K328,HF!K421,HF!K530,HF!K638,HF!K750,HF!K860,HF!K953)</f>
        <v>42.289999999999992</v>
      </c>
      <c r="F65" s="166">
        <f>AVERAGE(HF!K48:K50,HF!K239:K241,HF!K326:K328,HF!K858:K860,HF!K951:K953,)</f>
        <v>46.374999999999993</v>
      </c>
      <c r="G65" s="74">
        <f>AVERAGE(HF!K132:K134,HF!K419:K421,HF!K528:K530,HF!K636:K638,HF!K748:K751,)</f>
        <v>32.037499999999994</v>
      </c>
      <c r="H65">
        <f>STDEV(HF!K48:K50,HF!K239:K241,HF!K326:K328,HF!K858:K860,HF!K951:K953)/SQRT(5)</f>
        <v>0.95433846446735315</v>
      </c>
      <c r="I65">
        <f>STDEV(HF!K132:K134,HF!K419:K421,HF!K528:K530,HF!K636:K638,HF!K748:K751)/SQRT(5)</f>
        <v>3.0160270303197048</v>
      </c>
    </row>
    <row r="66" spans="1:9" ht="13.2">
      <c r="A66" s="167"/>
      <c r="B66" s="99">
        <v>11</v>
      </c>
      <c r="C66" s="164">
        <f>AVERAGE(HF!F52:F54,HF!F136:F138,HF!F243:F245,HF!F330:F332,HF!F423:F425,HF!F532:F534,HF!F640:F642,HF!F752:F754,HF!F862:F864,HF!F956:F957)</f>
        <v>5.4195402298850581</v>
      </c>
      <c r="D66" s="165">
        <f>AVERAGE(HF!J52:J54,HF!J136:J138,HF!J243:J245,HF!J330:J332,HF!J423:J425,HF!J532:J534,HF!J641:J642,HF!J752:J754,HF!J863:J864,HF!J955:J957)</f>
        <v>2.9464285714285721</v>
      </c>
      <c r="E66" s="166">
        <f>AVERAGE(HF!K52:K54,HF!K136:K138,HF!K243:K245,HF!K330:K332,HF!K423:K425,HF!K532:K534,HF!K640:K642,HF!K752:K754,HF!K862:K864,HF!K955:K957)</f>
        <v>43.469999999999992</v>
      </c>
      <c r="F66" s="166">
        <f>AVERAGE(HF!K52:K56,HF!K243:K246,HF!K330:K334,HF!K862:K866,HF!K955:K957)</f>
        <v>50.68333333333333</v>
      </c>
      <c r="G66" s="74">
        <f>AVERAGE(HF!K136:K140,HF!K423:K427,HF!K532:K536,HF!K640:K644,HF!K752:K756,)</f>
        <v>34.790476190476191</v>
      </c>
      <c r="H66">
        <f>STDEV(HF!K52:K56,HF!K243:K246,HF!K330:K334,HF!K862:K866,HF!K955:K957)/SQRT(5)</f>
        <v>0.97077894739527681</v>
      </c>
      <c r="I66">
        <f>STDEV(HF!K136:K140,HF!K423:K427,HF!K532:K536,HF!K640:K644,HF!K752:K756)/SQRT(5)</f>
        <v>3.1192475475918759</v>
      </c>
    </row>
    <row r="67" spans="1:9" ht="13.2">
      <c r="A67" s="167"/>
      <c r="B67" s="99"/>
      <c r="C67" s="160"/>
      <c r="D67" s="160"/>
      <c r="E67" s="160"/>
      <c r="F67" s="160"/>
    </row>
    <row r="68" spans="1:9" ht="13.2">
      <c r="A68" s="167"/>
      <c r="B68" s="160"/>
      <c r="C68" s="160"/>
      <c r="D68" s="160"/>
      <c r="E68" s="160"/>
      <c r="F68" s="160"/>
    </row>
    <row r="69" spans="1:9" ht="13.2">
      <c r="A69" s="6" t="s">
        <v>351</v>
      </c>
      <c r="B69">
        <f>6*8*7*30</f>
        <v>10080</v>
      </c>
      <c r="C69" s="160"/>
      <c r="D69" s="160"/>
      <c r="E69" s="160"/>
      <c r="F69" s="160"/>
    </row>
    <row r="70" spans="1:9" ht="13.2">
      <c r="A70" s="6" t="s">
        <v>352</v>
      </c>
      <c r="B70">
        <f>B69/1000</f>
        <v>10.08</v>
      </c>
      <c r="C70" s="160"/>
      <c r="D70" s="160"/>
      <c r="E70" s="160"/>
      <c r="F70" s="160"/>
    </row>
    <row r="71" spans="1:9" ht="13.2">
      <c r="A71" s="167"/>
      <c r="B71" s="160"/>
      <c r="C71" s="160"/>
      <c r="D71" s="160"/>
      <c r="E71" s="160"/>
      <c r="F71" s="160"/>
    </row>
    <row r="72" spans="1:9" ht="13.2">
      <c r="A72" s="160"/>
      <c r="B72" s="160"/>
      <c r="C72" s="160"/>
      <c r="D72" s="160"/>
      <c r="E72" s="160"/>
      <c r="F72" s="160"/>
    </row>
    <row r="73" spans="1:9" ht="13.2">
      <c r="A73" s="160"/>
      <c r="B73" s="160"/>
      <c r="C73" s="160"/>
      <c r="D73" s="160"/>
      <c r="E73" s="160"/>
      <c r="F73" s="160"/>
    </row>
    <row r="74" spans="1:9" ht="13.2">
      <c r="A74" s="160"/>
      <c r="B74" s="160"/>
      <c r="C74" s="160"/>
      <c r="D74" s="160"/>
      <c r="E74" s="160"/>
      <c r="F74" s="160"/>
    </row>
    <row r="75" spans="1:9" ht="13.2">
      <c r="A75" s="160"/>
      <c r="B75" s="160"/>
      <c r="C75" s="160"/>
      <c r="D75" s="160"/>
      <c r="E75" s="160"/>
      <c r="F75" s="160"/>
    </row>
    <row r="76" spans="1:9" ht="13.2">
      <c r="A76" s="160"/>
      <c r="B76" s="160"/>
      <c r="C76" s="160"/>
      <c r="D76" s="160"/>
      <c r="E76" s="160"/>
      <c r="F76" s="160"/>
    </row>
    <row r="77" spans="1:9" ht="13.2">
      <c r="A77" s="160"/>
      <c r="B77" s="160"/>
      <c r="C77" s="160"/>
      <c r="D77" s="160"/>
      <c r="E77" s="160"/>
      <c r="F77" s="160"/>
    </row>
    <row r="78" spans="1:9" ht="13.2">
      <c r="A78" s="160"/>
      <c r="B78" s="160"/>
      <c r="C78" s="160"/>
      <c r="D78" s="160"/>
      <c r="E78" s="160"/>
      <c r="F78" s="160"/>
    </row>
    <row r="79" spans="1:9" ht="13.2">
      <c r="A79" s="160"/>
      <c r="B79" s="160"/>
      <c r="C79" s="160"/>
      <c r="D79" s="160"/>
      <c r="E79" s="160"/>
      <c r="F79" s="160"/>
    </row>
    <row r="80" spans="1:9" ht="13.2">
      <c r="A80" s="160"/>
      <c r="B80" s="160"/>
      <c r="C80" s="160"/>
      <c r="D80" s="160"/>
      <c r="E80" s="160"/>
      <c r="F80" s="160"/>
    </row>
    <row r="81" spans="1:6" ht="13.2">
      <c r="A81" s="160"/>
      <c r="B81" s="160"/>
      <c r="C81" s="160"/>
      <c r="D81" s="160"/>
      <c r="E81" s="160"/>
      <c r="F81" s="160"/>
    </row>
    <row r="82" spans="1:6" ht="13.2">
      <c r="A82" s="160"/>
      <c r="B82" s="160"/>
      <c r="C82" s="160"/>
      <c r="D82" s="160"/>
      <c r="E82" s="160"/>
      <c r="F82" s="160"/>
    </row>
    <row r="83" spans="1:6" ht="13.2">
      <c r="A83" s="160"/>
      <c r="B83" s="160"/>
      <c r="C83" s="160"/>
      <c r="D83" s="160"/>
      <c r="E83" s="160"/>
      <c r="F83" s="160"/>
    </row>
    <row r="84" spans="1:6" ht="13.2">
      <c r="A84" s="160"/>
      <c r="B84" s="160"/>
      <c r="C84" s="160"/>
      <c r="D84" s="160"/>
      <c r="E84" s="160"/>
      <c r="F84" s="160"/>
    </row>
    <row r="85" spans="1:6" ht="13.2">
      <c r="A85" s="160"/>
      <c r="B85" s="160"/>
      <c r="C85" s="160"/>
      <c r="D85" s="160"/>
      <c r="E85" s="160"/>
      <c r="F85" s="160"/>
    </row>
    <row r="86" spans="1:6" ht="13.2">
      <c r="A86" s="160"/>
      <c r="B86" s="160"/>
      <c r="C86" s="160"/>
      <c r="D86" s="160"/>
      <c r="E86" s="160"/>
      <c r="F86" s="160"/>
    </row>
    <row r="87" spans="1:6" ht="13.2">
      <c r="A87" s="160"/>
      <c r="B87" s="160"/>
      <c r="C87" s="160"/>
      <c r="D87" s="160"/>
      <c r="E87" s="160"/>
      <c r="F87" s="160"/>
    </row>
    <row r="88" spans="1:6" ht="13.2">
      <c r="A88" s="160"/>
      <c r="B88" s="160"/>
      <c r="C88" s="160"/>
      <c r="D88" s="160"/>
      <c r="E88" s="160"/>
      <c r="F88" s="160"/>
    </row>
    <row r="89" spans="1:6" ht="13.2">
      <c r="A89" s="160"/>
      <c r="B89" s="160"/>
      <c r="C89" s="160"/>
      <c r="D89" s="160"/>
      <c r="E89" s="160"/>
      <c r="F89" s="160"/>
    </row>
    <row r="90" spans="1:6" ht="13.2">
      <c r="A90" s="160"/>
      <c r="B90" s="160"/>
      <c r="C90" s="160"/>
      <c r="D90" s="160"/>
      <c r="E90" s="160"/>
      <c r="F90" s="160"/>
    </row>
    <row r="91" spans="1:6" ht="13.2">
      <c r="A91" s="160"/>
      <c r="B91" s="160"/>
      <c r="C91" s="160"/>
      <c r="D91" s="160"/>
      <c r="E91" s="160"/>
      <c r="F91" s="160"/>
    </row>
    <row r="92" spans="1:6" ht="13.2">
      <c r="A92" s="160"/>
      <c r="B92" s="160"/>
      <c r="C92" s="160"/>
      <c r="D92" s="160"/>
      <c r="E92" s="160"/>
      <c r="F92" s="160"/>
    </row>
    <row r="93" spans="1:6" ht="13.2">
      <c r="A93" s="160"/>
      <c r="B93" s="160"/>
      <c r="C93" s="160"/>
      <c r="D93" s="160"/>
      <c r="E93" s="160"/>
      <c r="F93" s="160"/>
    </row>
    <row r="94" spans="1:6" ht="13.2">
      <c r="A94" s="160"/>
      <c r="B94" s="160"/>
      <c r="C94" s="160"/>
      <c r="D94" s="160"/>
      <c r="E94" s="160"/>
      <c r="F94" s="160"/>
    </row>
    <row r="95" spans="1:6" ht="13.2">
      <c r="A95" s="160"/>
      <c r="B95" s="160"/>
      <c r="C95" s="160"/>
      <c r="D95" s="160"/>
      <c r="E95" s="160"/>
      <c r="F95" s="160"/>
    </row>
    <row r="96" spans="1:6" ht="13.2">
      <c r="A96" s="160"/>
      <c r="B96" s="160"/>
      <c r="C96" s="160"/>
      <c r="D96" s="160"/>
      <c r="E96" s="160"/>
      <c r="F96" s="160"/>
    </row>
    <row r="97" spans="1:6" ht="13.2">
      <c r="A97" s="160"/>
      <c r="B97" s="160"/>
      <c r="C97" s="160"/>
      <c r="D97" s="160"/>
      <c r="E97" s="160"/>
      <c r="F97" s="16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7"/>
  <sheetViews>
    <sheetView workbookViewId="0"/>
  </sheetViews>
  <sheetFormatPr defaultColWidth="14.44140625" defaultRowHeight="15.75" customHeight="1"/>
  <sheetData>
    <row r="1" spans="1:8" ht="15.75" customHeight="1">
      <c r="A1" s="152" t="s">
        <v>3</v>
      </c>
      <c r="B1" s="152" t="s">
        <v>102</v>
      </c>
      <c r="C1" s="152" t="s">
        <v>103</v>
      </c>
      <c r="D1" s="152" t="s">
        <v>104</v>
      </c>
      <c r="E1" s="152" t="s">
        <v>105</v>
      </c>
      <c r="F1" s="152" t="s">
        <v>106</v>
      </c>
      <c r="H1" s="153" t="s">
        <v>107</v>
      </c>
    </row>
    <row r="2" spans="1:8" ht="15.75" customHeight="1">
      <c r="A2" s="154">
        <v>42992</v>
      </c>
      <c r="B2" s="6">
        <v>361.9</v>
      </c>
      <c r="C2" s="6">
        <v>359.5</v>
      </c>
      <c r="D2" s="6">
        <v>351.7</v>
      </c>
      <c r="E2" s="6">
        <v>356.8</v>
      </c>
      <c r="F2" s="6">
        <v>353.6</v>
      </c>
      <c r="H2" s="22">
        <f>AVERAGE(B15:F15,B27:F27)</f>
        <v>2.6061851851851854</v>
      </c>
    </row>
    <row r="3" spans="1:8" ht="15.75" customHeight="1">
      <c r="A3" s="154">
        <v>42993</v>
      </c>
      <c r="B3" s="6">
        <v>356.6</v>
      </c>
      <c r="C3" s="6">
        <v>355.8</v>
      </c>
      <c r="D3" s="6">
        <v>347</v>
      </c>
      <c r="E3" s="6">
        <v>353.1</v>
      </c>
      <c r="F3" s="6">
        <v>350</v>
      </c>
    </row>
    <row r="4" spans="1:8" ht="15.75" customHeight="1">
      <c r="A4" s="154">
        <v>42996</v>
      </c>
      <c r="B4" s="6">
        <v>352.1</v>
      </c>
      <c r="C4" s="6">
        <v>351.6</v>
      </c>
      <c r="D4" s="6">
        <v>342</v>
      </c>
      <c r="E4" s="6">
        <v>347.8</v>
      </c>
      <c r="F4" s="6">
        <v>344.7</v>
      </c>
      <c r="H4" s="6" t="s">
        <v>108</v>
      </c>
    </row>
    <row r="5" spans="1:8" ht="15.75" customHeight="1">
      <c r="A5" s="154">
        <v>42998</v>
      </c>
      <c r="B5" s="6">
        <v>346.5</v>
      </c>
      <c r="C5" s="6">
        <v>348.2</v>
      </c>
      <c r="D5" s="6">
        <v>336</v>
      </c>
      <c r="E5" s="6">
        <v>341.4</v>
      </c>
      <c r="F5" s="6">
        <v>341.7</v>
      </c>
      <c r="H5">
        <f>2.61*40</f>
        <v>104.39999999999999</v>
      </c>
    </row>
    <row r="6" spans="1:8" ht="15.75" customHeight="1">
      <c r="A6" s="154">
        <v>43000</v>
      </c>
      <c r="B6" s="6">
        <v>338.2</v>
      </c>
      <c r="C6" s="6">
        <v>339.5</v>
      </c>
      <c r="D6" s="6">
        <v>328.6</v>
      </c>
      <c r="E6" s="6">
        <v>336.4</v>
      </c>
      <c r="F6" s="6">
        <v>334.4</v>
      </c>
    </row>
    <row r="7" spans="1:8" ht="15.75" customHeight="1">
      <c r="A7" s="154">
        <v>43003</v>
      </c>
      <c r="B7" s="6">
        <v>332.8</v>
      </c>
      <c r="C7" s="6">
        <v>332.9</v>
      </c>
      <c r="D7" s="6">
        <v>321.39999999999998</v>
      </c>
      <c r="E7" s="6">
        <v>329.9</v>
      </c>
      <c r="F7" s="6">
        <v>328.7</v>
      </c>
    </row>
    <row r="8" spans="1:8" ht="15.75" customHeight="1">
      <c r="A8" s="154">
        <v>43005</v>
      </c>
      <c r="B8" s="6">
        <v>329.1</v>
      </c>
      <c r="C8" s="6">
        <v>326.10000000000002</v>
      </c>
      <c r="D8" s="6">
        <v>317.2</v>
      </c>
      <c r="E8" s="6">
        <v>325.2</v>
      </c>
      <c r="F8" s="6">
        <v>325.8</v>
      </c>
    </row>
    <row r="9" spans="1:8" ht="15.75" customHeight="1">
      <c r="A9" s="154">
        <v>43007</v>
      </c>
      <c r="B9" s="6">
        <v>325</v>
      </c>
      <c r="C9" s="6">
        <v>321.2</v>
      </c>
      <c r="D9" s="6">
        <v>312.60000000000002</v>
      </c>
      <c r="E9" s="6">
        <v>322.3</v>
      </c>
      <c r="F9" s="6">
        <v>322.2</v>
      </c>
    </row>
    <row r="10" spans="1:8" ht="15.75" customHeight="1">
      <c r="A10" s="154">
        <v>43010</v>
      </c>
      <c r="B10" s="6">
        <v>316.3</v>
      </c>
      <c r="C10" s="6">
        <v>312.7</v>
      </c>
      <c r="D10" s="6">
        <v>304.39999999999998</v>
      </c>
      <c r="E10" s="6">
        <v>315.10000000000002</v>
      </c>
      <c r="F10" s="6">
        <v>315.89999999999998</v>
      </c>
    </row>
    <row r="11" spans="1:8" ht="15.75" customHeight="1">
      <c r="A11" s="154">
        <v>43012</v>
      </c>
      <c r="B11" s="6">
        <v>306.3</v>
      </c>
      <c r="C11" s="6">
        <v>301.5</v>
      </c>
      <c r="D11" s="6">
        <v>294.2</v>
      </c>
      <c r="E11" s="6">
        <v>305.60000000000002</v>
      </c>
      <c r="F11" s="6">
        <v>305.39999999999998</v>
      </c>
    </row>
    <row r="12" spans="1:8" ht="15.75" customHeight="1">
      <c r="A12" s="154">
        <v>43014</v>
      </c>
      <c r="B12" s="6">
        <v>299.7</v>
      </c>
      <c r="C12" s="6">
        <v>294.5</v>
      </c>
      <c r="D12" s="6">
        <v>288.39999999999998</v>
      </c>
      <c r="E12" s="6">
        <v>298</v>
      </c>
      <c r="F12" s="6">
        <v>298.8</v>
      </c>
    </row>
    <row r="13" spans="1:8" ht="15.75" customHeight="1">
      <c r="A13" s="154">
        <v>43017</v>
      </c>
      <c r="B13" s="6">
        <v>291</v>
      </c>
      <c r="C13" s="6">
        <v>288.7</v>
      </c>
      <c r="D13" s="6">
        <v>280.3</v>
      </c>
      <c r="E13" s="6">
        <v>291.10000000000002</v>
      </c>
      <c r="F13" s="6">
        <v>340.3</v>
      </c>
    </row>
    <row r="14" spans="1:8" ht="15.75" customHeight="1">
      <c r="A14" s="154">
        <v>43019</v>
      </c>
      <c r="B14" s="6">
        <v>285.8</v>
      </c>
      <c r="C14" s="6">
        <v>284.8</v>
      </c>
      <c r="D14" s="6">
        <v>276</v>
      </c>
      <c r="E14" s="6">
        <v>286.89999999999998</v>
      </c>
      <c r="F14" s="6">
        <v>335.4</v>
      </c>
    </row>
    <row r="15" spans="1:8" ht="15.75" customHeight="1">
      <c r="A15" s="6" t="s">
        <v>109</v>
      </c>
      <c r="B15">
        <f>(B2-B14)/(A14-A2)</f>
        <v>2.8185185185185171</v>
      </c>
      <c r="C15">
        <f>(C2-C14)/(A14-A2)</f>
        <v>2.7666666666666662</v>
      </c>
      <c r="D15">
        <f>(D2-D14)/(A14-A2)</f>
        <v>2.8037037037037034</v>
      </c>
      <c r="E15">
        <f>(E2-E14)/(A14-A2)</f>
        <v>2.5888888888888903</v>
      </c>
      <c r="F15">
        <f>(F2-F14)/(A14-A2)</f>
        <v>0.67407407407407571</v>
      </c>
    </row>
    <row r="17" spans="1:6" ht="15.75" customHeight="1">
      <c r="A17" s="154">
        <v>43020</v>
      </c>
      <c r="B17" s="6">
        <v>397</v>
      </c>
      <c r="C17" s="6">
        <v>387.5</v>
      </c>
      <c r="D17" s="6">
        <v>401</v>
      </c>
      <c r="E17" s="6">
        <v>370.7</v>
      </c>
      <c r="F17" s="6">
        <v>390.1</v>
      </c>
    </row>
    <row r="18" spans="1:6" ht="15.75" customHeight="1">
      <c r="A18" s="154">
        <v>43021</v>
      </c>
      <c r="B18" s="6">
        <v>394.4</v>
      </c>
      <c r="C18" s="6">
        <v>384.8</v>
      </c>
      <c r="D18" s="6">
        <v>399.3</v>
      </c>
      <c r="E18" s="6">
        <v>366.7</v>
      </c>
      <c r="F18" s="6">
        <v>387.3</v>
      </c>
    </row>
    <row r="19" spans="1:6" ht="15.75" customHeight="1">
      <c r="A19" s="154">
        <v>43024</v>
      </c>
      <c r="B19" s="6">
        <v>387.3</v>
      </c>
      <c r="C19" s="6">
        <v>378.2</v>
      </c>
      <c r="D19" s="6">
        <v>393.3</v>
      </c>
      <c r="E19" s="6">
        <v>358</v>
      </c>
      <c r="F19" s="6">
        <v>379</v>
      </c>
    </row>
    <row r="20" spans="1:6" ht="15.75" customHeight="1">
      <c r="A20" s="154">
        <v>43026</v>
      </c>
      <c r="B20" s="6">
        <v>380.8</v>
      </c>
      <c r="C20" s="6">
        <v>373.2</v>
      </c>
      <c r="D20" s="6">
        <v>387.3</v>
      </c>
      <c r="E20" s="6">
        <v>353</v>
      </c>
      <c r="F20" s="6">
        <v>372</v>
      </c>
    </row>
    <row r="21" spans="1:6" ht="15.75" customHeight="1">
      <c r="A21" s="154">
        <v>43028</v>
      </c>
      <c r="B21" s="6">
        <v>373.9</v>
      </c>
      <c r="C21" s="6">
        <v>367.9</v>
      </c>
      <c r="D21" s="6">
        <v>380.8</v>
      </c>
      <c r="E21" s="6">
        <v>344.9</v>
      </c>
      <c r="F21" s="6">
        <v>365.6</v>
      </c>
    </row>
    <row r="22" spans="1:6" ht="15.75" customHeight="1">
      <c r="A22" s="154">
        <v>43031</v>
      </c>
      <c r="B22" s="6">
        <v>367.3</v>
      </c>
      <c r="C22" s="6">
        <v>360.9</v>
      </c>
      <c r="D22" s="6">
        <v>376.1</v>
      </c>
      <c r="E22" s="6">
        <v>339.6</v>
      </c>
      <c r="F22" s="6">
        <v>358.7</v>
      </c>
    </row>
    <row r="23" spans="1:6" ht="15.75" customHeight="1">
      <c r="A23" s="154">
        <v>43033</v>
      </c>
      <c r="B23" s="6">
        <v>361.5</v>
      </c>
      <c r="C23" s="6">
        <v>355.6</v>
      </c>
      <c r="D23" s="6">
        <v>367.3</v>
      </c>
      <c r="E23" s="6">
        <v>332.1</v>
      </c>
      <c r="F23" s="6">
        <v>354.5</v>
      </c>
    </row>
    <row r="24" spans="1:6" ht="15.75" customHeight="1">
      <c r="A24" s="154">
        <v>43035</v>
      </c>
      <c r="B24" s="6">
        <v>357.1</v>
      </c>
      <c r="C24" s="6">
        <v>352.3</v>
      </c>
      <c r="D24" s="6">
        <v>363.5</v>
      </c>
      <c r="E24" s="6">
        <v>327.2</v>
      </c>
      <c r="F24" s="6">
        <v>347.9</v>
      </c>
    </row>
    <row r="25" spans="1:6" ht="15.75" customHeight="1">
      <c r="A25" s="154">
        <v>43038</v>
      </c>
      <c r="B25" s="6">
        <v>345.5</v>
      </c>
      <c r="C25" s="6">
        <v>339.2</v>
      </c>
      <c r="D25" s="6">
        <v>349.9</v>
      </c>
      <c r="E25" s="6">
        <v>313.8</v>
      </c>
      <c r="F25" s="6">
        <v>337</v>
      </c>
    </row>
    <row r="26" spans="1:6" ht="15.75" customHeight="1">
      <c r="A26" s="154">
        <v>43040</v>
      </c>
      <c r="B26" s="6">
        <v>340.4</v>
      </c>
      <c r="C26" s="6">
        <v>336.5</v>
      </c>
      <c r="D26" s="6">
        <v>345.7</v>
      </c>
      <c r="E26" s="6">
        <v>307</v>
      </c>
      <c r="F26" s="6">
        <v>328.5</v>
      </c>
    </row>
    <row r="27" spans="1:6" ht="15.75" customHeight="1">
      <c r="A27" s="6" t="s">
        <v>110</v>
      </c>
      <c r="B27">
        <f>(B17-B26)/(A26-A17)</f>
        <v>2.830000000000001</v>
      </c>
      <c r="C27">
        <f>(C17-C26)/(A26-A17)</f>
        <v>2.5499999999999998</v>
      </c>
      <c r="D27">
        <f>(D17-D26)/(A26-A17)</f>
        <v>2.7650000000000006</v>
      </c>
      <c r="E27">
        <f>(E17-E26)/(A26-A17)</f>
        <v>3.1849999999999996</v>
      </c>
      <c r="F27">
        <f>(F17-F26)/(A26-A17)</f>
        <v>3.080000000000001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1"/>
  <sheetViews>
    <sheetView workbookViewId="0"/>
  </sheetViews>
  <sheetFormatPr defaultColWidth="14.44140625" defaultRowHeight="15.75" customHeight="1"/>
  <sheetData>
    <row r="1" spans="1:2" ht="15.75" customHeight="1">
      <c r="A1" s="6" t="s">
        <v>111</v>
      </c>
      <c r="B1" s="6" t="s">
        <v>112</v>
      </c>
    </row>
    <row r="2" spans="1:2" ht="15.75" customHeight="1">
      <c r="A2" s="6" t="s">
        <v>113</v>
      </c>
      <c r="B2" s="6" t="s">
        <v>114</v>
      </c>
    </row>
    <row r="3" spans="1:2" ht="15.75" customHeight="1">
      <c r="A3" s="6" t="s">
        <v>115</v>
      </c>
      <c r="B3" s="6" t="s">
        <v>116</v>
      </c>
    </row>
    <row r="4" spans="1:2" ht="15.75" customHeight="1">
      <c r="A4" s="6" t="s">
        <v>117</v>
      </c>
      <c r="B4" s="6" t="s">
        <v>118</v>
      </c>
    </row>
    <row r="5" spans="1:2" ht="15.75" customHeight="1">
      <c r="A5" s="6" t="s">
        <v>119</v>
      </c>
      <c r="B5" s="6" t="s">
        <v>120</v>
      </c>
    </row>
    <row r="6" spans="1:2" ht="15.75" customHeight="1">
      <c r="A6" s="6" t="s">
        <v>121</v>
      </c>
      <c r="B6" s="6" t="s">
        <v>122</v>
      </c>
    </row>
    <row r="7" spans="1:2" ht="15.75" customHeight="1">
      <c r="A7" s="6" t="s">
        <v>123</v>
      </c>
      <c r="B7" s="6" t="s">
        <v>124</v>
      </c>
    </row>
    <row r="8" spans="1:2" ht="15.75" customHeight="1">
      <c r="A8" s="6" t="s">
        <v>125</v>
      </c>
      <c r="B8" s="6" t="s">
        <v>126</v>
      </c>
    </row>
    <row r="9" spans="1:2" ht="15.75" customHeight="1">
      <c r="A9" s="6" t="s">
        <v>127</v>
      </c>
      <c r="B9" s="6" t="s">
        <v>128</v>
      </c>
    </row>
    <row r="10" spans="1:2" ht="15.75" customHeight="1">
      <c r="A10" s="6" t="s">
        <v>129</v>
      </c>
      <c r="B10" s="6" t="s">
        <v>130</v>
      </c>
    </row>
    <row r="11" spans="1:2" ht="15.75" customHeight="1">
      <c r="A11" s="6" t="s">
        <v>131</v>
      </c>
      <c r="B11" s="6" t="s">
        <v>29</v>
      </c>
    </row>
    <row r="12" spans="1:2" ht="15.75" customHeight="1">
      <c r="A12" s="6" t="s">
        <v>20</v>
      </c>
      <c r="B12" s="6" t="s">
        <v>66</v>
      </c>
    </row>
    <row r="13" spans="1:2" ht="15.75" customHeight="1">
      <c r="A13" s="6" t="s">
        <v>47</v>
      </c>
      <c r="B13" s="6" t="s">
        <v>72</v>
      </c>
    </row>
    <row r="14" spans="1:2" ht="15.75" customHeight="1">
      <c r="A14" s="6" t="s">
        <v>58</v>
      </c>
      <c r="B14" s="6" t="s">
        <v>79</v>
      </c>
    </row>
    <row r="15" spans="1:2" ht="15.75" customHeight="1">
      <c r="A15" s="6" t="s">
        <v>90</v>
      </c>
      <c r="B15" s="6" t="s">
        <v>83</v>
      </c>
    </row>
    <row r="16" spans="1:2" ht="15.75" customHeight="1">
      <c r="A16" s="6" t="s">
        <v>93</v>
      </c>
      <c r="B16" s="6" t="s">
        <v>55</v>
      </c>
    </row>
    <row r="17" spans="1:2" ht="15.75" customHeight="1">
      <c r="A17" s="6" t="s">
        <v>41</v>
      </c>
      <c r="B17" s="6" t="s">
        <v>61</v>
      </c>
    </row>
    <row r="18" spans="1:2" ht="15.75" customHeight="1">
      <c r="A18" s="6" t="s">
        <v>74</v>
      </c>
      <c r="B18" s="6" t="s">
        <v>69</v>
      </c>
    </row>
    <row r="19" spans="1:2" ht="15.75" customHeight="1">
      <c r="A19" s="6" t="s">
        <v>84</v>
      </c>
      <c r="B19" s="6" t="s">
        <v>78</v>
      </c>
    </row>
    <row r="20" spans="1:2" ht="15.75" customHeight="1">
      <c r="A20" s="6" t="s">
        <v>95</v>
      </c>
      <c r="B20" s="6" t="s">
        <v>89</v>
      </c>
    </row>
    <row r="21" spans="1:2" ht="15.75" customHeight="1">
      <c r="A21" s="6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89"/>
  <sheetViews>
    <sheetView workbookViewId="0"/>
  </sheetViews>
  <sheetFormatPr defaultColWidth="14.44140625" defaultRowHeight="15.75" customHeight="1"/>
  <cols>
    <col min="5" max="5" width="17.109375" customWidth="1"/>
  </cols>
  <sheetData>
    <row r="1" spans="1:7" ht="15.75" customHeight="1">
      <c r="A1" s="6" t="s">
        <v>132</v>
      </c>
      <c r="E1" s="68" t="s">
        <v>133</v>
      </c>
      <c r="F1" s="7"/>
      <c r="G1" s="155"/>
    </row>
    <row r="2" spans="1:7" ht="15.75" customHeight="1">
      <c r="A2" s="156" t="s">
        <v>134</v>
      </c>
      <c r="B2" s="6" t="s">
        <v>1</v>
      </c>
      <c r="C2" s="6" t="s">
        <v>135</v>
      </c>
      <c r="E2" s="68" t="s">
        <v>136</v>
      </c>
      <c r="F2" s="68" t="s">
        <v>137</v>
      </c>
      <c r="G2" s="155"/>
    </row>
    <row r="3" spans="1:7" ht="15.75" customHeight="1">
      <c r="A3" s="156" t="s">
        <v>138</v>
      </c>
      <c r="B3" s="6">
        <v>0</v>
      </c>
      <c r="E3" s="36" t="s">
        <v>139</v>
      </c>
      <c r="F3" s="36" t="s">
        <v>140</v>
      </c>
      <c r="G3" s="155"/>
    </row>
    <row r="4" spans="1:7" ht="15.75" customHeight="1">
      <c r="A4" s="157">
        <v>43463</v>
      </c>
      <c r="B4" s="6">
        <v>0.5</v>
      </c>
      <c r="C4" s="6" t="s">
        <v>141</v>
      </c>
      <c r="E4" s="153" t="s">
        <v>142</v>
      </c>
      <c r="F4" s="153" t="s">
        <v>143</v>
      </c>
      <c r="G4" s="155"/>
    </row>
    <row r="5" spans="1:7" ht="15.75" customHeight="1">
      <c r="A5" s="156" t="s">
        <v>144</v>
      </c>
      <c r="B5" s="6">
        <v>1</v>
      </c>
      <c r="C5" s="6" t="s">
        <v>145</v>
      </c>
      <c r="E5" s="153" t="s">
        <v>146</v>
      </c>
      <c r="F5" s="153" t="s">
        <v>147</v>
      </c>
      <c r="G5" s="155"/>
    </row>
    <row r="6" spans="1:7" ht="15.75" customHeight="1">
      <c r="A6" s="156" t="s">
        <v>148</v>
      </c>
      <c r="B6" s="6">
        <v>2</v>
      </c>
      <c r="E6" s="153" t="s">
        <v>149</v>
      </c>
      <c r="F6" s="153" t="s">
        <v>150</v>
      </c>
      <c r="G6" s="155"/>
    </row>
    <row r="7" spans="1:7" ht="15.75" customHeight="1">
      <c r="A7" s="156" t="s">
        <v>151</v>
      </c>
      <c r="B7" s="6">
        <v>3</v>
      </c>
      <c r="E7" s="6" t="s">
        <v>152</v>
      </c>
      <c r="F7" s="6" t="s">
        <v>153</v>
      </c>
    </row>
    <row r="8" spans="1:7" ht="15.75" customHeight="1">
      <c r="A8" s="156" t="s">
        <v>154</v>
      </c>
      <c r="B8" s="6">
        <v>4</v>
      </c>
      <c r="E8" s="6" t="s">
        <v>155</v>
      </c>
      <c r="F8" s="6" t="s">
        <v>156</v>
      </c>
    </row>
    <row r="9" spans="1:7" ht="15.75" customHeight="1">
      <c r="A9" s="156" t="s">
        <v>157</v>
      </c>
      <c r="B9" s="6">
        <v>5</v>
      </c>
      <c r="E9" s="6" t="s">
        <v>158</v>
      </c>
      <c r="F9" s="6" t="s">
        <v>159</v>
      </c>
    </row>
    <row r="10" spans="1:7" ht="15.75" customHeight="1">
      <c r="A10" s="156" t="s">
        <v>160</v>
      </c>
      <c r="B10" s="6">
        <v>6</v>
      </c>
      <c r="E10" s="6" t="s">
        <v>161</v>
      </c>
      <c r="F10" s="6" t="s">
        <v>162</v>
      </c>
    </row>
    <row r="11" spans="1:7" ht="15.75" customHeight="1">
      <c r="A11" s="156" t="s">
        <v>163</v>
      </c>
      <c r="B11" s="6">
        <v>7</v>
      </c>
      <c r="E11" s="6" t="s">
        <v>164</v>
      </c>
      <c r="F11" s="6" t="s">
        <v>165</v>
      </c>
    </row>
    <row r="12" spans="1:7" ht="15.75" customHeight="1">
      <c r="A12" s="158"/>
      <c r="B12" s="6">
        <v>8</v>
      </c>
      <c r="E12" s="6" t="s">
        <v>166</v>
      </c>
      <c r="F12" s="6" t="s">
        <v>167</v>
      </c>
    </row>
    <row r="13" spans="1:7" ht="15.75" customHeight="1">
      <c r="A13" s="156" t="s">
        <v>168</v>
      </c>
      <c r="B13" s="6">
        <v>9</v>
      </c>
    </row>
    <row r="14" spans="1:7" ht="15.75" customHeight="1">
      <c r="A14" s="156" t="s">
        <v>169</v>
      </c>
      <c r="B14" s="6">
        <v>10</v>
      </c>
      <c r="E14" s="6" t="s">
        <v>170</v>
      </c>
      <c r="F14" s="6" t="s">
        <v>171</v>
      </c>
    </row>
    <row r="15" spans="1:7" ht="15.75" customHeight="1">
      <c r="A15" s="156" t="s">
        <v>172</v>
      </c>
      <c r="B15" s="6">
        <v>11</v>
      </c>
      <c r="E15" s="6" t="s">
        <v>173</v>
      </c>
      <c r="F15" s="6" t="s">
        <v>174</v>
      </c>
    </row>
    <row r="16" spans="1:7" ht="15.75" customHeight="1">
      <c r="A16" s="156" t="s">
        <v>175</v>
      </c>
      <c r="B16" s="6">
        <v>12</v>
      </c>
      <c r="E16" s="6" t="s">
        <v>176</v>
      </c>
      <c r="F16" s="6" t="s">
        <v>177</v>
      </c>
    </row>
    <row r="17" spans="1:6" ht="15.75" customHeight="1">
      <c r="A17" s="156" t="s">
        <v>178</v>
      </c>
      <c r="E17" s="6" t="s">
        <v>179</v>
      </c>
      <c r="F17" s="6" t="s">
        <v>180</v>
      </c>
    </row>
    <row r="18" spans="1:6" ht="15.75" customHeight="1">
      <c r="A18" s="156" t="s">
        <v>181</v>
      </c>
      <c r="E18" s="6" t="s">
        <v>182</v>
      </c>
      <c r="F18" s="6" t="s">
        <v>183</v>
      </c>
    </row>
    <row r="19" spans="1:6" ht="15.75" customHeight="1">
      <c r="A19" s="156" t="s">
        <v>184</v>
      </c>
      <c r="E19" s="6" t="s">
        <v>185</v>
      </c>
      <c r="F19" s="6" t="s">
        <v>186</v>
      </c>
    </row>
    <row r="20" spans="1:6" ht="15.75" customHeight="1">
      <c r="A20" s="156" t="s">
        <v>187</v>
      </c>
      <c r="E20" s="6" t="s">
        <v>188</v>
      </c>
      <c r="F20" s="6" t="s">
        <v>189</v>
      </c>
    </row>
    <row r="21" spans="1:6" ht="15.75" customHeight="1">
      <c r="A21" s="156" t="s">
        <v>190</v>
      </c>
      <c r="E21" s="6" t="s">
        <v>191</v>
      </c>
      <c r="F21" s="6" t="s">
        <v>192</v>
      </c>
    </row>
    <row r="22" spans="1:6" ht="15.75" customHeight="1">
      <c r="E22" s="6" t="s">
        <v>193</v>
      </c>
      <c r="F22" s="6" t="s">
        <v>194</v>
      </c>
    </row>
    <row r="23" spans="1:6" ht="15.75" customHeight="1">
      <c r="E23" s="6" t="s">
        <v>195</v>
      </c>
      <c r="F23" s="6" t="s">
        <v>196</v>
      </c>
    </row>
    <row r="25" spans="1:6" ht="15.75" customHeight="1">
      <c r="E25" s="6" t="s">
        <v>197</v>
      </c>
      <c r="F25" s="6" t="s">
        <v>198</v>
      </c>
    </row>
    <row r="26" spans="1:6" ht="15.75" customHeight="1">
      <c r="E26" s="6" t="s">
        <v>199</v>
      </c>
      <c r="F26" s="6" t="s">
        <v>200</v>
      </c>
    </row>
    <row r="27" spans="1:6" ht="15.75" customHeight="1">
      <c r="E27" s="6" t="s">
        <v>201</v>
      </c>
      <c r="F27" s="6" t="s">
        <v>202</v>
      </c>
    </row>
    <row r="28" spans="1:6" ht="15.75" customHeight="1">
      <c r="E28" s="6" t="s">
        <v>203</v>
      </c>
      <c r="F28" s="6" t="s">
        <v>204</v>
      </c>
    </row>
    <row r="29" spans="1:6" ht="15.75" customHeight="1">
      <c r="E29" s="6" t="s">
        <v>205</v>
      </c>
      <c r="F29" s="6" t="s">
        <v>206</v>
      </c>
    </row>
    <row r="30" spans="1:6" ht="15.75" customHeight="1">
      <c r="E30" s="6" t="s">
        <v>207</v>
      </c>
      <c r="F30" s="6" t="s">
        <v>208</v>
      </c>
    </row>
    <row r="31" spans="1:6" ht="15.75" customHeight="1">
      <c r="E31" s="6" t="s">
        <v>131</v>
      </c>
      <c r="F31" s="6" t="s">
        <v>209</v>
      </c>
    </row>
    <row r="32" spans="1:6" ht="15.75" customHeight="1">
      <c r="E32" s="6" t="s">
        <v>210</v>
      </c>
      <c r="F32" s="6" t="s">
        <v>211</v>
      </c>
    </row>
    <row r="33" spans="5:6" ht="15.75" customHeight="1">
      <c r="E33" s="6" t="s">
        <v>212</v>
      </c>
      <c r="F33" s="6" t="s">
        <v>213</v>
      </c>
    </row>
    <row r="34" spans="5:6" ht="15.75" customHeight="1">
      <c r="E34" s="6" t="s">
        <v>214</v>
      </c>
      <c r="F34" s="6" t="s">
        <v>215</v>
      </c>
    </row>
    <row r="36" spans="5:6" ht="13.2">
      <c r="E36" s="6" t="s">
        <v>216</v>
      </c>
      <c r="F36" s="6" t="s">
        <v>217</v>
      </c>
    </row>
    <row r="37" spans="5:6" ht="13.2">
      <c r="E37" s="6" t="s">
        <v>218</v>
      </c>
      <c r="F37" s="6" t="s">
        <v>219</v>
      </c>
    </row>
    <row r="38" spans="5:6" ht="13.2">
      <c r="E38" s="6" t="s">
        <v>220</v>
      </c>
      <c r="F38" s="6" t="s">
        <v>221</v>
      </c>
    </row>
    <row r="39" spans="5:6" ht="13.2">
      <c r="E39" s="6" t="s">
        <v>222</v>
      </c>
      <c r="F39" s="6" t="s">
        <v>223</v>
      </c>
    </row>
    <row r="40" spans="5:6" ht="13.2">
      <c r="E40" s="6" t="s">
        <v>224</v>
      </c>
      <c r="F40" s="6" t="s">
        <v>225</v>
      </c>
    </row>
    <row r="41" spans="5:6" ht="13.2">
      <c r="E41" s="6" t="s">
        <v>226</v>
      </c>
      <c r="F41" s="6" t="s">
        <v>227</v>
      </c>
    </row>
    <row r="42" spans="5:6" ht="13.2">
      <c r="E42" s="6" t="s">
        <v>228</v>
      </c>
      <c r="F42" s="6" t="s">
        <v>229</v>
      </c>
    </row>
    <row r="43" spans="5:6" ht="13.2">
      <c r="E43" s="6" t="s">
        <v>230</v>
      </c>
      <c r="F43" s="6" t="s">
        <v>231</v>
      </c>
    </row>
    <row r="44" spans="5:6" ht="13.2">
      <c r="E44" s="6" t="s">
        <v>232</v>
      </c>
      <c r="F44" s="6" t="s">
        <v>233</v>
      </c>
    </row>
    <row r="45" spans="5:6" ht="13.2">
      <c r="E45" s="6" t="s">
        <v>234</v>
      </c>
      <c r="F45" s="6" t="s">
        <v>235</v>
      </c>
    </row>
    <row r="47" spans="5:6" ht="13.2">
      <c r="E47" s="6" t="s">
        <v>236</v>
      </c>
    </row>
    <row r="48" spans="5:6" ht="13.2">
      <c r="E48" s="6" t="s">
        <v>237</v>
      </c>
    </row>
    <row r="49" spans="5:5" ht="13.2">
      <c r="E49" s="6" t="s">
        <v>47</v>
      </c>
    </row>
    <row r="50" spans="5:5" ht="13.2">
      <c r="E50" s="6" t="s">
        <v>238</v>
      </c>
    </row>
    <row r="51" spans="5:5" ht="13.2">
      <c r="E51" s="6" t="s">
        <v>239</v>
      </c>
    </row>
    <row r="52" spans="5:5" ht="13.2">
      <c r="E52" s="6" t="s">
        <v>240</v>
      </c>
    </row>
    <row r="53" spans="5:5" ht="13.2">
      <c r="E53" s="6" t="s">
        <v>241</v>
      </c>
    </row>
    <row r="54" spans="5:5" ht="13.2">
      <c r="E54" s="6" t="s">
        <v>242</v>
      </c>
    </row>
    <row r="55" spans="5:5" ht="13.2">
      <c r="E55" s="6" t="s">
        <v>243</v>
      </c>
    </row>
    <row r="56" spans="5:5" ht="13.2">
      <c r="E56" s="6" t="s">
        <v>244</v>
      </c>
    </row>
    <row r="58" spans="5:5" ht="13.2">
      <c r="E58" s="6" t="s">
        <v>245</v>
      </c>
    </row>
    <row r="59" spans="5:5" ht="13.2">
      <c r="E59" s="6" t="s">
        <v>246</v>
      </c>
    </row>
    <row r="60" spans="5:5" ht="13.2">
      <c r="E60" s="6" t="s">
        <v>247</v>
      </c>
    </row>
    <row r="61" spans="5:5" ht="13.2">
      <c r="E61" s="6" t="s">
        <v>248</v>
      </c>
    </row>
    <row r="62" spans="5:5" ht="13.2">
      <c r="E62" s="6" t="s">
        <v>249</v>
      </c>
    </row>
    <row r="63" spans="5:5" ht="13.2">
      <c r="E63" s="6" t="s">
        <v>250</v>
      </c>
    </row>
    <row r="64" spans="5:5" ht="13.2">
      <c r="E64" s="6" t="s">
        <v>251</v>
      </c>
    </row>
    <row r="65" spans="5:6" ht="13.2">
      <c r="E65" s="6" t="s">
        <v>252</v>
      </c>
    </row>
    <row r="66" spans="5:6" ht="13.2">
      <c r="E66" s="6" t="s">
        <v>253</v>
      </c>
    </row>
    <row r="67" spans="5:6" ht="13.2">
      <c r="E67" s="6" t="s">
        <v>254</v>
      </c>
    </row>
    <row r="69" spans="5:6" ht="13.2">
      <c r="E69" s="6" t="s">
        <v>255</v>
      </c>
      <c r="F69" s="6" t="s">
        <v>256</v>
      </c>
    </row>
    <row r="70" spans="5:6" ht="13.2">
      <c r="E70" s="6" t="s">
        <v>257</v>
      </c>
      <c r="F70" s="6" t="s">
        <v>258</v>
      </c>
    </row>
    <row r="71" spans="5:6" ht="13.2">
      <c r="E71" s="6" t="s">
        <v>259</v>
      </c>
      <c r="F71" s="6" t="s">
        <v>260</v>
      </c>
    </row>
    <row r="72" spans="5:6" ht="13.2">
      <c r="E72" s="6" t="s">
        <v>261</v>
      </c>
      <c r="F72" s="6" t="s">
        <v>262</v>
      </c>
    </row>
    <row r="73" spans="5:6" ht="13.2">
      <c r="E73" s="6" t="s">
        <v>263</v>
      </c>
      <c r="F73" s="6" t="s">
        <v>264</v>
      </c>
    </row>
    <row r="74" spans="5:6" ht="13.2">
      <c r="E74" s="6" t="s">
        <v>265</v>
      </c>
      <c r="F74" s="6" t="s">
        <v>266</v>
      </c>
    </row>
    <row r="75" spans="5:6" ht="13.2">
      <c r="E75" s="6" t="s">
        <v>267</v>
      </c>
      <c r="F75" s="6" t="s">
        <v>268</v>
      </c>
    </row>
    <row r="76" spans="5:6" ht="13.2">
      <c r="E76" s="6" t="s">
        <v>269</v>
      </c>
      <c r="F76" s="6" t="s">
        <v>270</v>
      </c>
    </row>
    <row r="77" spans="5:6" ht="13.2">
      <c r="E77" s="6" t="s">
        <v>271</v>
      </c>
      <c r="F77" s="6" t="s">
        <v>272</v>
      </c>
    </row>
    <row r="78" spans="5:6" ht="13.2">
      <c r="E78" s="6" t="s">
        <v>273</v>
      </c>
      <c r="F78" s="6" t="s">
        <v>274</v>
      </c>
    </row>
    <row r="80" spans="5:6" ht="13.2">
      <c r="E80" s="6" t="s">
        <v>275</v>
      </c>
      <c r="F80" s="6" t="s">
        <v>276</v>
      </c>
    </row>
    <row r="81" spans="5:6" ht="13.2">
      <c r="E81" s="6" t="s">
        <v>277</v>
      </c>
      <c r="F81" s="6" t="s">
        <v>278</v>
      </c>
    </row>
    <row r="82" spans="5:6" ht="13.2">
      <c r="E82" s="6" t="s">
        <v>279</v>
      </c>
      <c r="F82" s="6" t="s">
        <v>280</v>
      </c>
    </row>
    <row r="83" spans="5:6" ht="13.2">
      <c r="E83" s="6" t="s">
        <v>281</v>
      </c>
      <c r="F83" s="6" t="s">
        <v>282</v>
      </c>
    </row>
    <row r="84" spans="5:6" ht="13.2">
      <c r="E84" s="6" t="s">
        <v>283</v>
      </c>
      <c r="F84" s="6" t="s">
        <v>284</v>
      </c>
    </row>
    <row r="85" spans="5:6" ht="13.2">
      <c r="E85" s="6" t="s">
        <v>285</v>
      </c>
      <c r="F85" s="6" t="s">
        <v>286</v>
      </c>
    </row>
    <row r="86" spans="5:6" ht="13.2">
      <c r="E86" s="6" t="s">
        <v>287</v>
      </c>
      <c r="F86" s="6" t="s">
        <v>288</v>
      </c>
    </row>
    <row r="87" spans="5:6" ht="13.2">
      <c r="E87" s="6" t="s">
        <v>289</v>
      </c>
      <c r="F87" s="6" t="s">
        <v>290</v>
      </c>
    </row>
    <row r="88" spans="5:6" ht="13.2">
      <c r="E88" s="6" t="s">
        <v>291</v>
      </c>
      <c r="F88" s="6" t="s">
        <v>292</v>
      </c>
    </row>
    <row r="89" spans="5:6" ht="13.2">
      <c r="E89" s="6" t="s">
        <v>293</v>
      </c>
      <c r="F89" s="6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1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2" max="2" width="24.44140625" customWidth="1"/>
  </cols>
  <sheetData>
    <row r="1" spans="1:14" ht="15.75" customHeight="1">
      <c r="A1" s="68" t="s">
        <v>334</v>
      </c>
      <c r="B1" s="68" t="s">
        <v>335</v>
      </c>
      <c r="C1" s="6" t="s">
        <v>336</v>
      </c>
      <c r="D1" s="6" t="s">
        <v>337</v>
      </c>
      <c r="J1" s="7"/>
      <c r="K1" s="7"/>
      <c r="L1" s="7"/>
      <c r="M1" s="7"/>
      <c r="N1" s="187"/>
    </row>
    <row r="2" spans="1:14" ht="15.75" customHeight="1">
      <c r="A2" s="68" t="s">
        <v>54</v>
      </c>
      <c r="B2" s="68" t="s">
        <v>54</v>
      </c>
      <c r="C2" s="36" t="s">
        <v>338</v>
      </c>
      <c r="I2" s="68" t="s">
        <v>339</v>
      </c>
      <c r="J2" s="68" t="s">
        <v>340</v>
      </c>
      <c r="K2" s="68" t="s">
        <v>341</v>
      </c>
      <c r="L2" s="68" t="s">
        <v>342</v>
      </c>
      <c r="M2" s="68" t="s">
        <v>343</v>
      </c>
      <c r="N2" s="187"/>
    </row>
    <row r="3" spans="1:14" ht="15.75" customHeight="1">
      <c r="A3" s="36">
        <v>0</v>
      </c>
      <c r="B3" s="36">
        <v>152</v>
      </c>
      <c r="C3" s="7">
        <f t="shared" ref="C3:C5" si="0">AVERAGE(B3,B18,B37,B66,B92,B118,B145,B168,B190,B208)</f>
        <v>140</v>
      </c>
      <c r="D3">
        <f t="shared" ref="D3:D8" si="1">STDEV(B3,B18,B37,B66,B92,B118,B145,B168,B190,B208)/SQRT(10)</f>
        <v>5.6901474302321704</v>
      </c>
      <c r="I3" s="36" t="s">
        <v>338</v>
      </c>
      <c r="J3" s="36" t="s">
        <v>338</v>
      </c>
      <c r="K3" s="36" t="s">
        <v>338</v>
      </c>
      <c r="L3" s="36" t="s">
        <v>338</v>
      </c>
      <c r="M3" s="36" t="s">
        <v>338</v>
      </c>
      <c r="N3" s="187"/>
    </row>
    <row r="4" spans="1:14" ht="15.75" customHeight="1">
      <c r="A4" s="36">
        <v>15</v>
      </c>
      <c r="B4" s="36">
        <v>323</v>
      </c>
      <c r="C4" s="7">
        <f t="shared" si="0"/>
        <v>267.8</v>
      </c>
      <c r="D4">
        <f t="shared" si="1"/>
        <v>18.441378593924156</v>
      </c>
      <c r="E4" s="36"/>
      <c r="L4" s="7"/>
      <c r="M4" s="7"/>
      <c r="N4" s="187"/>
    </row>
    <row r="5" spans="1:14" ht="15.75" customHeight="1">
      <c r="A5" s="36">
        <v>30</v>
      </c>
      <c r="B5" s="36">
        <v>280</v>
      </c>
      <c r="C5" s="7">
        <f t="shared" si="0"/>
        <v>236.1</v>
      </c>
      <c r="D5">
        <f t="shared" si="1"/>
        <v>15.69957536580741</v>
      </c>
      <c r="E5" s="36"/>
      <c r="L5" s="7"/>
      <c r="M5" s="7"/>
      <c r="N5" s="187"/>
    </row>
    <row r="6" spans="1:14" ht="15.75" customHeight="1">
      <c r="A6" s="36">
        <v>60</v>
      </c>
      <c r="B6" s="36">
        <v>238</v>
      </c>
      <c r="C6" s="7">
        <f t="shared" ref="C6:C7" si="2">AVERAGE(B6,B21,B40,B69,B94,B121,B148,B171,B193,B211)</f>
        <v>179.2</v>
      </c>
      <c r="D6">
        <f t="shared" si="1"/>
        <v>12.7830182490504</v>
      </c>
      <c r="L6" s="7"/>
      <c r="M6" s="7"/>
      <c r="N6" s="187"/>
    </row>
    <row r="7" spans="1:14" ht="15.75" customHeight="1">
      <c r="A7" s="36">
        <v>90</v>
      </c>
      <c r="B7" s="36">
        <v>179</v>
      </c>
      <c r="C7" s="7">
        <f t="shared" si="2"/>
        <v>149.69999999999999</v>
      </c>
      <c r="D7">
        <f t="shared" si="1"/>
        <v>6.8244657910589153</v>
      </c>
      <c r="L7" s="7"/>
      <c r="M7" s="7"/>
      <c r="N7" s="187"/>
    </row>
    <row r="8" spans="1:14" ht="15.75" customHeight="1">
      <c r="A8" s="36">
        <v>120</v>
      </c>
      <c r="B8" s="36">
        <v>145</v>
      </c>
      <c r="C8" s="7">
        <f>AVERAGE(B8,B23,B42,B71,B123,B150,B173,B195,B213)</f>
        <v>125.33333333333333</v>
      </c>
      <c r="D8">
        <f t="shared" si="1"/>
        <v>7.9655508284110521</v>
      </c>
      <c r="L8" s="7"/>
      <c r="M8" s="7"/>
      <c r="N8" s="187"/>
    </row>
    <row r="9" spans="1:14" ht="15.75" customHeight="1">
      <c r="A9" s="7"/>
      <c r="B9" s="7"/>
      <c r="C9" s="7"/>
      <c r="D9" s="7"/>
      <c r="L9" s="7"/>
      <c r="M9" s="7"/>
      <c r="N9" s="187"/>
    </row>
    <row r="10" spans="1:14" ht="15.75" customHeight="1">
      <c r="A10" s="36" t="s">
        <v>344</v>
      </c>
      <c r="B10" s="7">
        <f>((B3+B4)/2)*(C4-C3)</f>
        <v>30352.500000000004</v>
      </c>
      <c r="C10" s="7"/>
      <c r="D10" s="7"/>
      <c r="L10" s="7"/>
      <c r="M10" s="7"/>
      <c r="N10" s="187"/>
    </row>
    <row r="11" spans="1:14" ht="15.75" customHeight="1">
      <c r="A11" s="7"/>
      <c r="B11" s="7">
        <f>((B4+B5)/2)*(C4-C3)</f>
        <v>38531.700000000004</v>
      </c>
      <c r="C11" s="7"/>
      <c r="D11" s="7"/>
      <c r="L11" s="7"/>
      <c r="M11" s="7"/>
      <c r="N11" s="187"/>
    </row>
    <row r="12" spans="1:14" ht="15.75" customHeight="1">
      <c r="B12" s="7">
        <f>((B5+B6)/2)*(C4-C3)</f>
        <v>33100.200000000004</v>
      </c>
      <c r="C12" s="7"/>
      <c r="D12" s="7"/>
      <c r="L12" s="7"/>
      <c r="M12" s="7"/>
      <c r="N12" s="187"/>
    </row>
    <row r="13" spans="1:14" ht="15.75" customHeight="1">
      <c r="B13" s="7">
        <f>((B6+B7)/2)*(C4-C3)</f>
        <v>26646.300000000003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87"/>
    </row>
    <row r="14" spans="1:14" ht="15.75" customHeight="1">
      <c r="B14" s="7">
        <f>((B7+B8)/2)*(C4-C3)</f>
        <v>20703.600000000002</v>
      </c>
      <c r="H14" s="7"/>
      <c r="I14" s="7"/>
      <c r="J14" s="7"/>
      <c r="K14" s="7"/>
      <c r="L14" s="7"/>
      <c r="M14" s="7"/>
      <c r="N14" s="187"/>
    </row>
    <row r="15" spans="1:14" ht="15.75" customHeight="1">
      <c r="A15" s="6" t="s">
        <v>345</v>
      </c>
      <c r="B15" s="7">
        <f>SUM(B10:B14)</f>
        <v>149334.30000000002</v>
      </c>
      <c r="H15" s="7"/>
      <c r="I15" s="7"/>
      <c r="J15" s="7"/>
      <c r="K15" s="7"/>
      <c r="L15" s="7"/>
      <c r="M15" s="7"/>
      <c r="N15" s="187"/>
    </row>
    <row r="16" spans="1:14" ht="15.75" customHeight="1">
      <c r="H16" s="7"/>
      <c r="I16" s="7"/>
      <c r="J16" s="7"/>
      <c r="K16" s="7"/>
      <c r="L16" s="7"/>
      <c r="M16" s="7"/>
      <c r="N16" s="187"/>
    </row>
    <row r="17" spans="1:14" ht="15.75" customHeight="1">
      <c r="A17" s="68" t="s">
        <v>99</v>
      </c>
      <c r="B17" s="68" t="s">
        <v>99</v>
      </c>
      <c r="C17" s="6" t="s">
        <v>344</v>
      </c>
      <c r="H17" s="7"/>
      <c r="I17" s="7"/>
      <c r="J17" s="7"/>
      <c r="K17" s="7"/>
      <c r="L17" s="7"/>
      <c r="M17" s="7"/>
      <c r="N17" s="187"/>
    </row>
    <row r="18" spans="1:14" ht="15.75" customHeight="1">
      <c r="A18" s="36">
        <v>0</v>
      </c>
      <c r="B18" s="36">
        <v>119</v>
      </c>
      <c r="C18">
        <f t="shared" ref="C18:C22" si="3">(A19+A18)/2*$B$19-$B$18</f>
        <v>1741</v>
      </c>
      <c r="H18" s="7"/>
      <c r="I18" s="7"/>
      <c r="J18" s="7"/>
      <c r="K18" s="7"/>
      <c r="L18" s="7"/>
      <c r="M18" s="7"/>
      <c r="N18" s="187"/>
    </row>
    <row r="19" spans="1:14" ht="15.75" customHeight="1">
      <c r="A19" s="36">
        <v>15</v>
      </c>
      <c r="B19" s="36">
        <v>248</v>
      </c>
      <c r="C19">
        <f t="shared" si="3"/>
        <v>5461</v>
      </c>
      <c r="H19" s="7"/>
      <c r="I19" s="7"/>
      <c r="J19" s="7"/>
      <c r="K19" s="7"/>
      <c r="L19" s="7"/>
      <c r="M19" s="7"/>
      <c r="N19" s="187"/>
    </row>
    <row r="20" spans="1:14" ht="15.75" customHeight="1">
      <c r="A20" s="36">
        <v>30</v>
      </c>
      <c r="B20" s="36">
        <v>208</v>
      </c>
      <c r="C20">
        <f t="shared" si="3"/>
        <v>11041</v>
      </c>
      <c r="H20" s="7"/>
      <c r="I20" s="7"/>
      <c r="J20" s="7"/>
      <c r="K20" s="7"/>
      <c r="L20" s="7"/>
      <c r="M20" s="7"/>
      <c r="N20" s="187"/>
    </row>
    <row r="21" spans="1:14" ht="15.75" customHeight="1">
      <c r="A21" s="36">
        <v>60</v>
      </c>
      <c r="B21" s="36">
        <v>186</v>
      </c>
      <c r="C21">
        <f t="shared" si="3"/>
        <v>18481</v>
      </c>
      <c r="H21" s="7"/>
      <c r="I21" s="7"/>
      <c r="J21" s="7"/>
      <c r="K21" s="7"/>
      <c r="L21" s="7"/>
      <c r="M21" s="7"/>
      <c r="N21" s="187"/>
    </row>
    <row r="22" spans="1:14" ht="15.75" customHeight="1">
      <c r="A22" s="36">
        <v>90</v>
      </c>
      <c r="B22" s="36">
        <v>127</v>
      </c>
      <c r="C22">
        <f t="shared" si="3"/>
        <v>25921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187"/>
    </row>
    <row r="23" spans="1:14" ht="15.75" customHeight="1">
      <c r="A23" s="36">
        <v>120</v>
      </c>
      <c r="B23" s="36">
        <v>108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187"/>
    </row>
    <row r="24" spans="1:14" ht="15.75" customHeight="1">
      <c r="A24" s="6" t="s">
        <v>344</v>
      </c>
      <c r="C24" s="7">
        <f>SUM(C18:C22)</f>
        <v>62645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187"/>
    </row>
    <row r="25" spans="1:14" ht="15.75" customHeight="1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87"/>
    </row>
    <row r="26" spans="1:14" ht="15.75" customHeight="1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87"/>
    </row>
    <row r="27" spans="1:14" ht="15.75" customHeight="1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87"/>
    </row>
    <row r="28" spans="1:14" ht="15.75" customHeight="1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87"/>
    </row>
    <row r="29" spans="1:14" ht="15.75" customHeight="1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87"/>
    </row>
    <row r="30" spans="1:14" ht="15.75" customHeight="1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87"/>
    </row>
    <row r="31" spans="1:14" ht="15.75" customHeight="1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87"/>
    </row>
    <row r="32" spans="1:14" ht="15.75" customHeight="1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87"/>
    </row>
    <row r="33" spans="1:14" ht="15.75" customHeight="1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87"/>
    </row>
    <row r="34" spans="1:14" ht="15.75" customHeight="1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87"/>
    </row>
    <row r="35" spans="1:14" ht="15.75" customHeight="1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87"/>
    </row>
    <row r="36" spans="1:14" ht="15.75" customHeight="1">
      <c r="A36" s="68" t="s">
        <v>66</v>
      </c>
      <c r="B36" s="68" t="s">
        <v>66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87"/>
    </row>
    <row r="37" spans="1:14" ht="13.2">
      <c r="A37" s="36">
        <v>0</v>
      </c>
      <c r="B37" s="36">
        <v>142</v>
      </c>
      <c r="C37" s="7">
        <f t="shared" ref="C37:C41" si="4">(A38+A37)/2*($B$38-$B$37)</f>
        <v>892.5</v>
      </c>
      <c r="D37" s="36"/>
      <c r="E37" s="36"/>
      <c r="K37" s="7"/>
      <c r="L37" s="7"/>
      <c r="M37" s="7"/>
      <c r="N37" s="187"/>
    </row>
    <row r="38" spans="1:14" ht="13.2">
      <c r="A38" s="36">
        <v>15</v>
      </c>
      <c r="B38" s="36">
        <v>261</v>
      </c>
      <c r="C38" s="7">
        <f t="shared" si="4"/>
        <v>2677.5</v>
      </c>
      <c r="D38" s="36"/>
      <c r="J38" s="7"/>
      <c r="K38" s="7"/>
      <c r="L38" s="7"/>
      <c r="M38" s="7"/>
      <c r="N38" s="187"/>
    </row>
    <row r="39" spans="1:14" ht="13.2">
      <c r="A39" s="36">
        <v>30</v>
      </c>
      <c r="B39" s="36">
        <v>230</v>
      </c>
      <c r="C39" s="7">
        <f t="shared" si="4"/>
        <v>5355</v>
      </c>
      <c r="D39" s="36"/>
      <c r="K39" s="7"/>
      <c r="L39" s="7"/>
      <c r="M39" s="7"/>
      <c r="N39" s="187"/>
    </row>
    <row r="40" spans="1:14" ht="13.2">
      <c r="A40" s="36">
        <v>60</v>
      </c>
      <c r="B40" s="36">
        <v>165</v>
      </c>
      <c r="C40" s="7">
        <f t="shared" si="4"/>
        <v>8925</v>
      </c>
      <c r="K40" s="7"/>
      <c r="L40" s="7"/>
      <c r="M40" s="7"/>
      <c r="N40" s="187"/>
    </row>
    <row r="41" spans="1:14" ht="13.2">
      <c r="A41" s="36">
        <v>90</v>
      </c>
      <c r="B41" s="36">
        <v>131</v>
      </c>
      <c r="C41" s="7">
        <f t="shared" si="4"/>
        <v>12495</v>
      </c>
      <c r="K41" s="7"/>
      <c r="L41" s="7"/>
      <c r="M41" s="7"/>
      <c r="N41" s="187"/>
    </row>
    <row r="42" spans="1:14" ht="13.2">
      <c r="A42" s="36">
        <v>120</v>
      </c>
      <c r="B42" s="36">
        <v>154</v>
      </c>
      <c r="C42" s="7"/>
      <c r="K42" s="7"/>
      <c r="L42" s="7"/>
      <c r="M42" s="7"/>
      <c r="N42" s="187"/>
    </row>
    <row r="43" spans="1:14" ht="13.2">
      <c r="A43" s="36" t="s">
        <v>344</v>
      </c>
      <c r="B43" s="7"/>
      <c r="C43" s="7">
        <f>SUM(C37:C41)</f>
        <v>30345</v>
      </c>
      <c r="K43" s="7"/>
      <c r="L43" s="7"/>
      <c r="M43" s="7"/>
      <c r="N43" s="187"/>
    </row>
    <row r="44" spans="1:14" ht="13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87"/>
    </row>
    <row r="45" spans="1:14" ht="13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87"/>
    </row>
    <row r="46" spans="1:14" ht="13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87"/>
    </row>
    <row r="47" spans="1:14" ht="13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87"/>
    </row>
    <row r="48" spans="1:14" ht="13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87"/>
    </row>
    <row r="49" spans="3:14" ht="13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87"/>
    </row>
    <row r="50" spans="3:14" ht="13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87"/>
    </row>
    <row r="51" spans="3:14" ht="13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87"/>
    </row>
    <row r="52" spans="3:14" ht="13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87"/>
    </row>
    <row r="53" spans="3:14" ht="13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87"/>
    </row>
    <row r="54" spans="3:14" ht="13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87"/>
    </row>
    <row r="55" spans="3:14" ht="13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87"/>
    </row>
    <row r="56" spans="3:14" ht="13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87"/>
    </row>
    <row r="57" spans="3:14" ht="13.2">
      <c r="C57" s="7"/>
      <c r="D57" s="36"/>
      <c r="K57" s="7"/>
      <c r="L57" s="7"/>
      <c r="M57" s="7"/>
      <c r="N57" s="187"/>
    </row>
    <row r="58" spans="3:14" ht="13.2">
      <c r="C58" s="7"/>
      <c r="D58" s="36"/>
      <c r="K58" s="7"/>
      <c r="L58" s="7"/>
      <c r="M58" s="7"/>
      <c r="N58" s="187"/>
    </row>
    <row r="59" spans="3:14" ht="13.2">
      <c r="C59" s="7"/>
      <c r="K59" s="7"/>
      <c r="L59" s="7"/>
      <c r="M59" s="7"/>
      <c r="N59" s="187"/>
    </row>
    <row r="60" spans="3:14" ht="13.2">
      <c r="C60" s="7"/>
      <c r="K60" s="7"/>
      <c r="L60" s="7"/>
      <c r="M60" s="7"/>
      <c r="N60" s="187"/>
    </row>
    <row r="61" spans="3:14" ht="13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87"/>
    </row>
    <row r="62" spans="3:14" ht="13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87"/>
    </row>
    <row r="63" spans="3:14" ht="13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87"/>
    </row>
    <row r="64" spans="3:14" ht="13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87"/>
    </row>
    <row r="65" spans="1:14" ht="13.2">
      <c r="A65" s="68" t="s">
        <v>47</v>
      </c>
      <c r="B65" s="68" t="s">
        <v>47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87"/>
    </row>
    <row r="66" spans="1:14" ht="13.2">
      <c r="A66" s="36">
        <v>0</v>
      </c>
      <c r="B66" s="36">
        <v>176</v>
      </c>
      <c r="C66" s="7">
        <f t="shared" ref="C66:C70" si="5">(A67+A66)/2*($B$67-$B$66)</f>
        <v>390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187"/>
    </row>
    <row r="67" spans="1:14" ht="13.2">
      <c r="A67" s="36">
        <v>15</v>
      </c>
      <c r="B67" s="36">
        <v>228</v>
      </c>
      <c r="C67" s="7">
        <f t="shared" si="5"/>
        <v>1170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187"/>
    </row>
    <row r="68" spans="1:14" ht="13.2">
      <c r="A68" s="36">
        <v>30</v>
      </c>
      <c r="B68" s="36">
        <v>245</v>
      </c>
      <c r="C68" s="7">
        <f t="shared" si="5"/>
        <v>2340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187"/>
    </row>
    <row r="69" spans="1:14" ht="13.2">
      <c r="A69" s="36">
        <v>60</v>
      </c>
      <c r="B69" s="36">
        <v>165</v>
      </c>
      <c r="C69" s="7">
        <f t="shared" si="5"/>
        <v>3900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187"/>
    </row>
    <row r="70" spans="1:14" ht="13.2">
      <c r="A70" s="36">
        <v>90</v>
      </c>
      <c r="B70" s="36">
        <v>169</v>
      </c>
      <c r="C70" s="7">
        <f t="shared" si="5"/>
        <v>5460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187"/>
    </row>
    <row r="71" spans="1:14" ht="13.2">
      <c r="A71" s="36">
        <v>120</v>
      </c>
      <c r="B71" s="36">
        <v>152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87"/>
    </row>
    <row r="72" spans="1:14" ht="13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87"/>
    </row>
    <row r="73" spans="1:14" ht="13.2">
      <c r="A73" s="36" t="s">
        <v>344</v>
      </c>
      <c r="B73" s="7"/>
      <c r="C73" s="7">
        <f>SUM(C66:C70)</f>
        <v>13260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187"/>
    </row>
    <row r="74" spans="1:14" ht="13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87"/>
    </row>
    <row r="75" spans="1:14" ht="13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87"/>
    </row>
    <row r="76" spans="1:14" ht="13.2">
      <c r="C76" s="36"/>
      <c r="J76" s="7"/>
      <c r="K76" s="7"/>
      <c r="L76" s="7"/>
      <c r="M76" s="7"/>
      <c r="N76" s="187"/>
    </row>
    <row r="77" spans="1:14" ht="13.2">
      <c r="C77" s="36"/>
      <c r="J77" s="7"/>
      <c r="K77" s="7"/>
      <c r="L77" s="7"/>
      <c r="M77" s="7"/>
      <c r="N77" s="187"/>
    </row>
    <row r="78" spans="1:14" ht="13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87"/>
    </row>
    <row r="79" spans="1:14" ht="13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87"/>
    </row>
    <row r="80" spans="1:14" ht="13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87"/>
    </row>
    <row r="81" spans="1:14" ht="13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87"/>
    </row>
    <row r="82" spans="1:14" ht="13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87"/>
    </row>
    <row r="83" spans="1:14" ht="13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87"/>
    </row>
    <row r="84" spans="1:14" ht="13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87"/>
    </row>
    <row r="85" spans="1:14" ht="13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87"/>
    </row>
    <row r="86" spans="1:14" ht="13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87"/>
    </row>
    <row r="87" spans="1:14" ht="13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87"/>
    </row>
    <row r="88" spans="1:14" ht="13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87"/>
    </row>
    <row r="89" spans="1:14" ht="13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87"/>
    </row>
    <row r="90" spans="1:14" ht="13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87"/>
    </row>
    <row r="91" spans="1:14" ht="13.2">
      <c r="A91" s="68" t="s">
        <v>78</v>
      </c>
      <c r="B91" s="68" t="s">
        <v>78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87"/>
    </row>
    <row r="92" spans="1:14" ht="13.2">
      <c r="A92" s="36">
        <v>0</v>
      </c>
      <c r="B92" s="36">
        <v>128</v>
      </c>
      <c r="C92" s="7">
        <f t="shared" ref="C92:C96" si="6">(A93+A92)/2*($B$93-$B$92)</f>
        <v>975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187"/>
    </row>
    <row r="93" spans="1:14" ht="13.2">
      <c r="A93" s="36">
        <v>15</v>
      </c>
      <c r="B93" s="36">
        <v>258</v>
      </c>
      <c r="C93" s="7">
        <f t="shared" si="6"/>
        <v>2925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187"/>
    </row>
    <row r="94" spans="1:14" ht="13.2">
      <c r="A94" s="36">
        <v>30</v>
      </c>
      <c r="B94" s="36">
        <v>237</v>
      </c>
      <c r="C94" s="7">
        <f t="shared" si="6"/>
        <v>5850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187"/>
    </row>
    <row r="95" spans="1:14" ht="13.2">
      <c r="A95" s="36">
        <v>60</v>
      </c>
      <c r="B95" s="36">
        <v>160</v>
      </c>
      <c r="C95" s="7">
        <f t="shared" si="6"/>
        <v>9750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187"/>
    </row>
    <row r="96" spans="1:14" ht="13.2">
      <c r="A96" s="36">
        <v>90</v>
      </c>
      <c r="B96" s="36">
        <v>151</v>
      </c>
      <c r="C96" s="7">
        <f t="shared" si="6"/>
        <v>13650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187"/>
    </row>
    <row r="97" spans="1:14" ht="13.2">
      <c r="A97" s="36">
        <v>120</v>
      </c>
      <c r="B97" s="3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87"/>
    </row>
    <row r="98" spans="1:14" ht="13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87"/>
    </row>
    <row r="99" spans="1:14" ht="13.2">
      <c r="A99" s="36" t="s">
        <v>344</v>
      </c>
      <c r="B99" s="7"/>
      <c r="C99" s="7">
        <f>SUM(C92:C96)</f>
        <v>33150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187"/>
    </row>
    <row r="100" spans="1:14" ht="13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87"/>
    </row>
    <row r="101" spans="1:14" ht="13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87"/>
    </row>
    <row r="102" spans="1:14" ht="13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87"/>
    </row>
    <row r="103" spans="1:14" ht="13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87"/>
    </row>
    <row r="104" spans="1:14" ht="13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87"/>
    </row>
    <row r="105" spans="1:14" ht="13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87"/>
    </row>
    <row r="106" spans="1:14" ht="13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87"/>
    </row>
    <row r="107" spans="1:14" ht="13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87"/>
    </row>
    <row r="108" spans="1:14" ht="13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87"/>
    </row>
    <row r="109" spans="1:14" ht="13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87"/>
    </row>
    <row r="110" spans="1:14" ht="13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87"/>
    </row>
    <row r="111" spans="1:14" ht="13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87"/>
    </row>
    <row r="112" spans="1:14" ht="13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87"/>
    </row>
    <row r="113" spans="1:14" ht="13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87"/>
    </row>
    <row r="114" spans="1:14" ht="13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87"/>
    </row>
    <row r="115" spans="1:14" ht="13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87"/>
    </row>
    <row r="116" spans="1:14" ht="13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87"/>
    </row>
    <row r="117" spans="1:14" ht="13.2">
      <c r="A117" s="68" t="s">
        <v>74</v>
      </c>
      <c r="B117" s="68" t="s">
        <v>74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87"/>
    </row>
    <row r="118" spans="1:14" ht="13.2">
      <c r="A118" s="36">
        <v>0</v>
      </c>
      <c r="B118" s="36">
        <v>159</v>
      </c>
      <c r="C118" s="7">
        <f t="shared" ref="C118:C122" si="7">(A119+A118)/2*($B$119-$B$118)</f>
        <v>1110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87"/>
    </row>
    <row r="119" spans="1:14" ht="13.2">
      <c r="A119" s="36">
        <v>15</v>
      </c>
      <c r="B119" s="36">
        <v>307</v>
      </c>
      <c r="C119" s="7">
        <f t="shared" si="7"/>
        <v>3330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87"/>
    </row>
    <row r="120" spans="1:14" ht="13.2">
      <c r="A120" s="36">
        <v>30</v>
      </c>
      <c r="B120" s="36">
        <v>273</v>
      </c>
      <c r="C120" s="7">
        <f t="shared" si="7"/>
        <v>6660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87"/>
    </row>
    <row r="121" spans="1:14" ht="13.2">
      <c r="A121" s="36">
        <v>60</v>
      </c>
      <c r="B121" s="36">
        <v>217</v>
      </c>
      <c r="C121" s="7">
        <f t="shared" si="7"/>
        <v>11100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87"/>
    </row>
    <row r="122" spans="1:14" ht="13.2">
      <c r="A122" s="36">
        <v>90</v>
      </c>
      <c r="B122" s="36">
        <v>174</v>
      </c>
      <c r="C122" s="7">
        <f t="shared" si="7"/>
        <v>15540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87"/>
    </row>
    <row r="123" spans="1:14" ht="13.2">
      <c r="A123" s="36">
        <v>120</v>
      </c>
      <c r="B123" s="36">
        <v>130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87"/>
    </row>
    <row r="124" spans="1:14" ht="13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87"/>
    </row>
    <row r="125" spans="1:14" ht="13.2">
      <c r="A125" s="36" t="s">
        <v>344</v>
      </c>
      <c r="B125" s="7"/>
      <c r="C125" s="7">
        <f>SUM(C118:C123)</f>
        <v>37740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87"/>
    </row>
    <row r="126" spans="1:14" ht="13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87"/>
    </row>
    <row r="127" spans="1:14" ht="13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87"/>
    </row>
    <row r="128" spans="1:14" ht="13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87"/>
    </row>
    <row r="129" spans="1:14" ht="13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87"/>
    </row>
    <row r="130" spans="1:14" ht="13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87"/>
    </row>
    <row r="131" spans="1:14" ht="13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87"/>
    </row>
    <row r="132" spans="1:14" ht="13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87"/>
    </row>
    <row r="133" spans="1:14" ht="13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87"/>
    </row>
    <row r="134" spans="1:14" ht="13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87"/>
    </row>
    <row r="135" spans="1:14" ht="13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87"/>
    </row>
    <row r="136" spans="1:14" ht="13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87"/>
    </row>
    <row r="137" spans="1:14" ht="13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87"/>
    </row>
    <row r="138" spans="1:14" ht="13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87"/>
    </row>
    <row r="139" spans="1:14" ht="13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87"/>
    </row>
    <row r="140" spans="1:14" ht="13.2"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</row>
    <row r="141" spans="1:14" ht="13.2"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</row>
    <row r="142" spans="1:14" ht="13.2"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</row>
    <row r="143" spans="1:14" ht="13.2"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</row>
    <row r="144" spans="1:14" ht="13.2">
      <c r="A144" s="68" t="s">
        <v>131</v>
      </c>
      <c r="B144" s="68" t="s">
        <v>131</v>
      </c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</row>
    <row r="145" spans="1:14" ht="13.2">
      <c r="A145" s="36">
        <v>0</v>
      </c>
      <c r="B145" s="36">
        <v>137</v>
      </c>
      <c r="C145" s="187">
        <f t="shared" ref="C145:C149" si="8">(A146+A145)/2*($B$146-$B$145)</f>
        <v>1747.5</v>
      </c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</row>
    <row r="146" spans="1:14" ht="13.2">
      <c r="A146" s="36">
        <v>15</v>
      </c>
      <c r="B146" s="36">
        <v>370</v>
      </c>
      <c r="C146" s="187">
        <f t="shared" si="8"/>
        <v>5242.5</v>
      </c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</row>
    <row r="147" spans="1:14" ht="13.2">
      <c r="A147" s="36">
        <v>30</v>
      </c>
      <c r="B147" s="36">
        <v>310</v>
      </c>
      <c r="C147" s="187">
        <f t="shared" si="8"/>
        <v>10485</v>
      </c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</row>
    <row r="148" spans="1:14" ht="13.2">
      <c r="A148" s="36">
        <v>60</v>
      </c>
      <c r="B148" s="36">
        <v>205</v>
      </c>
      <c r="C148" s="187">
        <f t="shared" si="8"/>
        <v>17475</v>
      </c>
    </row>
    <row r="149" spans="1:14" ht="13.2">
      <c r="A149" s="36">
        <v>90</v>
      </c>
      <c r="B149" s="36">
        <v>164</v>
      </c>
      <c r="C149" s="187">
        <f t="shared" si="8"/>
        <v>24465</v>
      </c>
    </row>
    <row r="150" spans="1:14" ht="13.2">
      <c r="A150" s="36">
        <v>120</v>
      </c>
      <c r="B150" s="36">
        <v>145</v>
      </c>
      <c r="C150" s="187"/>
    </row>
    <row r="151" spans="1:14" ht="13.2">
      <c r="A151" s="7"/>
      <c r="B151" s="7"/>
    </row>
    <row r="152" spans="1:14" ht="13.2">
      <c r="A152" s="36" t="s">
        <v>344</v>
      </c>
      <c r="B152" s="7"/>
      <c r="C152">
        <f>SUM(C145:C149)</f>
        <v>59415</v>
      </c>
    </row>
    <row r="153" spans="1:14" ht="13.2">
      <c r="A153" s="7"/>
      <c r="B153" s="7"/>
    </row>
    <row r="167" spans="1:3" ht="13.2">
      <c r="A167" s="68" t="s">
        <v>346</v>
      </c>
      <c r="B167" s="68" t="s">
        <v>346</v>
      </c>
    </row>
    <row r="168" spans="1:3" ht="13.2">
      <c r="A168" s="36">
        <v>0</v>
      </c>
      <c r="B168" s="36">
        <v>125</v>
      </c>
      <c r="C168">
        <f t="shared" ref="C168:C172" si="9">(A169+A168)/2*($B$169-$B$168)</f>
        <v>727.5</v>
      </c>
    </row>
    <row r="169" spans="1:3" ht="13.2">
      <c r="A169" s="36">
        <v>15</v>
      </c>
      <c r="B169" s="36">
        <v>222</v>
      </c>
      <c r="C169">
        <f t="shared" si="9"/>
        <v>2182.5</v>
      </c>
    </row>
    <row r="170" spans="1:3" ht="13.2">
      <c r="A170" s="36">
        <v>30</v>
      </c>
      <c r="B170" s="36">
        <v>236</v>
      </c>
      <c r="C170">
        <f t="shared" si="9"/>
        <v>4365</v>
      </c>
    </row>
    <row r="171" spans="1:3" ht="13.2">
      <c r="A171" s="36">
        <v>60</v>
      </c>
      <c r="B171" s="36">
        <v>143</v>
      </c>
      <c r="C171">
        <f t="shared" si="9"/>
        <v>7275</v>
      </c>
    </row>
    <row r="172" spans="1:3" ht="13.2">
      <c r="A172" s="36">
        <v>90</v>
      </c>
      <c r="B172" s="36">
        <v>136</v>
      </c>
      <c r="C172">
        <f t="shared" si="9"/>
        <v>10185</v>
      </c>
    </row>
    <row r="173" spans="1:3" ht="13.2">
      <c r="A173" s="36">
        <v>120</v>
      </c>
      <c r="B173" s="36">
        <v>89</v>
      </c>
    </row>
    <row r="174" spans="1:3" ht="13.2">
      <c r="A174" s="36" t="s">
        <v>344</v>
      </c>
      <c r="B174" s="7"/>
      <c r="C174">
        <f>SUM(C168:C172)</f>
        <v>24735</v>
      </c>
    </row>
    <row r="175" spans="1:3" ht="13.2">
      <c r="B175" s="7"/>
    </row>
    <row r="189" spans="1:3" ht="13.2">
      <c r="A189" s="68" t="s">
        <v>123</v>
      </c>
      <c r="B189" s="68" t="s">
        <v>123</v>
      </c>
    </row>
    <row r="190" spans="1:3" ht="13.2">
      <c r="A190" s="36">
        <v>0</v>
      </c>
      <c r="B190" s="36">
        <v>139</v>
      </c>
      <c r="C190">
        <f t="shared" ref="C190:C194" si="10">(A191+A190)/2*($B$191-$B$190)</f>
        <v>1177.5</v>
      </c>
    </row>
    <row r="191" spans="1:3" ht="13.2">
      <c r="A191" s="36">
        <v>15</v>
      </c>
      <c r="B191" s="36">
        <v>296</v>
      </c>
      <c r="C191">
        <f t="shared" si="10"/>
        <v>3532.5</v>
      </c>
    </row>
    <row r="192" spans="1:3" ht="13.2">
      <c r="A192" s="36">
        <v>30</v>
      </c>
      <c r="B192" s="36">
        <v>216</v>
      </c>
      <c r="C192">
        <f t="shared" si="10"/>
        <v>7065</v>
      </c>
    </row>
    <row r="193" spans="1:3" ht="13.2">
      <c r="A193" s="36">
        <v>60</v>
      </c>
      <c r="B193" s="36">
        <v>126</v>
      </c>
      <c r="C193">
        <f t="shared" si="10"/>
        <v>11775</v>
      </c>
    </row>
    <row r="194" spans="1:3" ht="13.2">
      <c r="A194" s="36">
        <v>90</v>
      </c>
      <c r="B194" s="36">
        <v>118</v>
      </c>
      <c r="C194">
        <f t="shared" si="10"/>
        <v>16485</v>
      </c>
    </row>
    <row r="195" spans="1:3" ht="13.2">
      <c r="A195" s="36">
        <v>120</v>
      </c>
      <c r="B195" s="36">
        <v>96</v>
      </c>
    </row>
    <row r="196" spans="1:3" ht="13.2">
      <c r="A196" s="7"/>
      <c r="B196" s="7"/>
      <c r="C196">
        <f>SUM(C190:C194)</f>
        <v>40035</v>
      </c>
    </row>
    <row r="197" spans="1:3" ht="13.2">
      <c r="A197" s="36" t="s">
        <v>344</v>
      </c>
      <c r="B197" s="7"/>
    </row>
    <row r="207" spans="1:3" ht="13.2">
      <c r="A207" s="68" t="s">
        <v>128</v>
      </c>
      <c r="B207" s="68" t="s">
        <v>128</v>
      </c>
    </row>
    <row r="208" spans="1:3" ht="13.2">
      <c r="A208" s="36">
        <v>0</v>
      </c>
      <c r="B208" s="36">
        <v>123</v>
      </c>
      <c r="C208">
        <f t="shared" ref="C208:C212" si="11">(A209+A208)/2*($B$209-$B$208)</f>
        <v>315</v>
      </c>
    </row>
    <row r="209" spans="1:3" ht="13.2">
      <c r="A209" s="36">
        <v>15</v>
      </c>
      <c r="B209" s="36">
        <v>165</v>
      </c>
      <c r="C209">
        <f t="shared" si="11"/>
        <v>945</v>
      </c>
    </row>
    <row r="210" spans="1:3" ht="13.2">
      <c r="A210" s="36">
        <v>30</v>
      </c>
      <c r="B210" s="36">
        <v>126</v>
      </c>
      <c r="C210">
        <f t="shared" si="11"/>
        <v>1890</v>
      </c>
    </row>
    <row r="211" spans="1:3" ht="13.2">
      <c r="A211" s="36">
        <v>60</v>
      </c>
      <c r="B211" s="36">
        <v>110</v>
      </c>
      <c r="C211">
        <f t="shared" si="11"/>
        <v>3150</v>
      </c>
    </row>
    <row r="212" spans="1:3" ht="13.2">
      <c r="A212" s="36">
        <v>90</v>
      </c>
      <c r="B212" s="36">
        <v>139</v>
      </c>
      <c r="C212">
        <f t="shared" si="11"/>
        <v>4410</v>
      </c>
    </row>
    <row r="213" spans="1:3" ht="13.2">
      <c r="A213" s="36">
        <v>120</v>
      </c>
      <c r="B213" s="36">
        <v>109</v>
      </c>
    </row>
    <row r="214" spans="1:3" ht="13.2">
      <c r="A214" s="6" t="s">
        <v>344</v>
      </c>
      <c r="C214">
        <f>SUM(C208:C212)</f>
        <v>10710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LF</vt:lpstr>
      <vt:lpstr>HF</vt:lpstr>
      <vt:lpstr>SAAC</vt:lpstr>
      <vt:lpstr>STEVIA</vt:lpstr>
      <vt:lpstr>Compiled graphs</vt:lpstr>
      <vt:lpstr>Water Controls</vt:lpstr>
      <vt:lpstr>Sex ID</vt:lpstr>
      <vt:lpstr>Timeline</vt:lpstr>
      <vt:lpstr>GTT_initial</vt:lpstr>
      <vt:lpstr>Week36 Glucose Tests</vt:lpstr>
      <vt:lpstr>GTT Final</vt:lpstr>
      <vt:lpstr>Sheet17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chian</cp:lastModifiedBy>
  <dcterms:created xsi:type="dcterms:W3CDTF">2018-10-26T21:06:23Z</dcterms:created>
  <dcterms:modified xsi:type="dcterms:W3CDTF">2018-10-26T21:06:23Z</dcterms:modified>
</cp:coreProperties>
</file>