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pc\"/>
    </mc:Choice>
  </mc:AlternateContent>
  <xr:revisionPtr revIDLastSave="0" documentId="13_ncr:1_{9ABDD463-8FD5-4836-A87D-28201C90BB29}" xr6:coauthVersionLast="45" xr6:coauthVersionMax="45" xr10:uidLastSave="{00000000-0000-0000-0000-000000000000}"/>
  <bookViews>
    <workbookView xWindow="-26550" yWindow="4125" windowWidth="19365" windowHeight="16965" xr2:uid="{1E8DE301-83BD-4173-B6A9-79A28A2F1CE9}"/>
  </bookViews>
  <sheets>
    <sheet name="workflow" sheetId="3" r:id="rId1"/>
    <sheet name="file formats" sheetId="10" r:id="rId2"/>
    <sheet name="get xy Astrometrica soln" sheetId="8" r:id="rId3"/>
    <sheet name="get xy PinPoint soln plate scal" sheetId="9" r:id="rId4"/>
    <sheet name="get xy PinPoint soln" sheetId="7" r:id="rId5"/>
    <sheet name="Plate solver comparison" sheetId="5" r:id="rId6"/>
    <sheet name="trial SIP" sheetId="6" r:id="rId7"/>
    <sheet name="Questions" sheetId="4" r:id="rId8"/>
    <sheet name="modules" sheetId="1" r:id="rId9"/>
    <sheet name="classes" sheetId="2" r:id="rId10"/>
  </sheets>
  <definedNames>
    <definedName name="solver_adj" localSheetId="2" hidden="1">'get xy Astrometrica soln'!$E$6:$E$8</definedName>
    <definedName name="solver_adj" localSheetId="4" hidden="1">'get xy PinPoint soln'!$E$6:$E$7</definedName>
    <definedName name="solver_adj" localSheetId="3" hidden="1">'get xy PinPoint soln plate scal'!$E$6,'get xy PinPoint soln plate scal'!$E$7,'get xy PinPoint soln plate scal'!$E$9</definedName>
    <definedName name="solver_adj" localSheetId="6" hidden="1">'trial SIP'!$B$10,'trial SIP'!$B$13</definedName>
    <definedName name="solver_cvg" localSheetId="2" hidden="1">0.0000001</definedName>
    <definedName name="solver_cvg" localSheetId="4" hidden="1">0.0000001</definedName>
    <definedName name="solver_cvg" localSheetId="3" hidden="1">0.0000001</definedName>
    <definedName name="solver_cvg" localSheetId="6" hidden="1">0.0000001</definedName>
    <definedName name="solver_drv" localSheetId="2" hidden="1">2</definedName>
    <definedName name="solver_drv" localSheetId="4" hidden="1">2</definedName>
    <definedName name="solver_drv" localSheetId="3" hidden="1">2</definedName>
    <definedName name="solver_drv" localSheetId="6" hidden="1">2</definedName>
    <definedName name="solver_eng" localSheetId="2" hidden="1">1</definedName>
    <definedName name="solver_eng" localSheetId="4" hidden="1">1</definedName>
    <definedName name="solver_eng" localSheetId="3" hidden="1">1</definedName>
    <definedName name="solver_eng" localSheetId="6" hidden="1">1</definedName>
    <definedName name="solver_est" localSheetId="2" hidden="1">1</definedName>
    <definedName name="solver_est" localSheetId="4" hidden="1">1</definedName>
    <definedName name="solver_est" localSheetId="3" hidden="1">1</definedName>
    <definedName name="solver_est" localSheetId="6" hidden="1">1</definedName>
    <definedName name="solver_itr" localSheetId="2" hidden="1">2147483647</definedName>
    <definedName name="solver_itr" localSheetId="4" hidden="1">2147483647</definedName>
    <definedName name="solver_itr" localSheetId="3" hidden="1">2147483647</definedName>
    <definedName name="solver_itr" localSheetId="6" hidden="1">2147483647</definedName>
    <definedName name="solver_mip" localSheetId="2" hidden="1">2147483647</definedName>
    <definedName name="solver_mip" localSheetId="4" hidden="1">2147483647</definedName>
    <definedName name="solver_mip" localSheetId="3" hidden="1">2147483647</definedName>
    <definedName name="solver_mip" localSheetId="6" hidden="1">2147483647</definedName>
    <definedName name="solver_mni" localSheetId="2" hidden="1">30</definedName>
    <definedName name="solver_mni" localSheetId="4" hidden="1">30</definedName>
    <definedName name="solver_mni" localSheetId="3" hidden="1">30</definedName>
    <definedName name="solver_mni" localSheetId="6" hidden="1">30</definedName>
    <definedName name="solver_mrt" localSheetId="2" hidden="1">0.075</definedName>
    <definedName name="solver_mrt" localSheetId="4" hidden="1">0.075</definedName>
    <definedName name="solver_mrt" localSheetId="3" hidden="1">0.075</definedName>
    <definedName name="solver_mrt" localSheetId="6" hidden="1">0.075</definedName>
    <definedName name="solver_msl" localSheetId="2" hidden="1">2</definedName>
    <definedName name="solver_msl" localSheetId="4" hidden="1">2</definedName>
    <definedName name="solver_msl" localSheetId="3" hidden="1">2</definedName>
    <definedName name="solver_msl" localSheetId="6" hidden="1">2</definedName>
    <definedName name="solver_neg" localSheetId="2" hidden="1">2</definedName>
    <definedName name="solver_neg" localSheetId="4" hidden="1">2</definedName>
    <definedName name="solver_neg" localSheetId="3" hidden="1">2</definedName>
    <definedName name="solver_neg" localSheetId="6" hidden="1">2</definedName>
    <definedName name="solver_nod" localSheetId="2" hidden="1">2147483647</definedName>
    <definedName name="solver_nod" localSheetId="4" hidden="1">2147483647</definedName>
    <definedName name="solver_nod" localSheetId="3" hidden="1">2147483647</definedName>
    <definedName name="solver_nod" localSheetId="6" hidden="1">2147483647</definedName>
    <definedName name="solver_num" localSheetId="2" hidden="1">0</definedName>
    <definedName name="solver_num" localSheetId="4" hidden="1">0</definedName>
    <definedName name="solver_num" localSheetId="3" hidden="1">0</definedName>
    <definedName name="solver_num" localSheetId="6" hidden="1">0</definedName>
    <definedName name="solver_nwt" localSheetId="2" hidden="1">1</definedName>
    <definedName name="solver_nwt" localSheetId="4" hidden="1">1</definedName>
    <definedName name="solver_nwt" localSheetId="3" hidden="1">1</definedName>
    <definedName name="solver_nwt" localSheetId="6" hidden="1">1</definedName>
    <definedName name="solver_opt" localSheetId="2" hidden="1">'get xy Astrometrica soln'!$T$10</definedName>
    <definedName name="solver_opt" localSheetId="4" hidden="1">'get xy PinPoint soln'!$P$10</definedName>
    <definedName name="solver_opt" localSheetId="3" hidden="1">'get xy PinPoint soln plate scal'!$T$10</definedName>
    <definedName name="solver_opt" localSheetId="6" hidden="1">'trial SIP'!$Z$13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pre" localSheetId="6" hidden="1">0.000001</definedName>
    <definedName name="solver_rbv" localSheetId="2" hidden="1">2</definedName>
    <definedName name="solver_rbv" localSheetId="4" hidden="1">2</definedName>
    <definedName name="solver_rbv" localSheetId="3" hidden="1">2</definedName>
    <definedName name="solver_rbv" localSheetId="6" hidden="1">2</definedName>
    <definedName name="solver_rlx" localSheetId="2" hidden="1">2</definedName>
    <definedName name="solver_rlx" localSheetId="4" hidden="1">2</definedName>
    <definedName name="solver_rlx" localSheetId="3" hidden="1">2</definedName>
    <definedName name="solver_rlx" localSheetId="6" hidden="1">2</definedName>
    <definedName name="solver_rsd" localSheetId="2" hidden="1">0</definedName>
    <definedName name="solver_rsd" localSheetId="4" hidden="1">0</definedName>
    <definedName name="solver_rsd" localSheetId="3" hidden="1">0</definedName>
    <definedName name="solver_rsd" localSheetId="6" hidden="1">0</definedName>
    <definedName name="solver_scl" localSheetId="2" hidden="1">2</definedName>
    <definedName name="solver_scl" localSheetId="4" hidden="1">2</definedName>
    <definedName name="solver_scl" localSheetId="3" hidden="1">2</definedName>
    <definedName name="solver_scl" localSheetId="6" hidden="1">2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sho" localSheetId="6" hidden="1">2</definedName>
    <definedName name="solver_ssz" localSheetId="2" hidden="1">100</definedName>
    <definedName name="solver_ssz" localSheetId="4" hidden="1">100</definedName>
    <definedName name="solver_ssz" localSheetId="3" hidden="1">100</definedName>
    <definedName name="solver_ssz" localSheetId="6" hidden="1">100</definedName>
    <definedName name="solver_tim" localSheetId="2" hidden="1">2147483647</definedName>
    <definedName name="solver_tim" localSheetId="4" hidden="1">2147483647</definedName>
    <definedName name="solver_tim" localSheetId="3" hidden="1">2147483647</definedName>
    <definedName name="solver_tim" localSheetId="6" hidden="1">2147483647</definedName>
    <definedName name="solver_tol" localSheetId="2" hidden="1">0.01</definedName>
    <definedName name="solver_tol" localSheetId="4" hidden="1">0.01</definedName>
    <definedName name="solver_tol" localSheetId="3" hidden="1">0.01</definedName>
    <definedName name="solver_tol" localSheetId="6" hidden="1">0.01</definedName>
    <definedName name="solver_typ" localSheetId="2" hidden="1">2</definedName>
    <definedName name="solver_typ" localSheetId="4" hidden="1">2</definedName>
    <definedName name="solver_typ" localSheetId="3" hidden="1">2</definedName>
    <definedName name="solver_typ" localSheetId="6" hidden="1">2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al" localSheetId="6" hidden="1">0</definedName>
    <definedName name="solver_ver" localSheetId="2" hidden="1">3</definedName>
    <definedName name="solver_ver" localSheetId="4" hidden="1">3</definedName>
    <definedName name="solver_ver" localSheetId="3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" i="9" l="1"/>
  <c r="S16" i="9"/>
  <c r="R17" i="9"/>
  <c r="S17" i="9"/>
  <c r="R18" i="9"/>
  <c r="S18" i="9"/>
  <c r="R19" i="9"/>
  <c r="S19" i="9"/>
  <c r="R20" i="9"/>
  <c r="S20" i="9"/>
  <c r="R21" i="9"/>
  <c r="S21" i="9"/>
  <c r="R22" i="9"/>
  <c r="S22" i="9"/>
  <c r="R23" i="9"/>
  <c r="S23" i="9"/>
  <c r="R24" i="9"/>
  <c r="S24" i="9"/>
  <c r="R25" i="9"/>
  <c r="S25" i="9"/>
  <c r="R26" i="9"/>
  <c r="S26" i="9"/>
  <c r="R27" i="9"/>
  <c r="S27" i="9"/>
  <c r="R28" i="9"/>
  <c r="S28" i="9"/>
  <c r="R29" i="9"/>
  <c r="S29" i="9"/>
  <c r="R30" i="9"/>
  <c r="S30" i="9"/>
  <c r="R31" i="9"/>
  <c r="S31" i="9"/>
  <c r="R32" i="9"/>
  <c r="S32" i="9"/>
  <c r="R33" i="9"/>
  <c r="S33" i="9"/>
  <c r="R34" i="9"/>
  <c r="S34" i="9"/>
  <c r="R35" i="9"/>
  <c r="S35" i="9"/>
  <c r="R36" i="9"/>
  <c r="S36" i="9"/>
  <c r="R37" i="9"/>
  <c r="S37" i="9"/>
  <c r="R38" i="9"/>
  <c r="S38" i="9"/>
  <c r="R39" i="9"/>
  <c r="S39" i="9"/>
  <c r="R40" i="9"/>
  <c r="S40" i="9"/>
  <c r="R41" i="9"/>
  <c r="S41" i="9"/>
  <c r="R42" i="9"/>
  <c r="S42" i="9"/>
  <c r="R43" i="9"/>
  <c r="S43" i="9"/>
  <c r="R44" i="9"/>
  <c r="S44" i="9"/>
  <c r="R45" i="9"/>
  <c r="S45" i="9"/>
  <c r="R46" i="9"/>
  <c r="S46" i="9"/>
  <c r="R47" i="9"/>
  <c r="S47" i="9"/>
  <c r="S15" i="9"/>
  <c r="R15" i="9"/>
  <c r="O47" i="9"/>
  <c r="N47" i="9"/>
  <c r="O46" i="9"/>
  <c r="N46" i="9"/>
  <c r="O45" i="9"/>
  <c r="N45" i="9"/>
  <c r="O44" i="9"/>
  <c r="N44" i="9"/>
  <c r="O43" i="9"/>
  <c r="N43" i="9"/>
  <c r="O42" i="9"/>
  <c r="N42" i="9"/>
  <c r="O41" i="9"/>
  <c r="N41" i="9"/>
  <c r="O40" i="9"/>
  <c r="N40" i="9"/>
  <c r="O39" i="9"/>
  <c r="N39" i="9"/>
  <c r="O38" i="9"/>
  <c r="N38" i="9"/>
  <c r="O37" i="9"/>
  <c r="N37" i="9"/>
  <c r="O36" i="9"/>
  <c r="N36" i="9"/>
  <c r="O35" i="9"/>
  <c r="N35" i="9"/>
  <c r="O34" i="9"/>
  <c r="N34" i="9"/>
  <c r="O33" i="9"/>
  <c r="N33" i="9"/>
  <c r="O32" i="9"/>
  <c r="N32" i="9"/>
  <c r="O31" i="9"/>
  <c r="N31" i="9"/>
  <c r="O30" i="9"/>
  <c r="N30" i="9"/>
  <c r="O29" i="9"/>
  <c r="N29" i="9"/>
  <c r="O28" i="9"/>
  <c r="N28" i="9"/>
  <c r="O27" i="9"/>
  <c r="N27" i="9"/>
  <c r="O26" i="9"/>
  <c r="N26" i="9"/>
  <c r="O25" i="9"/>
  <c r="N25" i="9"/>
  <c r="O24" i="9"/>
  <c r="N24" i="9"/>
  <c r="O23" i="9"/>
  <c r="N23" i="9"/>
  <c r="O22" i="9"/>
  <c r="N22" i="9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P44" i="9" l="1"/>
  <c r="T40" i="9"/>
  <c r="T28" i="9"/>
  <c r="T20" i="9"/>
  <c r="P46" i="9"/>
  <c r="P35" i="9"/>
  <c r="P39" i="9"/>
  <c r="P43" i="9"/>
  <c r="P25" i="9"/>
  <c r="P27" i="9"/>
  <c r="P17" i="9"/>
  <c r="P41" i="9"/>
  <c r="T27" i="9"/>
  <c r="T29" i="9"/>
  <c r="T35" i="9"/>
  <c r="T39" i="9"/>
  <c r="T45" i="9"/>
  <c r="P18" i="9"/>
  <c r="P24" i="9"/>
  <c r="P32" i="9"/>
  <c r="P34" i="9"/>
  <c r="P38" i="9"/>
  <c r="P40" i="9"/>
  <c r="T38" i="9"/>
  <c r="T26" i="9"/>
  <c r="T42" i="9"/>
  <c r="P22" i="9"/>
  <c r="P26" i="9"/>
  <c r="P42" i="9"/>
  <c r="P30" i="9"/>
  <c r="T46" i="9"/>
  <c r="T22" i="9"/>
  <c r="P45" i="9"/>
  <c r="P19" i="9"/>
  <c r="T34" i="9"/>
  <c r="P47" i="9"/>
  <c r="P15" i="9"/>
  <c r="P23" i="9"/>
  <c r="P31" i="9"/>
  <c r="T18" i="9"/>
  <c r="T17" i="9"/>
  <c r="T30" i="9"/>
  <c r="T21" i="9"/>
  <c r="P37" i="9"/>
  <c r="P33" i="9"/>
  <c r="T36" i="9"/>
  <c r="T41" i="9"/>
  <c r="T15" i="9"/>
  <c r="P21" i="9"/>
  <c r="T24" i="9"/>
  <c r="P28" i="9"/>
  <c r="T31" i="9"/>
  <c r="T33" i="9"/>
  <c r="T43" i="9"/>
  <c r="P16" i="9"/>
  <c r="T19" i="9"/>
  <c r="T37" i="9"/>
  <c r="T47" i="9"/>
  <c r="T16" i="9"/>
  <c r="P20" i="9"/>
  <c r="T23" i="9"/>
  <c r="T25" i="9"/>
  <c r="P29" i="9"/>
  <c r="T32" i="9"/>
  <c r="P36" i="9"/>
  <c r="T44" i="9"/>
  <c r="V19" i="8"/>
  <c r="V27" i="8"/>
  <c r="V35" i="8"/>
  <c r="V43" i="8"/>
  <c r="R16" i="8"/>
  <c r="V16" i="8" s="1"/>
  <c r="R17" i="8"/>
  <c r="V17" i="8" s="1"/>
  <c r="R18" i="8"/>
  <c r="V18" i="8" s="1"/>
  <c r="R19" i="8"/>
  <c r="R20" i="8"/>
  <c r="V20" i="8" s="1"/>
  <c r="R21" i="8"/>
  <c r="V21" i="8" s="1"/>
  <c r="R22" i="8"/>
  <c r="V22" i="8" s="1"/>
  <c r="R23" i="8"/>
  <c r="V23" i="8" s="1"/>
  <c r="R24" i="8"/>
  <c r="V24" i="8" s="1"/>
  <c r="R25" i="8"/>
  <c r="V25" i="8" s="1"/>
  <c r="R26" i="8"/>
  <c r="V26" i="8" s="1"/>
  <c r="R27" i="8"/>
  <c r="R28" i="8"/>
  <c r="V28" i="8" s="1"/>
  <c r="R29" i="8"/>
  <c r="V29" i="8" s="1"/>
  <c r="R30" i="8"/>
  <c r="V30" i="8" s="1"/>
  <c r="R31" i="8"/>
  <c r="V31" i="8" s="1"/>
  <c r="R32" i="8"/>
  <c r="V32" i="8" s="1"/>
  <c r="R33" i="8"/>
  <c r="V33" i="8" s="1"/>
  <c r="R34" i="8"/>
  <c r="V34" i="8" s="1"/>
  <c r="R35" i="8"/>
  <c r="R36" i="8"/>
  <c r="V36" i="8" s="1"/>
  <c r="R37" i="8"/>
  <c r="V37" i="8" s="1"/>
  <c r="R38" i="8"/>
  <c r="V38" i="8" s="1"/>
  <c r="R39" i="8"/>
  <c r="V39" i="8" s="1"/>
  <c r="R40" i="8"/>
  <c r="V40" i="8" s="1"/>
  <c r="R41" i="8"/>
  <c r="V41" i="8" s="1"/>
  <c r="R42" i="8"/>
  <c r="V42" i="8" s="1"/>
  <c r="R43" i="8"/>
  <c r="R44" i="8"/>
  <c r="V44" i="8" s="1"/>
  <c r="R45" i="8"/>
  <c r="V45" i="8" s="1"/>
  <c r="R46" i="8"/>
  <c r="V46" i="8" s="1"/>
  <c r="R47" i="8"/>
  <c r="V47" i="8" s="1"/>
  <c r="R15" i="8"/>
  <c r="V15" i="8" s="1"/>
  <c r="S15" i="8"/>
  <c r="W15" i="8" s="1"/>
  <c r="S47" i="7"/>
  <c r="R47" i="7"/>
  <c r="T47" i="7" s="1"/>
  <c r="S46" i="7"/>
  <c r="T46" i="7" s="1"/>
  <c r="R46" i="7"/>
  <c r="S45" i="7"/>
  <c r="T45" i="7" s="1"/>
  <c r="R45" i="7"/>
  <c r="S44" i="7"/>
  <c r="R44" i="7"/>
  <c r="T44" i="7" s="1"/>
  <c r="T43" i="7"/>
  <c r="S43" i="7"/>
  <c r="R43" i="7"/>
  <c r="T42" i="7"/>
  <c r="S42" i="7"/>
  <c r="R42" i="7"/>
  <c r="S41" i="7"/>
  <c r="R41" i="7"/>
  <c r="T41" i="7" s="1"/>
  <c r="S40" i="7"/>
  <c r="R40" i="7"/>
  <c r="T40" i="7" s="1"/>
  <c r="S39" i="7"/>
  <c r="R39" i="7"/>
  <c r="T39" i="7" s="1"/>
  <c r="S38" i="7"/>
  <c r="T38" i="7" s="1"/>
  <c r="R38" i="7"/>
  <c r="S37" i="7"/>
  <c r="T37" i="7" s="1"/>
  <c r="R37" i="7"/>
  <c r="S36" i="7"/>
  <c r="R36" i="7"/>
  <c r="T36" i="7" s="1"/>
  <c r="T35" i="7"/>
  <c r="S35" i="7"/>
  <c r="R35" i="7"/>
  <c r="T34" i="7"/>
  <c r="S34" i="7"/>
  <c r="R34" i="7"/>
  <c r="S33" i="7"/>
  <c r="R33" i="7"/>
  <c r="T33" i="7" s="1"/>
  <c r="S32" i="7"/>
  <c r="R32" i="7"/>
  <c r="T32" i="7" s="1"/>
  <c r="S31" i="7"/>
  <c r="R31" i="7"/>
  <c r="T31" i="7" s="1"/>
  <c r="S30" i="7"/>
  <c r="T30" i="7" s="1"/>
  <c r="R30" i="7"/>
  <c r="S29" i="7"/>
  <c r="T29" i="7" s="1"/>
  <c r="R29" i="7"/>
  <c r="S28" i="7"/>
  <c r="R28" i="7"/>
  <c r="T28" i="7" s="1"/>
  <c r="T27" i="7"/>
  <c r="S27" i="7"/>
  <c r="R27" i="7"/>
  <c r="T26" i="7"/>
  <c r="S26" i="7"/>
  <c r="R26" i="7"/>
  <c r="S25" i="7"/>
  <c r="R25" i="7"/>
  <c r="T25" i="7" s="1"/>
  <c r="S24" i="7"/>
  <c r="R24" i="7"/>
  <c r="T24" i="7" s="1"/>
  <c r="S23" i="7"/>
  <c r="R23" i="7"/>
  <c r="T23" i="7" s="1"/>
  <c r="S22" i="7"/>
  <c r="T22" i="7" s="1"/>
  <c r="R22" i="7"/>
  <c r="S21" i="7"/>
  <c r="T21" i="7" s="1"/>
  <c r="R21" i="7"/>
  <c r="S20" i="7"/>
  <c r="R20" i="7"/>
  <c r="T20" i="7" s="1"/>
  <c r="T19" i="7"/>
  <c r="S19" i="7"/>
  <c r="R19" i="7"/>
  <c r="T18" i="7"/>
  <c r="S18" i="7"/>
  <c r="R18" i="7"/>
  <c r="S17" i="7"/>
  <c r="R17" i="7"/>
  <c r="T17" i="7" s="1"/>
  <c r="S16" i="7"/>
  <c r="R16" i="7"/>
  <c r="T16" i="7" s="1"/>
  <c r="S15" i="7"/>
  <c r="R15" i="7"/>
  <c r="T15" i="7" s="1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6" i="7"/>
  <c r="O16" i="7"/>
  <c r="N17" i="7"/>
  <c r="O17" i="7"/>
  <c r="N18" i="7"/>
  <c r="O18" i="7"/>
  <c r="N19" i="7"/>
  <c r="O19" i="7"/>
  <c r="N20" i="7"/>
  <c r="O20" i="7"/>
  <c r="N21" i="7"/>
  <c r="O21" i="7"/>
  <c r="N22" i="7"/>
  <c r="O22" i="7"/>
  <c r="N23" i="7"/>
  <c r="O23" i="7"/>
  <c r="N24" i="7"/>
  <c r="O24" i="7"/>
  <c r="N25" i="7"/>
  <c r="O25" i="7"/>
  <c r="N26" i="7"/>
  <c r="O26" i="7"/>
  <c r="N27" i="7"/>
  <c r="O27" i="7"/>
  <c r="N28" i="7"/>
  <c r="O28" i="7"/>
  <c r="N29" i="7"/>
  <c r="O29" i="7"/>
  <c r="N30" i="7"/>
  <c r="O30" i="7"/>
  <c r="N31" i="7"/>
  <c r="O31" i="7"/>
  <c r="N32" i="7"/>
  <c r="O32" i="7"/>
  <c r="N33" i="7"/>
  <c r="O33" i="7"/>
  <c r="N34" i="7"/>
  <c r="O34" i="7"/>
  <c r="N35" i="7"/>
  <c r="O35" i="7"/>
  <c r="N36" i="7"/>
  <c r="O36" i="7"/>
  <c r="N37" i="7"/>
  <c r="O37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N45" i="7"/>
  <c r="O45" i="7"/>
  <c r="N46" i="7"/>
  <c r="O46" i="7"/>
  <c r="N47" i="7"/>
  <c r="O47" i="7"/>
  <c r="N15" i="7"/>
  <c r="O15" i="7"/>
  <c r="X26" i="8" l="1"/>
  <c r="P10" i="9"/>
  <c r="T10" i="9"/>
  <c r="S43" i="8"/>
  <c r="S27" i="8"/>
  <c r="S47" i="8"/>
  <c r="S39" i="8"/>
  <c r="S19" i="8"/>
  <c r="S31" i="8"/>
  <c r="S23" i="8"/>
  <c r="S35" i="8"/>
  <c r="S46" i="8"/>
  <c r="S42" i="8"/>
  <c r="S38" i="8"/>
  <c r="S34" i="8"/>
  <c r="S30" i="8"/>
  <c r="S26" i="8"/>
  <c r="S22" i="8"/>
  <c r="S18" i="8"/>
  <c r="S45" i="8"/>
  <c r="S41" i="8"/>
  <c r="S37" i="8"/>
  <c r="S33" i="8"/>
  <c r="S29" i="8"/>
  <c r="S25" i="8"/>
  <c r="S21" i="8"/>
  <c r="S17" i="8"/>
  <c r="S44" i="8"/>
  <c r="S40" i="8"/>
  <c r="S36" i="8"/>
  <c r="S32" i="8"/>
  <c r="S28" i="8"/>
  <c r="S24" i="8"/>
  <c r="S20" i="8"/>
  <c r="S16" i="8"/>
  <c r="O23" i="8"/>
  <c r="P23" i="8" s="1"/>
  <c r="O27" i="8"/>
  <c r="P27" i="8" s="1"/>
  <c r="O18" i="8"/>
  <c r="P18" i="8" s="1"/>
  <c r="O32" i="8"/>
  <c r="P32" i="8" s="1"/>
  <c r="O36" i="8"/>
  <c r="P36" i="8" s="1"/>
  <c r="O43" i="8"/>
  <c r="P43" i="8" s="1"/>
  <c r="O19" i="8"/>
  <c r="P19" i="8" s="1"/>
  <c r="O28" i="8"/>
  <c r="P28" i="8" s="1"/>
  <c r="O15" i="8"/>
  <c r="P15" i="8" s="1"/>
  <c r="O24" i="8"/>
  <c r="P24" i="8" s="1"/>
  <c r="T15" i="8"/>
  <c r="O34" i="8"/>
  <c r="P34" i="8" s="1"/>
  <c r="O39" i="8"/>
  <c r="P39" i="8" s="1"/>
  <c r="O20" i="8"/>
  <c r="P20" i="8" s="1"/>
  <c r="O16" i="8"/>
  <c r="P16" i="8" s="1"/>
  <c r="O30" i="8"/>
  <c r="P30" i="8" s="1"/>
  <c r="O47" i="8"/>
  <c r="P47" i="8" s="1"/>
  <c r="O26" i="8"/>
  <c r="P26" i="8" s="1"/>
  <c r="O35" i="8"/>
  <c r="P35" i="8" s="1"/>
  <c r="O22" i="8"/>
  <c r="P22" i="8" s="1"/>
  <c r="O31" i="8"/>
  <c r="P31" i="8" s="1"/>
  <c r="O38" i="8"/>
  <c r="P38" i="8" s="1"/>
  <c r="O42" i="8"/>
  <c r="P42" i="8" s="1"/>
  <c r="O46" i="8"/>
  <c r="P46" i="8" s="1"/>
  <c r="O40" i="8"/>
  <c r="P40" i="8" s="1"/>
  <c r="O44" i="8"/>
  <c r="P44" i="8" s="1"/>
  <c r="O17" i="8"/>
  <c r="P17" i="8" s="1"/>
  <c r="O21" i="8"/>
  <c r="P21" i="8" s="1"/>
  <c r="O25" i="8"/>
  <c r="P25" i="8" s="1"/>
  <c r="O29" i="8"/>
  <c r="P29" i="8" s="1"/>
  <c r="O33" i="8"/>
  <c r="P33" i="8" s="1"/>
  <c r="O37" i="8"/>
  <c r="P37" i="8" s="1"/>
  <c r="O41" i="8"/>
  <c r="P41" i="8" s="1"/>
  <c r="O45" i="8"/>
  <c r="P45" i="8" s="1"/>
  <c r="T10" i="7"/>
  <c r="P24" i="7"/>
  <c r="P20" i="7"/>
  <c r="P36" i="7"/>
  <c r="P17" i="7"/>
  <c r="P23" i="7"/>
  <c r="P25" i="7"/>
  <c r="P42" i="7"/>
  <c r="P38" i="7"/>
  <c r="P22" i="7"/>
  <c r="P18" i="7"/>
  <c r="P46" i="7"/>
  <c r="P30" i="7"/>
  <c r="P41" i="7"/>
  <c r="P44" i="7"/>
  <c r="P33" i="7"/>
  <c r="P28" i="7"/>
  <c r="P39" i="7"/>
  <c r="P15" i="7"/>
  <c r="P47" i="7"/>
  <c r="P31" i="7"/>
  <c r="P32" i="7"/>
  <c r="P40" i="7"/>
  <c r="P19" i="7"/>
  <c r="P34" i="7"/>
  <c r="P37" i="7"/>
  <c r="P27" i="7"/>
  <c r="P21" i="7"/>
  <c r="P43" i="7"/>
  <c r="P26" i="7"/>
  <c r="P45" i="7"/>
  <c r="P29" i="7"/>
  <c r="P16" i="7"/>
  <c r="P35" i="7"/>
  <c r="P24" i="5"/>
  <c r="F12" i="6"/>
  <c r="F13" i="6"/>
  <c r="H13" i="6" s="1"/>
  <c r="H12" i="6"/>
  <c r="T28" i="8" l="1"/>
  <c r="W28" i="8"/>
  <c r="T19" i="8"/>
  <c r="W19" i="8"/>
  <c r="T32" i="8"/>
  <c r="W32" i="8"/>
  <c r="T33" i="8"/>
  <c r="W33" i="8"/>
  <c r="T34" i="8"/>
  <c r="W34" i="8"/>
  <c r="T39" i="8"/>
  <c r="W39" i="8"/>
  <c r="T29" i="8"/>
  <c r="W29" i="8"/>
  <c r="T30" i="8"/>
  <c r="W30" i="8"/>
  <c r="T36" i="8"/>
  <c r="W36" i="8"/>
  <c r="T37" i="8"/>
  <c r="W37" i="8"/>
  <c r="T38" i="8"/>
  <c r="W38" i="8"/>
  <c r="T47" i="8"/>
  <c r="W47" i="8"/>
  <c r="T41" i="8"/>
  <c r="W41" i="8"/>
  <c r="T44" i="8"/>
  <c r="W44" i="8"/>
  <c r="T45" i="8"/>
  <c r="W45" i="8"/>
  <c r="T46" i="8"/>
  <c r="W46" i="8"/>
  <c r="T43" i="8"/>
  <c r="W43" i="8"/>
  <c r="T27" i="8"/>
  <c r="W27" i="8"/>
  <c r="T16" i="8"/>
  <c r="T10" i="8" s="1"/>
  <c r="W16" i="8"/>
  <c r="T17" i="8"/>
  <c r="W17" i="8"/>
  <c r="T18" i="8"/>
  <c r="W18" i="8"/>
  <c r="T35" i="8"/>
  <c r="W35" i="8"/>
  <c r="T40" i="8"/>
  <c r="W40" i="8"/>
  <c r="T20" i="8"/>
  <c r="W20" i="8"/>
  <c r="T21" i="8"/>
  <c r="W21" i="8"/>
  <c r="T22" i="8"/>
  <c r="W22" i="8"/>
  <c r="T23" i="8"/>
  <c r="W23" i="8"/>
  <c r="T42" i="8"/>
  <c r="W42" i="8"/>
  <c r="T24" i="8"/>
  <c r="W24" i="8"/>
  <c r="T25" i="8"/>
  <c r="W25" i="8"/>
  <c r="T26" i="8"/>
  <c r="W26" i="8"/>
  <c r="T31" i="8"/>
  <c r="W31" i="8"/>
  <c r="P10" i="8"/>
  <c r="P10" i="7"/>
  <c r="K19" i="6"/>
  <c r="Q19" i="6" s="1"/>
  <c r="L19" i="6"/>
  <c r="R19" i="6" s="1"/>
  <c r="K20" i="6"/>
  <c r="Q20" i="6" s="1"/>
  <c r="L20" i="6"/>
  <c r="R20" i="6" s="1"/>
  <c r="K21" i="6"/>
  <c r="Q21" i="6" s="1"/>
  <c r="L21" i="6"/>
  <c r="R21" i="6" s="1"/>
  <c r="K22" i="6"/>
  <c r="Q22" i="6" s="1"/>
  <c r="L22" i="6"/>
  <c r="R22" i="6" s="1"/>
  <c r="K23" i="6"/>
  <c r="Q23" i="6" s="1"/>
  <c r="L23" i="6"/>
  <c r="R23" i="6" s="1"/>
  <c r="K24" i="6"/>
  <c r="Q24" i="6" s="1"/>
  <c r="L24" i="6"/>
  <c r="R24" i="6" s="1"/>
  <c r="K25" i="6"/>
  <c r="Q25" i="6" s="1"/>
  <c r="L25" i="6"/>
  <c r="R25" i="6" s="1"/>
  <c r="K26" i="6"/>
  <c r="Q26" i="6" s="1"/>
  <c r="L26" i="6"/>
  <c r="R26" i="6" s="1"/>
  <c r="K27" i="6"/>
  <c r="Q27" i="6" s="1"/>
  <c r="L27" i="6"/>
  <c r="R27" i="6" s="1"/>
  <c r="K28" i="6"/>
  <c r="Q28" i="6" s="1"/>
  <c r="L28" i="6"/>
  <c r="R28" i="6" s="1"/>
  <c r="K29" i="6"/>
  <c r="Q29" i="6" s="1"/>
  <c r="L29" i="6"/>
  <c r="R29" i="6" s="1"/>
  <c r="K30" i="6"/>
  <c r="Q30" i="6" s="1"/>
  <c r="L30" i="6"/>
  <c r="R30" i="6" s="1"/>
  <c r="K31" i="6"/>
  <c r="Q31" i="6" s="1"/>
  <c r="L31" i="6"/>
  <c r="R31" i="6" s="1"/>
  <c r="K32" i="6"/>
  <c r="Q32" i="6" s="1"/>
  <c r="L32" i="6"/>
  <c r="R32" i="6" s="1"/>
  <c r="K33" i="6"/>
  <c r="Q33" i="6" s="1"/>
  <c r="L33" i="6"/>
  <c r="R33" i="6" s="1"/>
  <c r="K34" i="6"/>
  <c r="Q34" i="6" s="1"/>
  <c r="L34" i="6"/>
  <c r="R34" i="6" s="1"/>
  <c r="K35" i="6"/>
  <c r="Q35" i="6" s="1"/>
  <c r="L35" i="6"/>
  <c r="R35" i="6" s="1"/>
  <c r="K36" i="6"/>
  <c r="Q36" i="6" s="1"/>
  <c r="L36" i="6"/>
  <c r="R36" i="6" s="1"/>
  <c r="K37" i="6"/>
  <c r="Q37" i="6" s="1"/>
  <c r="L37" i="6"/>
  <c r="R37" i="6" s="1"/>
  <c r="K38" i="6"/>
  <c r="Q38" i="6" s="1"/>
  <c r="L38" i="6"/>
  <c r="R38" i="6" s="1"/>
  <c r="K39" i="6"/>
  <c r="Q39" i="6" s="1"/>
  <c r="L39" i="6"/>
  <c r="R39" i="6" s="1"/>
  <c r="K40" i="6"/>
  <c r="Q40" i="6" s="1"/>
  <c r="L40" i="6"/>
  <c r="R40" i="6" s="1"/>
  <c r="K41" i="6"/>
  <c r="Q41" i="6" s="1"/>
  <c r="L41" i="6"/>
  <c r="R41" i="6" s="1"/>
  <c r="K42" i="6"/>
  <c r="Q42" i="6" s="1"/>
  <c r="L42" i="6"/>
  <c r="R42" i="6" s="1"/>
  <c r="K43" i="6"/>
  <c r="Q43" i="6" s="1"/>
  <c r="L43" i="6"/>
  <c r="R43" i="6" s="1"/>
  <c r="K44" i="6"/>
  <c r="Q44" i="6" s="1"/>
  <c r="L44" i="6"/>
  <c r="R44" i="6" s="1"/>
  <c r="L18" i="6"/>
  <c r="R18" i="6" s="1"/>
  <c r="K18" i="6"/>
  <c r="Q18" i="6" s="1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Y26" i="8" l="1"/>
  <c r="O18" i="6"/>
  <c r="O42" i="6"/>
  <c r="N42" i="6" s="1"/>
  <c r="O38" i="6"/>
  <c r="N38" i="6" s="1"/>
  <c r="O34" i="6"/>
  <c r="N34" i="6" s="1"/>
  <c r="O30" i="6"/>
  <c r="N30" i="6" s="1"/>
  <c r="O26" i="6"/>
  <c r="N26" i="6" s="1"/>
  <c r="O22" i="6"/>
  <c r="N22" i="6" s="1"/>
  <c r="O37" i="6"/>
  <c r="O33" i="6"/>
  <c r="O29" i="6"/>
  <c r="O25" i="6"/>
  <c r="O21" i="6"/>
  <c r="O41" i="6"/>
  <c r="O43" i="6"/>
  <c r="O39" i="6"/>
  <c r="O35" i="6"/>
  <c r="O31" i="6"/>
  <c r="O27" i="6"/>
  <c r="O23" i="6"/>
  <c r="O19" i="6"/>
  <c r="O44" i="6"/>
  <c r="O40" i="6"/>
  <c r="O36" i="6"/>
  <c r="O32" i="6"/>
  <c r="O28" i="6"/>
  <c r="O24" i="6"/>
  <c r="O20" i="6"/>
  <c r="U23" i="6" l="1"/>
  <c r="X23" i="6" s="1"/>
  <c r="N23" i="6"/>
  <c r="T23" i="6" s="1"/>
  <c r="W23" i="6" s="1"/>
  <c r="U27" i="6"/>
  <c r="X27" i="6" s="1"/>
  <c r="N27" i="6"/>
  <c r="T27" i="6" s="1"/>
  <c r="W27" i="6" s="1"/>
  <c r="U44" i="6"/>
  <c r="X44" i="6" s="1"/>
  <c r="N44" i="6"/>
  <c r="T44" i="6" s="1"/>
  <c r="W44" i="6" s="1"/>
  <c r="U31" i="6"/>
  <c r="X31" i="6" s="1"/>
  <c r="N31" i="6"/>
  <c r="T31" i="6" s="1"/>
  <c r="W31" i="6" s="1"/>
  <c r="U41" i="6"/>
  <c r="X41" i="6" s="1"/>
  <c r="N41" i="6"/>
  <c r="T41" i="6" s="1"/>
  <c r="W41" i="6" s="1"/>
  <c r="U37" i="6"/>
  <c r="X37" i="6" s="1"/>
  <c r="N37" i="6"/>
  <c r="T37" i="6" s="1"/>
  <c r="W37" i="6" s="1"/>
  <c r="U20" i="6"/>
  <c r="X20" i="6" s="1"/>
  <c r="N20" i="6"/>
  <c r="T20" i="6" s="1"/>
  <c r="W20" i="6" s="1"/>
  <c r="U39" i="6"/>
  <c r="X39" i="6" s="1"/>
  <c r="N39" i="6"/>
  <c r="T39" i="6" s="1"/>
  <c r="W39" i="6" s="1"/>
  <c r="U24" i="6"/>
  <c r="X24" i="6" s="1"/>
  <c r="N24" i="6"/>
  <c r="T24" i="6" s="1"/>
  <c r="W24" i="6" s="1"/>
  <c r="U28" i="6"/>
  <c r="X28" i="6" s="1"/>
  <c r="N28" i="6"/>
  <c r="T28" i="6" s="1"/>
  <c r="W28" i="6" s="1"/>
  <c r="U29" i="6"/>
  <c r="X29" i="6" s="1"/>
  <c r="N29" i="6"/>
  <c r="T29" i="6" s="1"/>
  <c r="W29" i="6" s="1"/>
  <c r="U36" i="6"/>
  <c r="X36" i="6" s="1"/>
  <c r="N36" i="6"/>
  <c r="T36" i="6" s="1"/>
  <c r="W36" i="6" s="1"/>
  <c r="U40" i="6"/>
  <c r="X40" i="6" s="1"/>
  <c r="N40" i="6"/>
  <c r="T40" i="6" s="1"/>
  <c r="W40" i="6" s="1"/>
  <c r="U35" i="6"/>
  <c r="X35" i="6" s="1"/>
  <c r="N35" i="6"/>
  <c r="T35" i="6" s="1"/>
  <c r="W35" i="6" s="1"/>
  <c r="U21" i="6"/>
  <c r="X21" i="6" s="1"/>
  <c r="N21" i="6"/>
  <c r="T21" i="6" s="1"/>
  <c r="W21" i="6" s="1"/>
  <c r="U43" i="6"/>
  <c r="X43" i="6" s="1"/>
  <c r="N43" i="6"/>
  <c r="T43" i="6" s="1"/>
  <c r="W43" i="6" s="1"/>
  <c r="U25" i="6"/>
  <c r="X25" i="6" s="1"/>
  <c r="N25" i="6"/>
  <c r="T25" i="6" s="1"/>
  <c r="W25" i="6" s="1"/>
  <c r="U32" i="6"/>
  <c r="X32" i="6" s="1"/>
  <c r="N32" i="6"/>
  <c r="T32" i="6" s="1"/>
  <c r="W32" i="6" s="1"/>
  <c r="U19" i="6"/>
  <c r="X19" i="6" s="1"/>
  <c r="N19" i="6"/>
  <c r="T19" i="6" s="1"/>
  <c r="W19" i="6" s="1"/>
  <c r="U33" i="6"/>
  <c r="X33" i="6" s="1"/>
  <c r="N33" i="6"/>
  <c r="T33" i="6" s="1"/>
  <c r="W33" i="6" s="1"/>
  <c r="U18" i="6"/>
  <c r="X18" i="6" s="1"/>
  <c r="N18" i="6"/>
  <c r="T18" i="6" s="1"/>
  <c r="W18" i="6" s="1"/>
  <c r="U22" i="6"/>
  <c r="X22" i="6" s="1"/>
  <c r="U26" i="6"/>
  <c r="X26" i="6" s="1"/>
  <c r="T26" i="6"/>
  <c r="W26" i="6" s="1"/>
  <c r="U34" i="6"/>
  <c r="X34" i="6" s="1"/>
  <c r="U42" i="6"/>
  <c r="X42" i="6" s="1"/>
  <c r="T42" i="6"/>
  <c r="W42" i="6" s="1"/>
  <c r="U30" i="6"/>
  <c r="X30" i="6" s="1"/>
  <c r="U38" i="6"/>
  <c r="X38" i="6" s="1"/>
  <c r="T22" i="6"/>
  <c r="W22" i="6" s="1"/>
  <c r="T34" i="6"/>
  <c r="W34" i="6" s="1"/>
  <c r="T30" i="6"/>
  <c r="W30" i="6" s="1"/>
  <c r="T38" i="6"/>
  <c r="W38" i="6" s="1"/>
  <c r="Z32" i="6" l="1"/>
  <c r="Z37" i="6"/>
  <c r="Z35" i="6"/>
  <c r="Z28" i="6"/>
  <c r="Z33" i="6"/>
  <c r="Z43" i="6"/>
  <c r="Z18" i="6"/>
  <c r="Z25" i="6"/>
  <c r="Z40" i="6"/>
  <c r="Z24" i="6"/>
  <c r="Z23" i="6"/>
  <c r="Z27" i="6"/>
  <c r="Z36" i="6"/>
  <c r="Z21" i="6"/>
  <c r="Z20" i="6"/>
  <c r="Z29" i="6"/>
  <c r="Z19" i="6"/>
  <c r="Z44" i="6"/>
  <c r="Z39" i="6"/>
  <c r="Z31" i="6"/>
  <c r="Z34" i="6"/>
  <c r="Z26" i="6"/>
  <c r="Z30" i="6"/>
  <c r="Z38" i="6"/>
  <c r="Z22" i="6"/>
  <c r="Z13" i="6" l="1"/>
</calcChain>
</file>

<file path=xl/sharedStrings.xml><?xml version="1.0" encoding="utf-8"?>
<sst xmlns="http://schemas.openxmlformats.org/spreadsheetml/2006/main" count="1043" uniqueCount="396">
  <si>
    <t>class</t>
  </si>
  <si>
    <t>WholeImage</t>
  </si>
  <si>
    <t>image [CCDData]</t>
  </si>
  <si>
    <t>ref_star_radecs [list of 2-tuples of floats]</t>
  </si>
  <si>
    <t>mp_radec [2-tuple of floats]</t>
  </si>
  <si>
    <t>filename [string]</t>
  </si>
  <si>
    <t>filter [string]</t>
  </si>
  <si>
    <t>exposure [float]</t>
  </si>
  <si>
    <t>JD_mid [float]</t>
  </si>
  <si>
    <t>attr</t>
  </si>
  <si>
    <t>method</t>
  </si>
  <si>
    <t>MP RA,Dec</t>
  </si>
  <si>
    <t>Ref star RA,Dec</t>
  </si>
  <si>
    <t>in seconds</t>
  </si>
  <si>
    <t>ccdproc.CCDData object</t>
  </si>
  <si>
    <t>fullpath [string]</t>
  </si>
  <si>
    <t>directory [string]</t>
  </si>
  <si>
    <t>an [string]</t>
  </si>
  <si>
    <t>mp_id [string]</t>
  </si>
  <si>
    <t>ref_star_data [list of 3-tuples (str, float, float)]</t>
  </si>
  <si>
    <t>[(filename, x, y)]</t>
  </si>
  <si>
    <t>mp_data [3-tuple of (str, float, float)]</t>
  </si>
  <si>
    <t>(filename, x, y)</t>
  </si>
  <si>
    <t>Situation</t>
  </si>
  <si>
    <t>pixel_shift_tolerance [float]</t>
  </si>
  <si>
    <t>how bad can pointing, tracking etc be?</t>
  </si>
  <si>
    <t>nominal_fwhm [float]</t>
  </si>
  <si>
    <t>for sizing etc; actual psfs &amp; fwhms wil be used</t>
  </si>
  <si>
    <t>ccd_gain [float]</t>
  </si>
  <si>
    <t>electrons/adu</t>
  </si>
  <si>
    <t>saturation_adu</t>
  </si>
  <si>
    <t>adus, typically 54000</t>
  </si>
  <si>
    <t>WholeImageList</t>
  </si>
  <si>
    <t>hard_align()</t>
  </si>
  <si>
    <t>using &gt;=2 ref stars, including pixel scale stretching</t>
  </si>
  <si>
    <t>render_subarray(x, x, y, y)</t>
  </si>
  <si>
    <t>SubarrayList</t>
  </si>
  <si>
    <t>rough_align(target_xy)</t>
  </si>
  <si>
    <t>hard_align_all()</t>
  </si>
  <si>
    <t>recrop_all_to_good_data()</t>
  </si>
  <si>
    <t>calls hard_align() on all subarrays</t>
  </si>
  <si>
    <t>Subarray [CCDData]</t>
  </si>
  <si>
    <t>subarrays [list of Subimage objects]</t>
  </si>
  <si>
    <t>wholeimages [list of WholeImage objects]</t>
  </si>
  <si>
    <t>render_subarray_list(x,x,y,y)</t>
  </si>
  <si>
    <t>returns new Subarray object</t>
  </si>
  <si>
    <t>returns new SubarrayList object, fully populated</t>
  </si>
  <si>
    <t>subarray [numpy masked array]</t>
  </si>
  <si>
    <t>render_cropped_subarray(x,x,y,y)</t>
  </si>
  <si>
    <t>estimate_misalignments()</t>
  </si>
  <si>
    <t>returns new SubarrayList with MP masked from each</t>
  </si>
  <si>
    <t>returns new SubarrayList with smaller Subarrays</t>
  </si>
  <si>
    <t>returns new Subarray as best background (no pixels masked)</t>
  </si>
  <si>
    <t>recrops to uniform shape, removing all NaNs and masked pixels</t>
  </si>
  <si>
    <t>make_bkgd_subtr()</t>
  </si>
  <si>
    <t>make_averaged()</t>
  </si>
  <si>
    <t>make_mp_masked()</t>
  </si>
  <si>
    <t>make_cropped_subarrays(x,x,y,y)</t>
  </si>
  <si>
    <t>returns new WholeImage object, shifted by whole-pixel (as early as possible)</t>
  </si>
  <si>
    <t>An entirely rewritten MP photometry algorithm including bulldozer &amp; other refinements.</t>
  </si>
  <si>
    <t>Code new Package mp_phot</t>
  </si>
  <si>
    <t>Retains idea of control.txt, 3 intermediate dfs feeding final (loop) reduction + plotting.</t>
  </si>
  <si>
    <t>do_workflow.py</t>
  </si>
  <si>
    <t>start()</t>
  </si>
  <si>
    <t>starts new log, sets up context</t>
  </si>
  <si>
    <t>assess()</t>
  </si>
  <si>
    <t>validates all FITS, makes new control.txt</t>
  </si>
  <si>
    <t>calls measure.measure_mp()</t>
  </si>
  <si>
    <t>calls measure.measure_comps()</t>
  </si>
  <si>
    <t>makes required classes, measures fluxes (bulldozer), makes mp dfs</t>
  </si>
  <si>
    <t>makes required classes, measures fluxes (ATLAS comps), makes comp dfs</t>
  </si>
  <si>
    <t>combine_dfs()</t>
  </si>
  <si>
    <t>takes mp and comps dfs, makes 3 intermediate dfs</t>
  </si>
  <si>
    <t>calls reduce main_photometry()</t>
  </si>
  <si>
    <t>very similar to mpc.mp_phot.do_mp_phot()</t>
  </si>
  <si>
    <t>WORKFLOW steps, in this order</t>
  </si>
  <si>
    <t>[user]</t>
  </si>
  <si>
    <t>start Session Form</t>
  </si>
  <si>
    <t>copy FITS to new MP Photometry folder</t>
  </si>
  <si>
    <t>Astrometrica</t>
  </si>
  <si>
    <t>MaxIm</t>
  </si>
  <si>
    <t xml:space="preserve">exclude images near stars etc. </t>
  </si>
  <si>
    <t>get exact early and late MP positions</t>
  </si>
  <si>
    <t>add exact MP positions (verify file names)</t>
  </si>
  <si>
    <t>enter parms from previous session of same MP (optional)</t>
  </si>
  <si>
    <t xml:space="preserve">   "</t>
  </si>
  <si>
    <t>get centroided ref_star positions, get radecs (nb same in every image)</t>
  </si>
  <si>
    <t>v</t>
  </si>
  <si>
    <t>trim any edge rows &amp; columns having any data=NaN or mask=True</t>
  </si>
  <si>
    <t>from squares around ref stars, get (averaged) matching kernels (to Gaussian)</t>
  </si>
  <si>
    <t>Render images Gaussian (&amp; better aligned)</t>
  </si>
  <si>
    <t>Launch workflow</t>
  </si>
  <si>
    <t>Make full images, characterize and rough-align</t>
  </si>
  <si>
    <t>Get MP fluxes from MP-only (bulldozed) images</t>
  </si>
  <si>
    <t>measure_mp()</t>
  </si>
  <si>
    <t>Measure comp star fluxes, generally following mpc.make_dfs()</t>
  </si>
  <si>
    <t>collect comp stars from catalog, screen them</t>
  </si>
  <si>
    <t>convolute each with mp matching kernel</t>
  </si>
  <si>
    <t>final-align each with mp final alignment; use scipy.interpolate.RectBivariateSpline()?</t>
  </si>
  <si>
    <t>measure comp star fluxes</t>
  </si>
  <si>
    <t>render comp dataframes, exit measure_comps()</t>
  </si>
  <si>
    <t>reduce_all()</t>
  </si>
  <si>
    <t>Reduction and plotting, very closely following mpc.do_mp_phot()</t>
  </si>
  <si>
    <t>From MP and comp dataframes, make the 3 standard dataframes, as in mpc.make_dfs()</t>
  </si>
  <si>
    <t>tested</t>
  </si>
  <si>
    <t>PLATE SOLVING: How to we find comp stars if we can't match ATLAS radecs to MaxIm/PinPoint's radecs?</t>
  </si>
  <si>
    <t>how is that working even now?</t>
  </si>
  <si>
    <t>TIGHT ALIGNMENT: What is best bicubic interpolation to use? Or integration over pixels?</t>
  </si>
  <si>
    <t>do we need to include rotation?</t>
  </si>
  <si>
    <t>* PinPoint, normally (order 2?)</t>
  </si>
  <si>
    <t>* PinPoint, with order=1 (linear only) -- may not be possible with version now owned</t>
  </si>
  <si>
    <t>* Astrometrica (order 1), with WCS on autosave [requires first removing PinPoint plate solution--ugh]</t>
  </si>
  <si>
    <t>* Astrometrica (order 2--is bona fide SIP, so that astropy can use directly?), with WCS on autosave  [requires first removing PinPoint plate solution--ugh]</t>
  </si>
  <si>
    <t>* TheSkyX, normal mode (always order=1?) (can do batch of FITS?)  [requires first removing PinPoint plate solution--ugh]</t>
  </si>
  <si>
    <t>(1) Try, next sessions: add print statements to mpc.make_dfs() that output radec and x,y for all comps for 2-3 first images.</t>
  </si>
  <si>
    <t>(2) Different plate solving approaches to compare:</t>
  </si>
  <si>
    <t>TODO: add diagnostic of sigma *per comp* (differential cirrus), plotted vs JD, with horiz line @ avg</t>
  </si>
  <si>
    <t>TODO: ? measure comps using same elongated aperture as used for MP?</t>
  </si>
  <si>
    <t xml:space="preserve">Using previously unsolved images, then solved </t>
  </si>
  <si>
    <t xml:space="preserve">CTYPE1  </t>
  </si>
  <si>
    <t xml:space="preserve">= 'RA---TAN'           / gnomonic projection                            </t>
  </si>
  <si>
    <t xml:space="preserve">CRPIX1  </t>
  </si>
  <si>
    <t xml:space="preserve">CRVAL1  </t>
  </si>
  <si>
    <t xml:space="preserve">CTYPE2  </t>
  </si>
  <si>
    <t xml:space="preserve">= 'DEC--TAN'           / gnomonic projection                            </t>
  </si>
  <si>
    <t xml:space="preserve">CRPIX2  </t>
  </si>
  <si>
    <t xml:space="preserve">CRVAL2  </t>
  </si>
  <si>
    <t xml:space="preserve">CD1_1   </t>
  </si>
  <si>
    <t xml:space="preserve">CD1_2   </t>
  </si>
  <si>
    <t xml:space="preserve">CD2_1   </t>
  </si>
  <si>
    <t xml:space="preserve">CD2_2   </t>
  </si>
  <si>
    <t>= 1538.21659337707 / pixel i-coordinate at field center</t>
  </si>
  <si>
    <t>= 1023.48860770974 / pixel j-coordinate at field center</t>
  </si>
  <si>
    <t>= 53.9611111111111 / Dec at field center</t>
  </si>
  <si>
    <t>= -0.000189131857322893 / xi rotation-skew-scale matrix element</t>
  </si>
  <si>
    <t>= 3.29277213105273E-06 / xj rotation-skew-scale matrix element</t>
  </si>
  <si>
    <t>= -3.30641636137064E-06 / yi rotation-skew-scale matrix element</t>
  </si>
  <si>
    <t>= -0.000189250965321256 / yj rotation-skew-scale matrix element</t>
  </si>
  <si>
    <t>BZ Dra-0001-V.fts</t>
  </si>
  <si>
    <t>Absent ANY solution, this from MaxIm settings and mount pointing only:</t>
  </si>
  <si>
    <t>Matched 107 of 295 image and 181 catalog stars;</t>
  </si>
  <si>
    <t>Average residual 0.3 arcsec; order 4</t>
  </si>
  <si>
    <t>RA 18h 46m 51.2s,  Dec +53° 57' 40.8"</t>
  </si>
  <si>
    <t>Pos Angle +358° 59.0', FL 2713.9 mm, 0.68"/Pixel</t>
  </si>
  <si>
    <t>PinPoint/MaxIm solution</t>
  </si>
  <si>
    <t xml:space="preserve">= 'RA---TAN'           / X-axis coordinate type                         </t>
  </si>
  <si>
    <t xml:space="preserve">= 'DEC--TAN'           / Y-axis coordinate type                         </t>
  </si>
  <si>
    <t xml:space="preserve">EQUINOX </t>
  </si>
  <si>
    <t xml:space="preserve">MJD-OBS </t>
  </si>
  <si>
    <t>HISTORY</t>
  </si>
  <si>
    <t xml:space="preserve">   File was processed by PinPoint 6.1.3 at 2020-08-11T00:35:06             </t>
  </si>
  <si>
    <t xml:space="preserve">ZMAG    </t>
  </si>
  <si>
    <t xml:space="preserve">= 1.96023776094E+001 / Mag zero point for 1 sec exposure              </t>
  </si>
  <si>
    <t xml:space="preserve">EPOCH   </t>
  </si>
  <si>
    <t xml:space="preserve">PA      </t>
  </si>
  <si>
    <t xml:space="preserve">CDELT1  </t>
  </si>
  <si>
    <t xml:space="preserve">CROTA1  </t>
  </si>
  <si>
    <t xml:space="preserve">CDELT2  </t>
  </si>
  <si>
    <t xml:space="preserve">CROTA2  </t>
  </si>
  <si>
    <t xml:space="preserve">TR1_0   </t>
  </si>
  <si>
    <t xml:space="preserve">= 1.53599991625E+003 / [private] X-axis distortion coefficients       </t>
  </si>
  <si>
    <t xml:space="preserve">TR1_1   </t>
  </si>
  <si>
    <t xml:space="preserve">TR1_2   </t>
  </si>
  <si>
    <t xml:space="preserve">TR1_3   </t>
  </si>
  <si>
    <t xml:space="preserve">TR1_4   </t>
  </si>
  <si>
    <t xml:space="preserve">TR1_5   </t>
  </si>
  <si>
    <t xml:space="preserve">TR1_6   </t>
  </si>
  <si>
    <t xml:space="preserve">TR1_7   </t>
  </si>
  <si>
    <t xml:space="preserve">TR1_8   </t>
  </si>
  <si>
    <t xml:space="preserve">TR1_9   </t>
  </si>
  <si>
    <t xml:space="preserve">TR1_10  </t>
  </si>
  <si>
    <t xml:space="preserve">TR1_11  </t>
  </si>
  <si>
    <t xml:space="preserve">TR1_12  </t>
  </si>
  <si>
    <t xml:space="preserve">TR1_13  </t>
  </si>
  <si>
    <t xml:space="preserve">TR1_14  </t>
  </si>
  <si>
    <t xml:space="preserve">TR2_0   </t>
  </si>
  <si>
    <t xml:space="preserve">= 1.02349999711E+003 / [private] Y-axis distortion coefficients       </t>
  </si>
  <si>
    <t xml:space="preserve">TR2_1   </t>
  </si>
  <si>
    <t xml:space="preserve">TR2_2   </t>
  </si>
  <si>
    <t xml:space="preserve">TR2_3   </t>
  </si>
  <si>
    <t xml:space="preserve">TR2_4   </t>
  </si>
  <si>
    <t xml:space="preserve">TR2_5   </t>
  </si>
  <si>
    <t xml:space="preserve">TR2_6   </t>
  </si>
  <si>
    <t xml:space="preserve">TR2_7   </t>
  </si>
  <si>
    <t xml:space="preserve">TR2_8   </t>
  </si>
  <si>
    <t xml:space="preserve">TR2_9   </t>
  </si>
  <si>
    <t xml:space="preserve">TR2_10  </t>
  </si>
  <si>
    <t xml:space="preserve">TR2_11  </t>
  </si>
  <si>
    <t xml:space="preserve">TR2_12  </t>
  </si>
  <si>
    <t xml:space="preserve">TR2_13  </t>
  </si>
  <si>
    <t xml:space="preserve">TR2_14  </t>
  </si>
  <si>
    <t xml:space="preserve">   WCS added by PinPoint 6.1.3 at 2020-08-11T00:35:06    </t>
  </si>
  <si>
    <t>= 1536 / X-axis reference pixel</t>
  </si>
  <si>
    <t>= 281.713524857 / X-axis coordinate value</t>
  </si>
  <si>
    <t>= 1023.5 / Y-axis reference pixel</t>
  </si>
  <si>
    <t>= 53.9613414579 / Y-axis coordinate value</t>
  </si>
  <si>
    <t>= 2000 / Equatorial coordinates are J2000</t>
  </si>
  <si>
    <t>= 0 / epoch of observation (TAI MJD)</t>
  </si>
  <si>
    <t>= 2000 / (incorrect but needed by old programs)</t>
  </si>
  <si>
    <t>= 3.58983036531E+002 / [deg, 0-360 CCW] Position angle of plate</t>
  </si>
  <si>
    <t>= -1.89994585151E-004 / [deg/pixel] X-axis plate scale</t>
  </si>
  <si>
    <t>= 1.01696346941E+000 / [deg] Roll angle wrt X-axis</t>
  </si>
  <si>
    <t>= -1.89930965149E-004 / [deg/pixel] Y-Axis Plate scale</t>
  </si>
  <si>
    <t>= 1.01696346941E+000 / [deg] Roll angle wrt Y-axis</t>
  </si>
  <si>
    <t>= -0.000189964658007 / Change in RA---TAN along X-axis</t>
  </si>
  <si>
    <t>= 0.00000337097624398 / Change in RA---TAN along Y-axis</t>
  </si>
  <si>
    <t>= -0.00000337210539907 / Change in Dec--TAN along X-axis</t>
  </si>
  <si>
    <t>= -0.000189901048026 / Change in Dec--TAN along Y-axis</t>
  </si>
  <si>
    <t>= 281.7125 / RA at field center</t>
  </si>
  <si>
    <t xml:space="preserve">= 1538.21659337707 / pixel i-coordinate at field center             </t>
  </si>
  <si>
    <t xml:space="preserve">= 281.7125 / RA at field center                             </t>
  </si>
  <si>
    <t xml:space="preserve">= 1023.48860770974 / pixel j-coordinate at field center             </t>
  </si>
  <si>
    <t xml:space="preserve">= 53.9611111111111 / Dec at field center                            </t>
  </si>
  <si>
    <t xml:space="preserve">= -0.000189131857322893 / xi rotation-skew-scale matrix element         </t>
  </si>
  <si>
    <t xml:space="preserve">= 3.29277213105273E-006 / xj rotation-skew-scale matrix element         </t>
  </si>
  <si>
    <t xml:space="preserve">= -3.30641636137064E-006 / yi rotation-skew-scale matrix element        </t>
  </si>
  <si>
    <t xml:space="preserve">= -0.000189250965321256 / yj rotation-skew-scale matrix element       </t>
  </si>
  <si>
    <t>PinPoint/MaxIm Solution FAILED</t>
  </si>
  <si>
    <t>[ all plate solution parameters MISSING altogether]</t>
  </si>
  <si>
    <t>X</t>
  </si>
  <si>
    <t>Scope instructed to point to:</t>
  </si>
  <si>
    <t>RA</t>
  </si>
  <si>
    <t>Dec</t>
  </si>
  <si>
    <t xml:space="preserve">= 'RA---TAN'           / Coordinate type                                </t>
  </si>
  <si>
    <t xml:space="preserve">CUNIT1  </t>
  </si>
  <si>
    <t xml:space="preserve">CUNIT2  </t>
  </si>
  <si>
    <t xml:space="preserve">MZERO   </t>
  </si>
  <si>
    <t>= 1537 / pixel coordinate of X-reference</t>
  </si>
  <si>
    <t>= 281.71320641529 / coordinate at X-reference</t>
  </si>
  <si>
    <t>= -0.0001893631439277 / Image scale on X-axis, deg per pixel</t>
  </si>
  <si>
    <t>= 1.0014935588897 / rotation of coordinate</t>
  </si>
  <si>
    <t>= 'deg     '           / Unit of coordinate</t>
  </si>
  <si>
    <t>= 'DEC--TAN'           / Coordinate type</t>
  </si>
  <si>
    <t>= 1024 / pixel coordinate of Y-reference</t>
  </si>
  <si>
    <t>= 53.961287383822 / coordinate at Y-reference</t>
  </si>
  <si>
    <t>= -0.0001893631439277 / Image scale on Y-axis, deg per pixel</t>
  </si>
  <si>
    <t>= 22.933718959302 / Magnitude zero point</t>
  </si>
  <si>
    <t>same as TheSkyX</t>
  </si>
  <si>
    <t>TheSkyX/ImageLink Solution // astrometry does NOT appear in MaxIm:</t>
  </si>
  <si>
    <t>Astrometrica solution ("order 2")  // astrometry DOES appear in MaxIm:</t>
  </si>
  <si>
    <t>MP_191-0002-Clear.fts</t>
  </si>
  <si>
    <t>--&gt;</t>
  </si>
  <si>
    <t>ATLAS refcat2 catalog</t>
  </si>
  <si>
    <t>from hand centroiding</t>
  </si>
  <si>
    <t>sampling of stars (10%)</t>
  </si>
  <si>
    <t>CD1_1</t>
  </si>
  <si>
    <t>CD1_2</t>
  </si>
  <si>
    <t>CD2_1</t>
  </si>
  <si>
    <t>CD2_2</t>
  </si>
  <si>
    <t>From original PP/Maxim plate solution</t>
  </si>
  <si>
    <t>new parameters</t>
  </si>
  <si>
    <t>CRVAL1</t>
  </si>
  <si>
    <t>CRPIX1</t>
  </si>
  <si>
    <t>CRVAL2</t>
  </si>
  <si>
    <t>CRPIX2</t>
  </si>
  <si>
    <t>A20</t>
  </si>
  <si>
    <t>A11</t>
  </si>
  <si>
    <t>A12</t>
  </si>
  <si>
    <t>B20</t>
  </si>
  <si>
    <t>B11</t>
  </si>
  <si>
    <t>B02</t>
  </si>
  <si>
    <t>(solve for these)</t>
  </si>
  <si>
    <t>[off image]</t>
  </si>
  <si>
    <t>v.bright</t>
  </si>
  <si>
    <t>vignette_3</t>
  </si>
  <si>
    <t>SIP parameters (solve for these)</t>
  </si>
  <si>
    <t>fit</t>
  </si>
  <si>
    <t>(fixed)</t>
  </si>
  <si>
    <t>dist from CRPIXn / px</t>
  </si>
  <si>
    <t>Off Image: do not use</t>
  </si>
  <si>
    <t>WCS-derived</t>
  </si>
  <si>
    <t>u</t>
  </si>
  <si>
    <t>x/RA</t>
  </si>
  <si>
    <t>y/Dec</t>
  </si>
  <si>
    <t>x&amp;y together</t>
  </si>
  <si>
    <t>error^2/arcsec^2</t>
  </si>
  <si>
    <t>TOTAL SUMSQ</t>
  </si>
  <si>
    <t>in arcsec/1024px</t>
  </si>
  <si>
    <t>dx</t>
  </si>
  <si>
    <t>dx(dRA)</t>
  </si>
  <si>
    <t>dy(dDec)</t>
  </si>
  <si>
    <t>saved</t>
  </si>
  <si>
    <t>error/arcsec</t>
  </si>
  <si>
    <t>from WCS (photrix/PP/MaxIm)</t>
  </si>
  <si>
    <t>vignette4</t>
  </si>
  <si>
    <t>WCS + vignette4</t>
  </si>
  <si>
    <t>vignette_4</t>
  </si>
  <si>
    <t>MP_191-0001-Clear.fts</t>
  </si>
  <si>
    <t>photrix-&gt;</t>
  </si>
  <si>
    <t>ccddata-&gt;</t>
  </si>
  <si>
    <t>"MP_1112" 20200811</t>
  </si>
  <si>
    <t>from photrix xy_from_radec()</t>
  </si>
  <si>
    <t>from ccddata all_world2pix()</t>
  </si>
  <si>
    <t>dy</t>
  </si>
  <si>
    <t>photrix adjust.</t>
  </si>
  <si>
    <t>pixels</t>
  </si>
  <si>
    <t>photrix, adjusted</t>
  </si>
  <si>
    <t>pix/(deg^2)</t>
  </si>
  <si>
    <t>sumsq/px^2</t>
  </si>
  <si>
    <t>RMS/px</t>
  </si>
  <si>
    <t>center RA</t>
  </si>
  <si>
    <t>deg</t>
  </si>
  <si>
    <t>center Dec</t>
  </si>
  <si>
    <t>pix</t>
  </si>
  <si>
    <t>Neither linear nor quad shifts help at all.</t>
  </si>
  <si>
    <t>quad.x</t>
  </si>
  <si>
    <t>quad.y</t>
  </si>
  <si>
    <t>ccddata, adjusted</t>
  </si>
  <si>
    <t>Linear helps but not quad.</t>
  </si>
  <si>
    <t>du</t>
  </si>
  <si>
    <t>dv</t>
  </si>
  <si>
    <t>avg du</t>
  </si>
  <si>
    <t>avg dv</t>
  </si>
  <si>
    <t>quad.xy</t>
  </si>
  <si>
    <t>linear.xy</t>
  </si>
  <si>
    <t>dpix/dist.center</t>
  </si>
  <si>
    <t>dpix/dist.center^2</t>
  </si>
  <si>
    <t>corner</t>
  </si>
  <si>
    <t>center</t>
  </si>
  <si>
    <t>UR</t>
  </si>
  <si>
    <t>LR</t>
  </si>
  <si>
    <t>UL</t>
  </si>
  <si>
    <t>LL</t>
  </si>
  <si>
    <t>[measure_mp()] -&gt; measure_comps()</t>
  </si>
  <si>
    <t>[measure_mp()] -&gt; make_std_dfs()</t>
  </si>
  <si>
    <t>(1) look for other MPs in fov; (2) get rough early and late MP locations</t>
  </si>
  <si>
    <t>validates all FITS (esp. very careful WCS check), makes new file 'control.txt'</t>
  </si>
  <si>
    <t>[user] -&gt; control.txt</t>
  </si>
  <si>
    <t>starts new log, sets up context incl filter; checks default and instrument files parameter values</t>
  </si>
  <si>
    <t>defaults.txt</t>
  </si>
  <si>
    <t>see example in /data/defaults.txt</t>
  </si>
  <si>
    <t>borea.txt</t>
  </si>
  <si>
    <t>see example in /data/instrument/borea.txt</t>
  </si>
  <si>
    <t>#PIXEL_SHIFT_TOLERANCE  200</t>
  </si>
  <si>
    <t>#CCD_GAIN  1.57</t>
  </si>
  <si>
    <t>#FWHM_NOMINAL  5</t>
  </si>
  <si>
    <t>#ADU_SATURATION</t>
  </si>
  <si>
    <t>#DEFAULT_FILTER Clear</t>
  </si>
  <si>
    <t>#TRANSFORM Clear SR SR-SI Use +0.36 [-0.54]</t>
  </si>
  <si>
    <t>could be multiple of these</t>
  </si>
  <si>
    <t>this stub written by start()</t>
  </si>
  <si>
    <t>mp_phot.log</t>
  </si>
  <si>
    <t>mp_directory</t>
  </si>
  <si>
    <t>MP: mp number</t>
  </si>
  <si>
    <t>AN: an_string</t>
  </si>
  <si>
    <t>FILTER: filter_name</t>
  </si>
  <si>
    <t>This log started: date time</t>
  </si>
  <si>
    <t xml:space="preserve"> ...</t>
  </si>
  <si>
    <t xml:space="preserve">a string, either like '#1108' for MP number, or '*1997 TX3' for unnumbered MP ID </t>
  </si>
  <si>
    <t>always a 8-character string</t>
  </si>
  <si>
    <t>case-sensitive</t>
  </si>
  <si>
    <t>make MP_ImageList object from MP FITS files, with each image's pixel scale adjusted if needed</t>
  </si>
  <si>
    <t>recentroid ref stars</t>
  </si>
  <si>
    <t>get centroided early &amp; late MP positions, get radecs for every image by interpolation</t>
  </si>
  <si>
    <t>get pixel bounding box for ref stars and MPs first and last, with some margin</t>
  </si>
  <si>
    <t>Realignment: loop until perfection</t>
  </si>
  <si>
    <t>repeat above until convergence</t>
  </si>
  <si>
    <t>render subimages via CCDData slicing (which updates WCS) --&gt; SubimageList [CCDData]</t>
  </si>
  <si>
    <t>using WCS: (1) ref stars, find x,y and recentroid, (2) MPs, find x,y &amp; record</t>
  </si>
  <si>
    <t>Make (MP-free) averaged Best Background Array</t>
  </si>
  <si>
    <t>mask away MP in each image, using MP-motion-elongated mask</t>
  </si>
  <si>
    <t>make simple average array</t>
  </si>
  <si>
    <t>do mixed-model regression to get flat-background &amp; flux coefficients for each subarray</t>
  </si>
  <si>
    <t>subtract proper amount of flat-background and best background array from each subarray</t>
  </si>
  <si>
    <t>(elongated) aperture photometry on MPs</t>
  </si>
  <si>
    <t>Clean up subimages, then make subarrays (losing the masks if any and the WCS)</t>
  </si>
  <si>
    <t>Make subimages = data array and mask only (use numpy.ma?)</t>
  </si>
  <si>
    <t>MP_ImageList.from_fits()</t>
  </si>
  <si>
    <t>MP_ImageList.calc_ref_star_radecs()</t>
  </si>
  <si>
    <t>MP_ImageList.calc_mp_radecs()</t>
  </si>
  <si>
    <t>MP_ImageList.make_subimages()</t>
  </si>
  <si>
    <t>Align subimages with WCS using ccdproc.wcs_project()</t>
  </si>
  <si>
    <t>trim (CCD Data slicing) any blank pixels at edges (all images together)</t>
  </si>
  <si>
    <t>MP_ImageList.wcs_align_subimages()</t>
  </si>
  <si>
    <t>MP_ImageList.make_subarrays()</t>
  </si>
  <si>
    <t>Everything above is in images and subimages (CCDData objects), everything below is in subarrays (numpy.masked arrays)</t>
  </si>
  <si>
    <t>render populated SubarrayList, with data and best positions of ref stars and MPs</t>
  </si>
  <si>
    <t>MP_ImageList.get_subimage_locations()</t>
  </si>
  <si>
    <t>[before realignment loop, because this is only x,y-shift (not similary transform) realignment]</t>
  </si>
  <si>
    <t>similarity-transform realignment of ref stars (scikit-image.transform)</t>
  </si>
  <si>
    <t>MP_ImageList.trim_nans_from_subimages()</t>
  </si>
  <si>
    <t>~ tested</t>
  </si>
  <si>
    <t>SubarrayList.make_matching_kernels()</t>
  </si>
  <si>
    <t>SubarrayList.convolve_subarrays()</t>
  </si>
  <si>
    <t>convolute with matching kernels to render images Gaussian &amp; ~ better aligned.</t>
  </si>
  <si>
    <t>not needed</t>
  </si>
  <si>
    <t>SubarrayList (boundary='extend' obviates need)</t>
  </si>
  <si>
    <t>SubarrayList.realign()</t>
  </si>
  <si>
    <t>SubarrayList.make_mp_best_bkgd_array()</t>
  </si>
  <si>
    <t>coded</t>
  </si>
  <si>
    <t>NEXT</t>
  </si>
  <si>
    <t>SubarrayList.make_mp_only_subarrays()</t>
  </si>
  <si>
    <t>SubarrayList.do_mp_aperture_photometry()</t>
  </si>
  <si>
    <t>SubarrayList.make_mp_dataframe()</t>
  </si>
  <si>
    <t>make dataframe holding all MP data needed for make_std_dfs()</t>
  </si>
  <si>
    <t>Render MP dataframe; exit measure_mp()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</si>
</sst>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000E+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3" fillId="0" borderId="0" xfId="0" applyFont="1"/>
    <xf numFmtId="0" fontId="3" fillId="0" borderId="0" xfId="0" applyFont="1" applyFill="1"/>
    <xf numFmtId="0" fontId="2" fillId="0" borderId="0" xfId="0" applyFont="1" applyBorder="1"/>
    <xf numFmtId="0" fontId="0" fillId="0" borderId="0" xfId="0" applyAlignment="1">
      <alignment horizontal="center"/>
    </xf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0" xfId="0" applyFont="1" applyBorder="1"/>
    <xf numFmtId="0" fontId="4" fillId="0" borderId="0" xfId="0" applyFont="1" applyBorder="1"/>
    <xf numFmtId="0" fontId="4" fillId="0" borderId="0" xfId="0" applyFont="1"/>
    <xf numFmtId="0" fontId="3" fillId="0" borderId="0" xfId="0" applyFont="1" applyAlignment="1">
      <alignment horizontal="left" indent="1"/>
    </xf>
    <xf numFmtId="0" fontId="3" fillId="0" borderId="1" xfId="0" applyFont="1" applyBorder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5" fillId="0" borderId="0" xfId="0" applyFont="1" applyAlignment="1">
      <alignment horizontal="left" indent="2"/>
    </xf>
    <xf numFmtId="49" fontId="0" fillId="0" borderId="0" xfId="0" applyNumberFormat="1"/>
    <xf numFmtId="0" fontId="0" fillId="0" borderId="0" xfId="0" quotePrefix="1"/>
    <xf numFmtId="0" fontId="0" fillId="0" borderId="1" xfId="0" applyBorder="1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164" fontId="0" fillId="0" borderId="0" xfId="0" applyNumberFormat="1"/>
    <xf numFmtId="164" fontId="0" fillId="0" borderId="4" xfId="0" applyNumberFormat="1" applyBorder="1"/>
    <xf numFmtId="164" fontId="0" fillId="0" borderId="3" xfId="0" applyNumberFormat="1" applyBorder="1"/>
    <xf numFmtId="0" fontId="0" fillId="4" borderId="0" xfId="0" applyFill="1" applyAlignment="1">
      <alignment horizontal="right"/>
    </xf>
    <xf numFmtId="164" fontId="0" fillId="4" borderId="4" xfId="0" applyNumberFormat="1" applyFill="1" applyBorder="1"/>
    <xf numFmtId="0" fontId="0" fillId="4" borderId="0" xfId="0" applyFill="1"/>
    <xf numFmtId="164" fontId="0" fillId="4" borderId="5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166" fontId="0" fillId="0" borderId="4" xfId="0" applyNumberFormat="1" applyBorder="1"/>
    <xf numFmtId="167" fontId="0" fillId="5" borderId="0" xfId="0" applyNumberFormat="1" applyFill="1"/>
    <xf numFmtId="0" fontId="0" fillId="0" borderId="0" xfId="0" applyBorder="1"/>
    <xf numFmtId="2" fontId="0" fillId="5" borderId="0" xfId="0" applyNumberFormat="1" applyFill="1"/>
    <xf numFmtId="0" fontId="0" fillId="0" borderId="0" xfId="0" applyFill="1"/>
    <xf numFmtId="0" fontId="0" fillId="7" borderId="0" xfId="0" applyFill="1"/>
    <xf numFmtId="0" fontId="0" fillId="5" borderId="0" xfId="0" applyFill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5" borderId="0" xfId="0" applyFill="1" applyAlignment="1">
      <alignment horizontal="right"/>
    </xf>
    <xf numFmtId="0" fontId="0" fillId="5" borderId="6" xfId="0" applyFill="1" applyBorder="1"/>
    <xf numFmtId="0" fontId="0" fillId="5" borderId="1" xfId="0" applyFill="1" applyBorder="1"/>
    <xf numFmtId="0" fontId="0" fillId="5" borderId="0" xfId="0" applyFill="1" applyAlignment="1">
      <alignment horizontal="center"/>
    </xf>
    <xf numFmtId="0" fontId="0" fillId="3" borderId="6" xfId="0" applyFill="1" applyBorder="1"/>
    <xf numFmtId="0" fontId="0" fillId="8" borderId="0" xfId="0" applyFill="1" applyAlignment="1">
      <alignment horizontal="right"/>
    </xf>
    <xf numFmtId="0" fontId="0" fillId="8" borderId="0" xfId="0" applyFill="1"/>
    <xf numFmtId="0" fontId="0" fillId="8" borderId="1" xfId="0" applyFill="1" applyBorder="1"/>
    <xf numFmtId="0" fontId="0" fillId="8" borderId="0" xfId="0" applyFill="1" applyAlignment="1">
      <alignment horizontal="center"/>
    </xf>
    <xf numFmtId="0" fontId="0" fillId="3" borderId="0" xfId="0" applyFill="1"/>
    <xf numFmtId="0" fontId="0" fillId="6" borderId="0" xfId="0" applyFill="1"/>
    <xf numFmtId="0" fontId="6" fillId="0" borderId="0" xfId="0" applyFont="1"/>
    <xf numFmtId="0" fontId="4" fillId="0" borderId="0" xfId="0" applyFont="1" applyAlignment="1">
      <alignment horizontal="left" indent="1"/>
    </xf>
    <xf numFmtId="0" fontId="3" fillId="3" borderId="0" xfId="0" applyFont="1" applyFill="1"/>
    <xf numFmtId="0" fontId="4" fillId="3" borderId="0" xfId="0" applyFont="1" applyFill="1" applyBorder="1"/>
    <xf numFmtId="0" fontId="3" fillId="3" borderId="0" xfId="0" applyFont="1" applyFill="1" applyAlignment="1">
      <alignment horizontal="left" indent="1"/>
    </xf>
    <xf numFmtId="0" fontId="4" fillId="8" borderId="0" xfId="0" applyFont="1" applyFill="1" applyBorder="1"/>
    <xf numFmtId="0" fontId="4" fillId="8" borderId="0" xfId="0" applyFont="1" applyFill="1"/>
    <xf numFmtId="0" fontId="4" fillId="8" borderId="0" xfId="0" applyFont="1" applyFill="1" applyAlignment="1">
      <alignment horizontal="left" indent="1"/>
    </xf>
    <xf numFmtId="0" fontId="3" fillId="6" borderId="0" xfId="0" quotePrefix="1" applyFont="1" applyFill="1" applyAlignment="1">
      <alignment horizontal="center"/>
    </xf>
    <xf numFmtId="0" fontId="3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F7EE-4C64-4AC4-8039-EFFB05C8EA41}">
  <dimension ref="A1:C75"/>
  <sheetViews>
    <sheetView tabSelected="1" topLeftCell="A40" zoomScale="130" zoomScaleNormal="130" workbookViewId="0">
      <selection activeCell="C57" sqref="C57"/>
    </sheetView>
  </sheetViews>
  <sheetFormatPr defaultRowHeight="12.75" x14ac:dyDescent="0.2"/>
  <cols>
    <col min="1" max="1" width="9.75" style="4" customWidth="1"/>
    <col min="2" max="2" width="34.75" style="4" customWidth="1"/>
    <col min="3" max="3" width="72.625" style="4" customWidth="1"/>
    <col min="4" max="16384" width="9" style="4"/>
  </cols>
  <sheetData>
    <row r="1" spans="1:3" x14ac:dyDescent="0.2">
      <c r="A1" s="1" t="s">
        <v>60</v>
      </c>
    </row>
    <row r="2" spans="1:3" x14ac:dyDescent="0.2">
      <c r="A2" s="4" t="s">
        <v>59</v>
      </c>
    </row>
    <row r="3" spans="1:3" x14ac:dyDescent="0.2">
      <c r="A3" s="4" t="s">
        <v>61</v>
      </c>
    </row>
    <row r="4" spans="1:3" x14ac:dyDescent="0.2">
      <c r="B4" s="1"/>
    </row>
    <row r="6" spans="1:3" ht="13.5" thickBot="1" x14ac:dyDescent="0.25">
      <c r="A6" s="2" t="s">
        <v>75</v>
      </c>
      <c r="B6" s="15"/>
      <c r="C6" s="15"/>
    </row>
    <row r="7" spans="1:3" x14ac:dyDescent="0.2">
      <c r="B7" s="6"/>
      <c r="C7" s="1" t="s">
        <v>91</v>
      </c>
    </row>
    <row r="8" spans="1:3" x14ac:dyDescent="0.2">
      <c r="A8" s="18" t="s">
        <v>104</v>
      </c>
      <c r="B8" s="12" t="s">
        <v>76</v>
      </c>
      <c r="C8" s="14" t="s">
        <v>77</v>
      </c>
    </row>
    <row r="9" spans="1:3" x14ac:dyDescent="0.2">
      <c r="A9" s="18" t="s">
        <v>104</v>
      </c>
      <c r="B9" s="12" t="s">
        <v>76</v>
      </c>
      <c r="C9" s="14" t="s">
        <v>78</v>
      </c>
    </row>
    <row r="10" spans="1:3" x14ac:dyDescent="0.2">
      <c r="A10" s="18" t="s">
        <v>104</v>
      </c>
      <c r="B10" s="12" t="s">
        <v>79</v>
      </c>
      <c r="C10" s="14" t="s">
        <v>325</v>
      </c>
    </row>
    <row r="11" spans="1:3" x14ac:dyDescent="0.2">
      <c r="A11" s="18" t="s">
        <v>104</v>
      </c>
      <c r="B11" s="13" t="s">
        <v>80</v>
      </c>
      <c r="C11" s="14" t="s">
        <v>81</v>
      </c>
    </row>
    <row r="12" spans="1:3" x14ac:dyDescent="0.2">
      <c r="A12" s="18" t="s">
        <v>104</v>
      </c>
      <c r="B12" s="13" t="s">
        <v>80</v>
      </c>
      <c r="C12" s="14" t="s">
        <v>82</v>
      </c>
    </row>
    <row r="13" spans="1:3" x14ac:dyDescent="0.2">
      <c r="A13" s="18" t="s">
        <v>104</v>
      </c>
      <c r="B13" s="12" t="s">
        <v>63</v>
      </c>
      <c r="C13" s="14" t="s">
        <v>328</v>
      </c>
    </row>
    <row r="14" spans="1:3" x14ac:dyDescent="0.2">
      <c r="A14" s="18" t="s">
        <v>104</v>
      </c>
      <c r="B14" s="12" t="s">
        <v>65</v>
      </c>
      <c r="C14" s="14" t="s">
        <v>326</v>
      </c>
    </row>
    <row r="15" spans="1:3" x14ac:dyDescent="0.2">
      <c r="A15" s="18" t="s">
        <v>104</v>
      </c>
      <c r="B15" s="12" t="s">
        <v>327</v>
      </c>
      <c r="C15" s="14" t="s">
        <v>83</v>
      </c>
    </row>
    <row r="16" spans="1:3" x14ac:dyDescent="0.2">
      <c r="A16" s="18" t="s">
        <v>104</v>
      </c>
      <c r="B16" s="12" t="s">
        <v>327</v>
      </c>
      <c r="C16" s="14" t="s">
        <v>84</v>
      </c>
    </row>
    <row r="18" spans="1:3" x14ac:dyDescent="0.2">
      <c r="A18" s="16" t="s">
        <v>94</v>
      </c>
      <c r="B18" s="17"/>
      <c r="C18" s="17"/>
    </row>
    <row r="19" spans="1:3" x14ac:dyDescent="0.2">
      <c r="C19" s="1" t="s">
        <v>92</v>
      </c>
    </row>
    <row r="20" spans="1:3" x14ac:dyDescent="0.2">
      <c r="A20" s="18" t="s">
        <v>104</v>
      </c>
      <c r="B20" s="12" t="s">
        <v>367</v>
      </c>
      <c r="C20" s="14" t="s">
        <v>351</v>
      </c>
    </row>
    <row r="21" spans="1:3" x14ac:dyDescent="0.2">
      <c r="A21" s="18" t="s">
        <v>104</v>
      </c>
      <c r="B21" s="12" t="s">
        <v>368</v>
      </c>
      <c r="C21" s="14" t="s">
        <v>86</v>
      </c>
    </row>
    <row r="22" spans="1:3" x14ac:dyDescent="0.2">
      <c r="A22" s="18" t="s">
        <v>104</v>
      </c>
      <c r="B22" s="12" t="s">
        <v>369</v>
      </c>
      <c r="C22" s="14" t="s">
        <v>353</v>
      </c>
    </row>
    <row r="23" spans="1:3" x14ac:dyDescent="0.2">
      <c r="B23" s="12"/>
      <c r="C23" s="14"/>
    </row>
    <row r="24" spans="1:3" x14ac:dyDescent="0.2">
      <c r="B24" s="12"/>
      <c r="C24" s="1" t="s">
        <v>366</v>
      </c>
    </row>
    <row r="25" spans="1:3" x14ac:dyDescent="0.2">
      <c r="A25" s="18" t="s">
        <v>104</v>
      </c>
      <c r="B25" s="12" t="s">
        <v>370</v>
      </c>
      <c r="C25" s="14" t="s">
        <v>354</v>
      </c>
    </row>
    <row r="26" spans="1:3" x14ac:dyDescent="0.2">
      <c r="A26" s="18" t="s">
        <v>104</v>
      </c>
      <c r="B26" s="12" t="s">
        <v>370</v>
      </c>
      <c r="C26" s="14" t="s">
        <v>357</v>
      </c>
    </row>
    <row r="27" spans="1:3" x14ac:dyDescent="0.2">
      <c r="B27" s="12"/>
      <c r="C27" s="14"/>
    </row>
    <row r="28" spans="1:3" x14ac:dyDescent="0.2">
      <c r="B28" s="12"/>
      <c r="C28" s="1" t="s">
        <v>365</v>
      </c>
    </row>
    <row r="29" spans="1:3" x14ac:dyDescent="0.2">
      <c r="A29" s="18" t="s">
        <v>381</v>
      </c>
      <c r="B29" s="12" t="s">
        <v>373</v>
      </c>
      <c r="C29" s="14" t="s">
        <v>371</v>
      </c>
    </row>
    <row r="30" spans="1:3" x14ac:dyDescent="0.2">
      <c r="A30" s="18" t="s">
        <v>381</v>
      </c>
      <c r="B30" s="12" t="s">
        <v>380</v>
      </c>
      <c r="C30" s="14" t="s">
        <v>372</v>
      </c>
    </row>
    <row r="31" spans="1:3" x14ac:dyDescent="0.2">
      <c r="A31" s="18" t="s">
        <v>381</v>
      </c>
      <c r="B31" s="12" t="s">
        <v>377</v>
      </c>
      <c r="C31" s="14" t="s">
        <v>358</v>
      </c>
    </row>
    <row r="32" spans="1:3" x14ac:dyDescent="0.2">
      <c r="A32" s="18" t="s">
        <v>381</v>
      </c>
      <c r="B32" s="12" t="s">
        <v>374</v>
      </c>
      <c r="C32" s="14" t="s">
        <v>376</v>
      </c>
    </row>
    <row r="34" spans="1:3" x14ac:dyDescent="0.2">
      <c r="A34" s="65"/>
      <c r="B34" s="66" t="s">
        <v>375</v>
      </c>
      <c r="C34" s="67"/>
    </row>
    <row r="36" spans="1:3" x14ac:dyDescent="0.2">
      <c r="B36" s="12"/>
      <c r="C36" s="1" t="s">
        <v>90</v>
      </c>
    </row>
    <row r="37" spans="1:3" x14ac:dyDescent="0.2">
      <c r="C37" s="64" t="s">
        <v>378</v>
      </c>
    </row>
    <row r="38" spans="1:3" x14ac:dyDescent="0.2">
      <c r="A38" s="18" t="s">
        <v>381</v>
      </c>
      <c r="B38" s="12" t="s">
        <v>382</v>
      </c>
      <c r="C38" s="14" t="s">
        <v>89</v>
      </c>
    </row>
    <row r="39" spans="1:3" x14ac:dyDescent="0.2">
      <c r="A39" s="18" t="s">
        <v>381</v>
      </c>
      <c r="B39" s="12" t="s">
        <v>383</v>
      </c>
      <c r="C39" s="14" t="s">
        <v>384</v>
      </c>
    </row>
    <row r="40" spans="1:3" x14ac:dyDescent="0.2">
      <c r="A40" s="69" t="s">
        <v>385</v>
      </c>
      <c r="B40" s="68" t="s">
        <v>386</v>
      </c>
      <c r="C40" s="70" t="s">
        <v>88</v>
      </c>
    </row>
    <row r="41" spans="1:3" x14ac:dyDescent="0.2">
      <c r="B41" s="12"/>
      <c r="C41" s="14"/>
    </row>
    <row r="42" spans="1:3" x14ac:dyDescent="0.2">
      <c r="B42" s="12"/>
      <c r="C42" s="1" t="s">
        <v>355</v>
      </c>
    </row>
    <row r="43" spans="1:3" x14ac:dyDescent="0.2">
      <c r="A43" s="18" t="s">
        <v>381</v>
      </c>
      <c r="B43" s="12" t="s">
        <v>387</v>
      </c>
      <c r="C43" s="14" t="s">
        <v>352</v>
      </c>
    </row>
    <row r="44" spans="1:3" x14ac:dyDescent="0.2">
      <c r="A44" s="18" t="s">
        <v>381</v>
      </c>
      <c r="B44" s="12" t="s">
        <v>85</v>
      </c>
      <c r="C44" s="14" t="s">
        <v>379</v>
      </c>
    </row>
    <row r="45" spans="1:3" x14ac:dyDescent="0.2">
      <c r="A45" s="18" t="s">
        <v>381</v>
      </c>
      <c r="B45" s="12" t="s">
        <v>85</v>
      </c>
      <c r="C45" s="14" t="s">
        <v>356</v>
      </c>
    </row>
    <row r="46" spans="1:3" x14ac:dyDescent="0.2">
      <c r="B46" s="12"/>
      <c r="C46" s="14"/>
    </row>
    <row r="47" spans="1:3" x14ac:dyDescent="0.2">
      <c r="B47" s="12"/>
      <c r="C47" s="1" t="s">
        <v>359</v>
      </c>
    </row>
    <row r="48" spans="1:3" x14ac:dyDescent="0.2">
      <c r="A48" s="71" t="s">
        <v>389</v>
      </c>
      <c r="B48" s="12" t="s">
        <v>388</v>
      </c>
      <c r="C48" s="14" t="s">
        <v>360</v>
      </c>
    </row>
    <row r="49" spans="1:3" x14ac:dyDescent="0.2">
      <c r="A49" s="71" t="s">
        <v>389</v>
      </c>
      <c r="B49" s="12" t="s">
        <v>85</v>
      </c>
      <c r="C49" s="14" t="s">
        <v>361</v>
      </c>
    </row>
    <row r="50" spans="1:3" x14ac:dyDescent="0.2">
      <c r="B50" s="12"/>
      <c r="C50" s="1"/>
    </row>
    <row r="51" spans="1:3" x14ac:dyDescent="0.2">
      <c r="B51" s="12"/>
      <c r="C51" s="1" t="s">
        <v>93</v>
      </c>
    </row>
    <row r="52" spans="1:3" x14ac:dyDescent="0.2">
      <c r="A52" s="71" t="s">
        <v>389</v>
      </c>
      <c r="B52" s="12" t="s">
        <v>391</v>
      </c>
      <c r="C52" s="14" t="s">
        <v>362</v>
      </c>
    </row>
    <row r="53" spans="1:3" x14ac:dyDescent="0.2">
      <c r="A53" s="71" t="s">
        <v>389</v>
      </c>
      <c r="B53" s="12" t="s">
        <v>391</v>
      </c>
      <c r="C53" s="14" t="s">
        <v>363</v>
      </c>
    </row>
    <row r="54" spans="1:3" x14ac:dyDescent="0.2">
      <c r="A54" s="71" t="s">
        <v>389</v>
      </c>
      <c r="B54" s="12" t="s">
        <v>392</v>
      </c>
      <c r="C54" s="14" t="s">
        <v>364</v>
      </c>
    </row>
    <row r="55" spans="1:3" x14ac:dyDescent="0.2">
      <c r="B55" s="12"/>
      <c r="C55" s="1"/>
    </row>
    <row r="56" spans="1:3" x14ac:dyDescent="0.2">
      <c r="B56" s="12"/>
      <c r="C56" s="1" t="s">
        <v>395</v>
      </c>
    </row>
    <row r="57" spans="1:3" x14ac:dyDescent="0.2">
      <c r="A57" s="72" t="s">
        <v>390</v>
      </c>
      <c r="B57" s="12" t="s">
        <v>393</v>
      </c>
      <c r="C57" s="14" t="s">
        <v>394</v>
      </c>
    </row>
    <row r="60" spans="1:3" x14ac:dyDescent="0.2">
      <c r="A60" s="16" t="s">
        <v>323</v>
      </c>
      <c r="B60" s="17"/>
      <c r="C60" s="17"/>
    </row>
    <row r="61" spans="1:3" x14ac:dyDescent="0.2">
      <c r="C61" s="1" t="s">
        <v>95</v>
      </c>
    </row>
    <row r="62" spans="1:3" x14ac:dyDescent="0.2">
      <c r="C62" s="4" t="s">
        <v>96</v>
      </c>
    </row>
    <row r="63" spans="1:3" x14ac:dyDescent="0.2">
      <c r="C63" s="4" t="s">
        <v>97</v>
      </c>
    </row>
    <row r="64" spans="1:3" x14ac:dyDescent="0.2">
      <c r="C64" s="4" t="s">
        <v>98</v>
      </c>
    </row>
    <row r="65" spans="1:3" x14ac:dyDescent="0.2">
      <c r="C65" s="4" t="s">
        <v>99</v>
      </c>
    </row>
    <row r="66" spans="1:3" x14ac:dyDescent="0.2">
      <c r="C66" s="4" t="s">
        <v>100</v>
      </c>
    </row>
    <row r="67" spans="1:3" x14ac:dyDescent="0.2">
      <c r="C67" s="4" t="s">
        <v>116</v>
      </c>
    </row>
    <row r="68" spans="1:3" x14ac:dyDescent="0.2">
      <c r="C68" s="4" t="s">
        <v>117</v>
      </c>
    </row>
    <row r="70" spans="1:3" x14ac:dyDescent="0.2">
      <c r="A70" s="16" t="s">
        <v>324</v>
      </c>
      <c r="B70" s="17"/>
      <c r="C70" s="17"/>
    </row>
    <row r="71" spans="1:3" x14ac:dyDescent="0.2">
      <c r="C71" s="1" t="s">
        <v>103</v>
      </c>
    </row>
    <row r="73" spans="1:3" x14ac:dyDescent="0.2">
      <c r="A73" s="16" t="s">
        <v>323</v>
      </c>
      <c r="B73" s="17"/>
      <c r="C73" s="17"/>
    </row>
    <row r="74" spans="1:3" x14ac:dyDescent="0.2">
      <c r="B74" s="16" t="s">
        <v>101</v>
      </c>
      <c r="C74" s="17"/>
    </row>
    <row r="75" spans="1:3" x14ac:dyDescent="0.2">
      <c r="C75" s="1" t="s">
        <v>102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1215-185E-473E-9447-385AF03BA1E1}">
  <dimension ref="A3:C61"/>
  <sheetViews>
    <sheetView workbookViewId="0">
      <selection activeCell="C29" sqref="C29"/>
    </sheetView>
  </sheetViews>
  <sheetFormatPr defaultRowHeight="15.75" x14ac:dyDescent="0.25"/>
  <cols>
    <col min="1" max="1" width="9" style="7"/>
    <col min="2" max="2" width="39.375" customWidth="1"/>
    <col min="3" max="3" width="66.25" customWidth="1"/>
  </cols>
  <sheetData>
    <row r="3" spans="1:3" x14ac:dyDescent="0.25">
      <c r="A3" s="7" t="s">
        <v>0</v>
      </c>
      <c r="B3" s="3" t="s">
        <v>23</v>
      </c>
    </row>
    <row r="4" spans="1:3" x14ac:dyDescent="0.25">
      <c r="A4" s="7" t="s">
        <v>9</v>
      </c>
      <c r="B4" t="s">
        <v>24</v>
      </c>
      <c r="C4" t="s">
        <v>25</v>
      </c>
    </row>
    <row r="5" spans="1:3" x14ac:dyDescent="0.25">
      <c r="A5" s="7" t="s">
        <v>9</v>
      </c>
      <c r="B5" t="s">
        <v>26</v>
      </c>
      <c r="C5" t="s">
        <v>27</v>
      </c>
    </row>
    <row r="6" spans="1:3" x14ac:dyDescent="0.25">
      <c r="A6" s="7" t="s">
        <v>9</v>
      </c>
      <c r="B6" t="s">
        <v>28</v>
      </c>
      <c r="C6" t="s">
        <v>29</v>
      </c>
    </row>
    <row r="7" spans="1:3" x14ac:dyDescent="0.25">
      <c r="A7" s="7" t="s">
        <v>9</v>
      </c>
      <c r="B7" t="s">
        <v>30</v>
      </c>
      <c r="C7" t="s">
        <v>31</v>
      </c>
    </row>
    <row r="8" spans="1:3" ht="16.5" thickBot="1" x14ac:dyDescent="0.3">
      <c r="A8" s="9"/>
      <c r="B8" s="10"/>
      <c r="C8" s="10"/>
    </row>
    <row r="9" spans="1:3" ht="16.5" thickTop="1" x14ac:dyDescent="0.25"/>
    <row r="10" spans="1:3" x14ac:dyDescent="0.25">
      <c r="A10" s="7" t="s">
        <v>0</v>
      </c>
      <c r="B10" s="3" t="s">
        <v>32</v>
      </c>
    </row>
    <row r="11" spans="1:3" x14ac:dyDescent="0.25">
      <c r="A11" s="7" t="s">
        <v>9</v>
      </c>
      <c r="B11" t="s">
        <v>16</v>
      </c>
    </row>
    <row r="12" spans="1:3" x14ac:dyDescent="0.25">
      <c r="A12" s="7" t="s">
        <v>9</v>
      </c>
      <c r="B12" t="s">
        <v>17</v>
      </c>
    </row>
    <row r="13" spans="1:3" x14ac:dyDescent="0.25">
      <c r="A13" s="7" t="s">
        <v>9</v>
      </c>
      <c r="B13" t="s">
        <v>18</v>
      </c>
    </row>
    <row r="14" spans="1:3" x14ac:dyDescent="0.25">
      <c r="A14" s="7" t="s">
        <v>9</v>
      </c>
      <c r="B14" t="s">
        <v>43</v>
      </c>
    </row>
    <row r="15" spans="1:3" x14ac:dyDescent="0.25">
      <c r="A15" s="7" t="s">
        <v>9</v>
      </c>
      <c r="B15" t="s">
        <v>19</v>
      </c>
      <c r="C15" t="s">
        <v>20</v>
      </c>
    </row>
    <row r="16" spans="1:3" x14ac:dyDescent="0.25">
      <c r="A16" s="7" t="s">
        <v>9</v>
      </c>
      <c r="B16" t="s">
        <v>21</v>
      </c>
      <c r="C16" t="s">
        <v>22</v>
      </c>
    </row>
    <row r="17" spans="1:3" x14ac:dyDescent="0.25">
      <c r="A17" s="7" t="s">
        <v>10</v>
      </c>
      <c r="B17" t="s">
        <v>44</v>
      </c>
      <c r="C17" t="s">
        <v>46</v>
      </c>
    </row>
    <row r="19" spans="1:3" x14ac:dyDescent="0.25">
      <c r="A19" s="7" t="s">
        <v>0</v>
      </c>
      <c r="B19" s="3" t="s">
        <v>1</v>
      </c>
    </row>
    <row r="20" spans="1:3" x14ac:dyDescent="0.25">
      <c r="A20" s="7" t="s">
        <v>9</v>
      </c>
      <c r="B20" s="8" t="s">
        <v>15</v>
      </c>
    </row>
    <row r="21" spans="1:3" x14ac:dyDescent="0.25">
      <c r="A21" s="7" t="s">
        <v>9</v>
      </c>
      <c r="B21" s="8" t="s">
        <v>5</v>
      </c>
    </row>
    <row r="22" spans="1:3" x14ac:dyDescent="0.25">
      <c r="A22" s="7" t="s">
        <v>9</v>
      </c>
      <c r="B22" t="s">
        <v>2</v>
      </c>
      <c r="C22" t="s">
        <v>14</v>
      </c>
    </row>
    <row r="23" spans="1:3" x14ac:dyDescent="0.25">
      <c r="A23" s="7" t="s">
        <v>9</v>
      </c>
      <c r="B23" t="s">
        <v>6</v>
      </c>
    </row>
    <row r="24" spans="1:3" x14ac:dyDescent="0.25">
      <c r="A24" s="7" t="s">
        <v>9</v>
      </c>
      <c r="B24" t="s">
        <v>7</v>
      </c>
      <c r="C24" t="s">
        <v>13</v>
      </c>
    </row>
    <row r="25" spans="1:3" x14ac:dyDescent="0.25">
      <c r="A25" s="7" t="s">
        <v>9</v>
      </c>
      <c r="B25" t="s">
        <v>8</v>
      </c>
    </row>
    <row r="26" spans="1:3" x14ac:dyDescent="0.25">
      <c r="A26" s="7" t="s">
        <v>9</v>
      </c>
      <c r="B26" t="s">
        <v>3</v>
      </c>
      <c r="C26" t="s">
        <v>12</v>
      </c>
    </row>
    <row r="27" spans="1:3" x14ac:dyDescent="0.25">
      <c r="A27" s="7" t="s">
        <v>9</v>
      </c>
      <c r="B27" t="s">
        <v>4</v>
      </c>
      <c r="C27" t="s">
        <v>11</v>
      </c>
    </row>
    <row r="28" spans="1:3" x14ac:dyDescent="0.25">
      <c r="A28" s="7" t="s">
        <v>10</v>
      </c>
      <c r="B28" t="s">
        <v>37</v>
      </c>
      <c r="C28" t="s">
        <v>58</v>
      </c>
    </row>
    <row r="29" spans="1:3" x14ac:dyDescent="0.25">
      <c r="A29" s="7" t="s">
        <v>10</v>
      </c>
      <c r="B29" t="s">
        <v>35</v>
      </c>
      <c r="C29" t="s">
        <v>45</v>
      </c>
    </row>
    <row r="30" spans="1:3" ht="16.5" thickBot="1" x14ac:dyDescent="0.3">
      <c r="A30" s="9"/>
      <c r="B30" s="10"/>
      <c r="C30" s="10"/>
    </row>
    <row r="31" spans="1:3" ht="16.5" thickTop="1" x14ac:dyDescent="0.25"/>
    <row r="32" spans="1:3" x14ac:dyDescent="0.25">
      <c r="A32" s="7" t="s">
        <v>0</v>
      </c>
      <c r="B32" s="3" t="s">
        <v>36</v>
      </c>
    </row>
    <row r="33" spans="1:3" x14ac:dyDescent="0.25">
      <c r="A33" s="7" t="s">
        <v>9</v>
      </c>
      <c r="B33" t="s">
        <v>16</v>
      </c>
    </row>
    <row r="34" spans="1:3" x14ac:dyDescent="0.25">
      <c r="A34" s="7" t="s">
        <v>9</v>
      </c>
      <c r="B34" t="s">
        <v>17</v>
      </c>
    </row>
    <row r="35" spans="1:3" x14ac:dyDescent="0.25">
      <c r="A35" s="7" t="s">
        <v>9</v>
      </c>
      <c r="B35" t="s">
        <v>18</v>
      </c>
    </row>
    <row r="36" spans="1:3" x14ac:dyDescent="0.25">
      <c r="A36" s="7" t="s">
        <v>9</v>
      </c>
      <c r="B36" t="s">
        <v>42</v>
      </c>
    </row>
    <row r="37" spans="1:3" x14ac:dyDescent="0.25">
      <c r="A37" s="7" t="s">
        <v>10</v>
      </c>
      <c r="B37" t="s">
        <v>38</v>
      </c>
      <c r="C37" t="s">
        <v>40</v>
      </c>
    </row>
    <row r="38" spans="1:3" x14ac:dyDescent="0.25">
      <c r="A38" s="7" t="s">
        <v>10</v>
      </c>
      <c r="B38" t="s">
        <v>39</v>
      </c>
      <c r="C38" t="s">
        <v>53</v>
      </c>
    </row>
    <row r="39" spans="1:3" x14ac:dyDescent="0.25">
      <c r="A39" s="7" t="s">
        <v>10</v>
      </c>
      <c r="B39" t="s">
        <v>57</v>
      </c>
      <c r="C39" t="s">
        <v>51</v>
      </c>
    </row>
    <row r="40" spans="1:3" x14ac:dyDescent="0.25">
      <c r="A40" s="7" t="s">
        <v>10</v>
      </c>
      <c r="B40" t="s">
        <v>49</v>
      </c>
    </row>
    <row r="41" spans="1:3" x14ac:dyDescent="0.25">
      <c r="A41" s="7" t="s">
        <v>10</v>
      </c>
      <c r="B41" t="s">
        <v>56</v>
      </c>
      <c r="C41" t="s">
        <v>50</v>
      </c>
    </row>
    <row r="42" spans="1:3" x14ac:dyDescent="0.25">
      <c r="A42" s="7" t="s">
        <v>10</v>
      </c>
      <c r="B42" t="s">
        <v>55</v>
      </c>
      <c r="C42" t="s">
        <v>52</v>
      </c>
    </row>
    <row r="43" spans="1:3" x14ac:dyDescent="0.25">
      <c r="A43" s="7" t="s">
        <v>10</v>
      </c>
      <c r="B43" t="s">
        <v>54</v>
      </c>
    </row>
    <row r="51" spans="1:3" x14ac:dyDescent="0.25">
      <c r="B51" s="3"/>
    </row>
    <row r="52" spans="1:3" x14ac:dyDescent="0.25">
      <c r="B52" s="3"/>
    </row>
    <row r="53" spans="1:3" x14ac:dyDescent="0.25">
      <c r="A53" s="7" t="s">
        <v>0</v>
      </c>
      <c r="B53" s="3" t="s">
        <v>41</v>
      </c>
    </row>
    <row r="54" spans="1:3" x14ac:dyDescent="0.25">
      <c r="A54" s="7" t="s">
        <v>9</v>
      </c>
      <c r="B54" s="8" t="s">
        <v>15</v>
      </c>
    </row>
    <row r="55" spans="1:3" x14ac:dyDescent="0.25">
      <c r="A55" s="7" t="s">
        <v>9</v>
      </c>
      <c r="B55" s="8" t="s">
        <v>5</v>
      </c>
    </row>
    <row r="56" spans="1:3" x14ac:dyDescent="0.25">
      <c r="A56" s="7" t="s">
        <v>9</v>
      </c>
      <c r="B56" t="s">
        <v>47</v>
      </c>
    </row>
    <row r="57" spans="1:3" x14ac:dyDescent="0.25">
      <c r="A57" s="7" t="s">
        <v>9</v>
      </c>
      <c r="B57" t="s">
        <v>6</v>
      </c>
    </row>
    <row r="58" spans="1:3" x14ac:dyDescent="0.25">
      <c r="A58" s="7" t="s">
        <v>9</v>
      </c>
      <c r="B58" t="s">
        <v>7</v>
      </c>
      <c r="C58" t="s">
        <v>13</v>
      </c>
    </row>
    <row r="59" spans="1:3" x14ac:dyDescent="0.25">
      <c r="A59" s="7" t="s">
        <v>9</v>
      </c>
      <c r="B59" t="s">
        <v>8</v>
      </c>
    </row>
    <row r="60" spans="1:3" x14ac:dyDescent="0.25">
      <c r="A60" s="7" t="s">
        <v>10</v>
      </c>
      <c r="B60" t="s">
        <v>33</v>
      </c>
      <c r="C60" t="s">
        <v>34</v>
      </c>
    </row>
    <row r="61" spans="1:3" x14ac:dyDescent="0.25">
      <c r="A61" s="7" t="s">
        <v>10</v>
      </c>
      <c r="B6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932B-809B-4E4C-97F1-686F33A0D1F5}">
  <dimension ref="A1:F19"/>
  <sheetViews>
    <sheetView zoomScale="110" zoomScaleNormal="110" workbookViewId="0">
      <selection activeCell="D18" sqref="D18"/>
    </sheetView>
  </sheetViews>
  <sheetFormatPr defaultRowHeight="15.75" x14ac:dyDescent="0.25"/>
  <sheetData>
    <row r="1" spans="1:6" ht="18.75" x14ac:dyDescent="0.3">
      <c r="A1" s="63" t="s">
        <v>329</v>
      </c>
      <c r="C1" t="s">
        <v>330</v>
      </c>
    </row>
    <row r="4" spans="1:6" ht="18.75" x14ac:dyDescent="0.3">
      <c r="A4" s="63" t="s">
        <v>331</v>
      </c>
      <c r="C4" t="s">
        <v>332</v>
      </c>
    </row>
    <row r="5" spans="1:6" x14ac:dyDescent="0.25">
      <c r="A5" t="s">
        <v>333</v>
      </c>
    </row>
    <row r="6" spans="1:6" x14ac:dyDescent="0.25">
      <c r="A6" t="s">
        <v>335</v>
      </c>
    </row>
    <row r="7" spans="1:6" x14ac:dyDescent="0.25">
      <c r="A7" t="s">
        <v>334</v>
      </c>
    </row>
    <row r="8" spans="1:6" x14ac:dyDescent="0.25">
      <c r="A8" t="s">
        <v>336</v>
      </c>
    </row>
    <row r="9" spans="1:6" x14ac:dyDescent="0.25">
      <c r="A9" t="s">
        <v>337</v>
      </c>
    </row>
    <row r="10" spans="1:6" x14ac:dyDescent="0.25">
      <c r="A10" t="s">
        <v>338</v>
      </c>
      <c r="F10" t="s">
        <v>339</v>
      </c>
    </row>
    <row r="13" spans="1:6" ht="18.75" x14ac:dyDescent="0.3">
      <c r="A13" s="63" t="s">
        <v>341</v>
      </c>
      <c r="D13" t="s">
        <v>340</v>
      </c>
    </row>
    <row r="14" spans="1:6" x14ac:dyDescent="0.25">
      <c r="A14" t="s">
        <v>342</v>
      </c>
    </row>
    <row r="15" spans="1:6" x14ac:dyDescent="0.25">
      <c r="A15" t="s">
        <v>343</v>
      </c>
      <c r="D15" t="s">
        <v>348</v>
      </c>
    </row>
    <row r="16" spans="1:6" x14ac:dyDescent="0.25">
      <c r="A16" t="s">
        <v>344</v>
      </c>
      <c r="D16" t="s">
        <v>349</v>
      </c>
    </row>
    <row r="17" spans="1:4" x14ac:dyDescent="0.25">
      <c r="A17" t="s">
        <v>345</v>
      </c>
      <c r="D17" t="s">
        <v>350</v>
      </c>
    </row>
    <row r="18" spans="1:4" x14ac:dyDescent="0.25">
      <c r="A18" t="s">
        <v>346</v>
      </c>
    </row>
    <row r="19" spans="1:4" x14ac:dyDescent="0.25">
      <c r="A19" s="23" t="s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325C-9731-4A75-A3A9-4B73C3E6885F}">
  <dimension ref="A2:Y47"/>
  <sheetViews>
    <sheetView topLeftCell="B1" workbookViewId="0">
      <selection activeCell="C29" sqref="B29:C29"/>
    </sheetView>
  </sheetViews>
  <sheetFormatPr defaultRowHeight="15.75" x14ac:dyDescent="0.25"/>
  <cols>
    <col min="1" max="1" width="22.625" customWidth="1"/>
    <col min="2" max="3" width="12" customWidth="1"/>
    <col min="4" max="4" width="11.375" style="26" customWidth="1"/>
    <col min="5" max="6" width="13" customWidth="1"/>
    <col min="7" max="7" width="12.5" style="26" customWidth="1"/>
    <col min="8" max="9" width="13" customWidth="1"/>
    <col min="10" max="10" width="3.625" customWidth="1"/>
    <col min="11" max="12" width="10" customWidth="1"/>
    <col min="13" max="13" width="3.625" customWidth="1"/>
    <col min="14" max="16" width="10.625" customWidth="1"/>
    <col min="17" max="17" width="3.75" customWidth="1"/>
    <col min="18" max="20" width="12" customWidth="1"/>
  </cols>
  <sheetData>
    <row r="2" spans="1:23" x14ac:dyDescent="0.25">
      <c r="D2" s="26" t="s">
        <v>300</v>
      </c>
      <c r="E2">
        <v>260.54674</v>
      </c>
      <c r="F2" t="s">
        <v>301</v>
      </c>
      <c r="G2" s="26">
        <v>1536</v>
      </c>
      <c r="H2" t="s">
        <v>303</v>
      </c>
    </row>
    <row r="3" spans="1:23" x14ac:dyDescent="0.25">
      <c r="D3" s="26" t="s">
        <v>302</v>
      </c>
      <c r="E3">
        <v>-10.152749999999999</v>
      </c>
      <c r="F3" t="s">
        <v>301</v>
      </c>
      <c r="G3" s="26">
        <v>1023.5</v>
      </c>
      <c r="H3" t="s">
        <v>303</v>
      </c>
    </row>
    <row r="5" spans="1:23" x14ac:dyDescent="0.25">
      <c r="E5" t="s">
        <v>294</v>
      </c>
    </row>
    <row r="6" spans="1:23" x14ac:dyDescent="0.25">
      <c r="D6" s="26" t="s">
        <v>278</v>
      </c>
      <c r="E6">
        <v>-1.7064579862030522</v>
      </c>
      <c r="F6" t="s">
        <v>295</v>
      </c>
    </row>
    <row r="7" spans="1:23" x14ac:dyDescent="0.25">
      <c r="D7" s="26" t="s">
        <v>293</v>
      </c>
      <c r="E7">
        <v>-0.60778920662195113</v>
      </c>
      <c r="F7" t="s">
        <v>295</v>
      </c>
    </row>
    <row r="8" spans="1:23" x14ac:dyDescent="0.25">
      <c r="D8" s="26" t="s">
        <v>305</v>
      </c>
      <c r="E8">
        <v>0</v>
      </c>
      <c r="F8" t="s">
        <v>297</v>
      </c>
    </row>
    <row r="9" spans="1:23" ht="16.5" thickBot="1" x14ac:dyDescent="0.3">
      <c r="D9" s="26" t="s">
        <v>306</v>
      </c>
      <c r="E9" s="47">
        <v>0</v>
      </c>
      <c r="F9" t="s">
        <v>297</v>
      </c>
      <c r="N9" s="47"/>
      <c r="O9" s="47"/>
      <c r="P9" s="47"/>
    </row>
    <row r="10" spans="1:23" ht="16.5" thickBot="1" x14ac:dyDescent="0.3">
      <c r="D10" s="49" t="s">
        <v>308</v>
      </c>
      <c r="E10" s="50"/>
      <c r="F10" s="51"/>
      <c r="N10" s="47"/>
      <c r="O10" s="52" t="s">
        <v>299</v>
      </c>
      <c r="P10" s="53">
        <f>SQRT(SUM(P15:P47)/COUNT(P15:P47))</f>
        <v>1.8484956949064197</v>
      </c>
      <c r="S10" s="26" t="s">
        <v>299</v>
      </c>
      <c r="T10" s="48">
        <f>SQRT(SUM(T15:T47)/COUNT(T15:T47))</f>
        <v>1.8472215754437664</v>
      </c>
    </row>
    <row r="11" spans="1:23" x14ac:dyDescent="0.25">
      <c r="N11" s="47"/>
      <c r="O11" s="47"/>
      <c r="P11" s="47"/>
    </row>
    <row r="12" spans="1:23" x14ac:dyDescent="0.25">
      <c r="N12" s="47"/>
      <c r="O12" s="47"/>
      <c r="P12" s="47"/>
    </row>
    <row r="13" spans="1:23" ht="16.5" thickBot="1" x14ac:dyDescent="0.3">
      <c r="A13" s="24" t="s">
        <v>244</v>
      </c>
      <c r="B13" s="24" t="s">
        <v>242</v>
      </c>
      <c r="C13" s="24"/>
      <c r="E13" s="24" t="s">
        <v>291</v>
      </c>
      <c r="F13" s="24"/>
      <c r="H13" s="24" t="s">
        <v>292</v>
      </c>
      <c r="I13" s="24"/>
      <c r="K13" s="24" t="s">
        <v>243</v>
      </c>
      <c r="L13" s="24"/>
      <c r="N13" s="54" t="s">
        <v>296</v>
      </c>
      <c r="O13" s="54"/>
      <c r="P13" s="54"/>
      <c r="R13" s="24" t="s">
        <v>307</v>
      </c>
      <c r="S13" s="24"/>
      <c r="T13" s="24"/>
    </row>
    <row r="14" spans="1:23" x14ac:dyDescent="0.25">
      <c r="A14" s="7" t="s">
        <v>290</v>
      </c>
      <c r="B14" s="7" t="s">
        <v>221</v>
      </c>
      <c r="C14" s="7" t="s">
        <v>222</v>
      </c>
      <c r="E14" s="7" t="s">
        <v>271</v>
      </c>
      <c r="F14" s="7" t="s">
        <v>87</v>
      </c>
      <c r="H14" s="7" t="s">
        <v>271</v>
      </c>
      <c r="I14" s="7" t="s">
        <v>87</v>
      </c>
      <c r="K14" s="7" t="s">
        <v>271</v>
      </c>
      <c r="L14" s="7" t="s">
        <v>87</v>
      </c>
      <c r="N14" s="55" t="s">
        <v>271</v>
      </c>
      <c r="O14" s="55" t="s">
        <v>87</v>
      </c>
      <c r="P14" s="47" t="s">
        <v>298</v>
      </c>
      <c r="R14" s="7" t="s">
        <v>271</v>
      </c>
      <c r="S14" s="7" t="s">
        <v>87</v>
      </c>
      <c r="T14" t="s">
        <v>298</v>
      </c>
      <c r="V14" t="s">
        <v>309</v>
      </c>
      <c r="W14" t="s">
        <v>310</v>
      </c>
    </row>
    <row r="15" spans="1:23" x14ac:dyDescent="0.25">
      <c r="A15" t="s">
        <v>287</v>
      </c>
      <c r="B15">
        <v>260.26695999999998</v>
      </c>
      <c r="C15">
        <v>-10.13744</v>
      </c>
      <c r="D15" s="26" t="s">
        <v>288</v>
      </c>
      <c r="E15">
        <v>2990.3939999999998</v>
      </c>
      <c r="F15">
        <v>912.67700000000002</v>
      </c>
      <c r="G15" s="26" t="s">
        <v>289</v>
      </c>
      <c r="H15">
        <v>2990.4180000000001</v>
      </c>
      <c r="I15">
        <v>913.303</v>
      </c>
      <c r="K15" s="61">
        <v>2990.819</v>
      </c>
      <c r="L15" s="61">
        <v>912.63</v>
      </c>
      <c r="N15" s="47">
        <f>E15+$E$6+$E$8*((B15-$E$2)^2)</f>
        <v>2988.6875420137967</v>
      </c>
      <c r="O15" s="47">
        <f>F15+$E$7+$E$9*((C15-$E$3)^2)</f>
        <v>912.06921079337803</v>
      </c>
      <c r="P15" s="47">
        <f>($K15-N15)^2+($L15-O15)^2</f>
        <v>4.857597681213341</v>
      </c>
      <c r="R15">
        <f>H15+$E$6+$E$8*(ABS(B15-$E$2)^3)*(H15-$G$2)</f>
        <v>2988.711542013797</v>
      </c>
      <c r="S15">
        <f>I15+$E$7+$E$9*(ABS(C15-$E$3)^3)*(I15-$G$3)</f>
        <v>912.69521079337801</v>
      </c>
      <c r="T15">
        <f>($K15-R15)^2+($L15-S15)^2</f>
        <v>4.445631611183444</v>
      </c>
      <c r="V15">
        <f>R15-K15</f>
        <v>-2.1074579862029168</v>
      </c>
      <c r="W15">
        <f>S15-L15</f>
        <v>6.5210793378014387E-2</v>
      </c>
    </row>
    <row r="16" spans="1:23" x14ac:dyDescent="0.25">
      <c r="A16" t="s">
        <v>287</v>
      </c>
      <c r="B16">
        <v>260.29435999999998</v>
      </c>
      <c r="C16">
        <v>-10.18003</v>
      </c>
      <c r="D16" s="26" t="s">
        <v>288</v>
      </c>
      <c r="E16">
        <v>2851.9960000000001</v>
      </c>
      <c r="F16">
        <v>1140.511</v>
      </c>
      <c r="G16" s="26" t="s">
        <v>289</v>
      </c>
      <c r="H16">
        <v>2852.0140000000001</v>
      </c>
      <c r="I16">
        <v>1141.0229999999999</v>
      </c>
      <c r="K16" s="61">
        <v>2851.2190000000001</v>
      </c>
      <c r="L16" s="61">
        <v>1140.8320000000001</v>
      </c>
      <c r="N16" s="47">
        <f t="shared" ref="N16:N47" si="0">E16+$E$6+$E$8*((B16-$E$2)^2)</f>
        <v>2850.289542013797</v>
      </c>
      <c r="O16" s="47">
        <f t="shared" ref="O16:O47" si="1">F16+$E$7+$E$9*((C16-$E$3)^2)</f>
        <v>1139.9032107933781</v>
      </c>
      <c r="P16" s="47">
        <f t="shared" ref="P16:P47" si="2">($K16-N16)^2+($L16-O16)^2</f>
        <v>1.7265415384541476</v>
      </c>
      <c r="R16">
        <f t="shared" ref="R16:R47" si="3">H16+$E$6+$E$8*(ABS(B16-$E$2)^3)*(H16-$G$2)</f>
        <v>2850.307542013797</v>
      </c>
      <c r="S16">
        <f t="shared" ref="S16:S47" si="4">I16+$E$7+$E$9*(ABS(C16-$E$3)^3)*(I16-$G$3)</f>
        <v>1140.415210793378</v>
      </c>
      <c r="T16">
        <f t="shared" ref="T16:T47" si="5">($K16-R16)^2+($L16-S16)^2</f>
        <v>1.0044689033698904</v>
      </c>
      <c r="V16">
        <f t="shared" ref="V16:V47" si="6">R16-K16</f>
        <v>-0.91145798620300411</v>
      </c>
      <c r="W16">
        <f t="shared" ref="W16:W47" si="7">S16-L16</f>
        <v>-0.4167892066220702</v>
      </c>
    </row>
    <row r="17" spans="1:25" x14ac:dyDescent="0.25">
      <c r="A17" t="s">
        <v>287</v>
      </c>
      <c r="B17">
        <v>260.30295999999998</v>
      </c>
      <c r="C17">
        <v>-10.33881</v>
      </c>
      <c r="D17" s="26" t="s">
        <v>288</v>
      </c>
      <c r="E17">
        <v>2822.8530000000001</v>
      </c>
      <c r="F17">
        <v>1980.673</v>
      </c>
      <c r="G17" s="26" t="s">
        <v>289</v>
      </c>
      <c r="H17">
        <v>2822.8760000000002</v>
      </c>
      <c r="I17">
        <v>1981.16</v>
      </c>
      <c r="K17" s="61">
        <v>2823.3620000000001</v>
      </c>
      <c r="L17" s="61">
        <v>1982.18</v>
      </c>
      <c r="N17" s="47">
        <f t="shared" si="0"/>
        <v>2821.146542013797</v>
      </c>
      <c r="O17" s="47">
        <f t="shared" si="1"/>
        <v>1980.0652107933781</v>
      </c>
      <c r="P17" s="47">
        <f t="shared" si="2"/>
        <v>9.380587477075693</v>
      </c>
      <c r="R17">
        <f t="shared" si="3"/>
        <v>2821.1695420137971</v>
      </c>
      <c r="S17">
        <f t="shared" si="4"/>
        <v>1980.5522107933782</v>
      </c>
      <c r="T17">
        <f t="shared" si="5"/>
        <v>7.4565697224597187</v>
      </c>
      <c r="V17">
        <f t="shared" si="6"/>
        <v>-2.1924579862029532</v>
      </c>
      <c r="W17">
        <f t="shared" si="7"/>
        <v>-1.6277892066218556</v>
      </c>
    </row>
    <row r="18" spans="1:25" x14ac:dyDescent="0.25">
      <c r="A18" t="s">
        <v>287</v>
      </c>
      <c r="B18">
        <v>260.31362000000001</v>
      </c>
      <c r="C18">
        <v>-10.27961</v>
      </c>
      <c r="D18" s="26" t="s">
        <v>288</v>
      </c>
      <c r="E18">
        <v>2761.616</v>
      </c>
      <c r="F18">
        <v>1668.7950000000001</v>
      </c>
      <c r="G18" s="26" t="s">
        <v>289</v>
      </c>
      <c r="H18">
        <v>2761.634</v>
      </c>
      <c r="I18">
        <v>1669.2360000000001</v>
      </c>
      <c r="K18" s="61">
        <v>2760.53</v>
      </c>
      <c r="L18" s="61">
        <v>1669.0329999999999</v>
      </c>
      <c r="N18" s="47">
        <f t="shared" si="0"/>
        <v>2759.9095420137969</v>
      </c>
      <c r="O18" s="47">
        <f t="shared" si="1"/>
        <v>1668.1872107933782</v>
      </c>
      <c r="P18" s="47">
        <f t="shared" si="2"/>
        <v>1.1003274946812134</v>
      </c>
      <c r="R18">
        <f t="shared" si="3"/>
        <v>2759.9275420137969</v>
      </c>
      <c r="S18">
        <f t="shared" si="4"/>
        <v>1668.6282107933782</v>
      </c>
      <c r="T18">
        <f t="shared" si="5"/>
        <v>0.52680992693749285</v>
      </c>
      <c r="V18">
        <f t="shared" si="6"/>
        <v>-0.60245798620326241</v>
      </c>
      <c r="W18">
        <f t="shared" si="7"/>
        <v>-0.40478920662167184</v>
      </c>
    </row>
    <row r="19" spans="1:25" x14ac:dyDescent="0.25">
      <c r="A19" t="s">
        <v>287</v>
      </c>
      <c r="B19">
        <v>260.31614999999999</v>
      </c>
      <c r="C19">
        <v>-10.12693</v>
      </c>
      <c r="D19" s="26" t="s">
        <v>288</v>
      </c>
      <c r="E19">
        <v>2733.4070000000002</v>
      </c>
      <c r="F19">
        <v>862.03800000000001</v>
      </c>
      <c r="G19" s="26" t="s">
        <v>289</v>
      </c>
      <c r="H19">
        <v>2733.4209999999998</v>
      </c>
      <c r="I19">
        <v>862.46299999999997</v>
      </c>
      <c r="K19" s="61">
        <v>2732.2</v>
      </c>
      <c r="L19" s="61">
        <v>862.05200000000002</v>
      </c>
      <c r="N19" s="47">
        <f t="shared" si="0"/>
        <v>2731.7005420137971</v>
      </c>
      <c r="O19" s="47">
        <f t="shared" si="1"/>
        <v>861.43021079337802</v>
      </c>
      <c r="P19" s="47">
        <f t="shared" si="2"/>
        <v>0.63608009745331162</v>
      </c>
      <c r="R19">
        <f t="shared" si="3"/>
        <v>2731.7145420137967</v>
      </c>
      <c r="S19">
        <f t="shared" si="4"/>
        <v>861.85521079337798</v>
      </c>
      <c r="T19">
        <f t="shared" si="5"/>
        <v>0.27439544821127637</v>
      </c>
      <c r="V19">
        <f t="shared" si="6"/>
        <v>-0.48545798620307323</v>
      </c>
      <c r="W19">
        <f t="shared" si="7"/>
        <v>-0.19678920662204291</v>
      </c>
    </row>
    <row r="20" spans="1:25" x14ac:dyDescent="0.25">
      <c r="A20" t="s">
        <v>287</v>
      </c>
      <c r="B20">
        <v>260.33985999999999</v>
      </c>
      <c r="C20">
        <v>-10.072100000000001</v>
      </c>
      <c r="D20" s="26" t="s">
        <v>288</v>
      </c>
      <c r="E20">
        <v>2604.6239999999998</v>
      </c>
      <c r="F20">
        <v>574.64300000000003</v>
      </c>
      <c r="G20" s="26" t="s">
        <v>289</v>
      </c>
      <c r="H20">
        <v>2604.636</v>
      </c>
      <c r="I20">
        <v>574.98199999999997</v>
      </c>
      <c r="K20" s="61">
        <v>2603.319</v>
      </c>
      <c r="L20" s="61">
        <v>574.51700000000005</v>
      </c>
      <c r="N20" s="47">
        <f t="shared" si="0"/>
        <v>2602.9175420137967</v>
      </c>
      <c r="O20" s="47">
        <f t="shared" si="1"/>
        <v>574.03521079337804</v>
      </c>
      <c r="P20" s="47">
        <f t="shared" si="2"/>
        <v>0.39328935430382816</v>
      </c>
      <c r="R20">
        <f t="shared" si="3"/>
        <v>2602.9295420137969</v>
      </c>
      <c r="S20">
        <f t="shared" si="4"/>
        <v>574.37421079337798</v>
      </c>
      <c r="T20">
        <f t="shared" si="5"/>
        <v>0.17206628054511036</v>
      </c>
      <c r="V20">
        <f t="shared" si="6"/>
        <v>-0.38945798620306959</v>
      </c>
      <c r="W20">
        <f t="shared" si="7"/>
        <v>-0.14278920662206929</v>
      </c>
    </row>
    <row r="21" spans="1:25" x14ac:dyDescent="0.25">
      <c r="A21" t="s">
        <v>287</v>
      </c>
      <c r="B21">
        <v>260.34615000000002</v>
      </c>
      <c r="C21">
        <v>-10.07549</v>
      </c>
      <c r="D21" s="26" t="s">
        <v>288</v>
      </c>
      <c r="E21">
        <v>2572.2159999999999</v>
      </c>
      <c r="F21">
        <v>593.16200000000003</v>
      </c>
      <c r="G21" s="26" t="s">
        <v>289</v>
      </c>
      <c r="H21">
        <v>2572.2269999999999</v>
      </c>
      <c r="I21">
        <v>593.48099999999999</v>
      </c>
      <c r="K21" s="61">
        <v>2570.8180000000002</v>
      </c>
      <c r="L21" s="61">
        <v>593.16099999999994</v>
      </c>
      <c r="N21" s="47">
        <f t="shared" si="0"/>
        <v>2570.5095420137968</v>
      </c>
      <c r="O21" s="47">
        <f t="shared" si="1"/>
        <v>592.55421079337805</v>
      </c>
      <c r="P21" s="47">
        <f t="shared" si="2"/>
        <v>0.46333947052548452</v>
      </c>
      <c r="R21">
        <f t="shared" si="3"/>
        <v>2570.5205420137968</v>
      </c>
      <c r="S21">
        <f t="shared" si="4"/>
        <v>592.87321079337801</v>
      </c>
      <c r="T21">
        <f t="shared" si="5"/>
        <v>0.17130388100428182</v>
      </c>
      <c r="V21">
        <f t="shared" si="6"/>
        <v>-0.29745798620342612</v>
      </c>
      <c r="W21">
        <f t="shared" si="7"/>
        <v>-0.28778920662193741</v>
      </c>
    </row>
    <row r="22" spans="1:25" x14ac:dyDescent="0.25">
      <c r="A22" t="s">
        <v>287</v>
      </c>
      <c r="B22">
        <v>260.35948999999999</v>
      </c>
      <c r="C22">
        <v>-10.276730000000001</v>
      </c>
      <c r="D22" s="26" t="s">
        <v>288</v>
      </c>
      <c r="E22">
        <v>2522.7979999999998</v>
      </c>
      <c r="F22">
        <v>1658.1990000000001</v>
      </c>
      <c r="G22" s="26" t="s">
        <v>289</v>
      </c>
      <c r="H22">
        <v>2522.8090000000002</v>
      </c>
      <c r="I22">
        <v>1658.4839999999999</v>
      </c>
      <c r="K22" s="61">
        <v>2520.7600000000002</v>
      </c>
      <c r="L22" s="61">
        <v>1657.8779999999999</v>
      </c>
      <c r="N22" s="47">
        <f t="shared" si="0"/>
        <v>2521.0915420137967</v>
      </c>
      <c r="O22" s="47">
        <f t="shared" si="1"/>
        <v>1657.5912107933782</v>
      </c>
      <c r="P22" s="47">
        <f t="shared" si="2"/>
        <v>0.1921681559469483</v>
      </c>
      <c r="R22">
        <f t="shared" si="3"/>
        <v>2521.1025420137971</v>
      </c>
      <c r="S22">
        <f t="shared" si="4"/>
        <v>1657.876210793378</v>
      </c>
      <c r="T22">
        <f t="shared" si="5"/>
        <v>0.1173382324763723</v>
      </c>
      <c r="V22">
        <f t="shared" si="6"/>
        <v>0.3425420137969013</v>
      </c>
      <c r="W22">
        <f t="shared" si="7"/>
        <v>-1.7892066218792024E-3</v>
      </c>
    </row>
    <row r="23" spans="1:25" x14ac:dyDescent="0.25">
      <c r="A23" t="s">
        <v>287</v>
      </c>
      <c r="B23">
        <v>260.36768999999998</v>
      </c>
      <c r="C23">
        <v>-10.279529999999999</v>
      </c>
      <c r="D23" s="26" t="s">
        <v>288</v>
      </c>
      <c r="E23">
        <v>2480.42</v>
      </c>
      <c r="F23">
        <v>1673.8630000000001</v>
      </c>
      <c r="G23" s="26" t="s">
        <v>289</v>
      </c>
      <c r="H23">
        <v>2480.4299999999998</v>
      </c>
      <c r="I23">
        <v>1674.124</v>
      </c>
      <c r="K23" s="61">
        <v>2478.489</v>
      </c>
      <c r="L23" s="61">
        <v>1673.6590000000001</v>
      </c>
      <c r="N23" s="47">
        <f t="shared" si="0"/>
        <v>2478.713542013797</v>
      </c>
      <c r="O23" s="47">
        <f t="shared" si="1"/>
        <v>1673.2552107933782</v>
      </c>
      <c r="P23" s="47">
        <f t="shared" si="2"/>
        <v>0.2134648393443575</v>
      </c>
      <c r="R23">
        <f t="shared" si="3"/>
        <v>2478.7235420137968</v>
      </c>
      <c r="S23">
        <f t="shared" si="4"/>
        <v>1673.5162107933781</v>
      </c>
      <c r="T23">
        <f t="shared" si="5"/>
        <v>7.539871376355145E-2</v>
      </c>
      <c r="V23">
        <f t="shared" si="6"/>
        <v>0.23454201379672668</v>
      </c>
      <c r="W23">
        <f t="shared" si="7"/>
        <v>-0.1427892066219556</v>
      </c>
    </row>
    <row r="24" spans="1:25" x14ac:dyDescent="0.25">
      <c r="A24" t="s">
        <v>287</v>
      </c>
      <c r="B24">
        <v>260.37437999999997</v>
      </c>
      <c r="C24">
        <v>-10.241300000000001</v>
      </c>
      <c r="D24" s="26" t="s">
        <v>288</v>
      </c>
      <c r="E24">
        <v>2441.806</v>
      </c>
      <c r="F24">
        <v>1472.4590000000001</v>
      </c>
      <c r="G24" s="26" t="s">
        <v>289</v>
      </c>
      <c r="H24">
        <v>2441.8139999999999</v>
      </c>
      <c r="I24">
        <v>1472.6990000000001</v>
      </c>
      <c r="K24" s="61">
        <v>2439.4560000000001</v>
      </c>
      <c r="L24" s="61">
        <v>1472.1880000000001</v>
      </c>
      <c r="N24" s="47">
        <f t="shared" si="0"/>
        <v>2440.099542013797</v>
      </c>
      <c r="O24" s="47">
        <f t="shared" si="1"/>
        <v>1471.8512107933782</v>
      </c>
      <c r="P24" s="47">
        <f t="shared" si="2"/>
        <v>0.5275732932187015</v>
      </c>
      <c r="R24">
        <f t="shared" si="3"/>
        <v>2440.1075420137968</v>
      </c>
      <c r="S24">
        <f t="shared" si="4"/>
        <v>1472.0912107933782</v>
      </c>
      <c r="T24">
        <f t="shared" si="5"/>
        <v>0.43387514626068302</v>
      </c>
      <c r="V24">
        <f t="shared" si="6"/>
        <v>0.651542013796643</v>
      </c>
      <c r="W24">
        <f t="shared" si="7"/>
        <v>-9.6789206621906487E-2</v>
      </c>
    </row>
    <row r="25" spans="1:25" x14ac:dyDescent="0.25">
      <c r="A25" t="s">
        <v>287</v>
      </c>
      <c r="B25">
        <v>260.3793</v>
      </c>
      <c r="C25">
        <v>-10.156090000000001</v>
      </c>
      <c r="D25" s="26" t="s">
        <v>288</v>
      </c>
      <c r="E25">
        <v>2407.7190000000001</v>
      </c>
      <c r="F25">
        <v>1022.535</v>
      </c>
      <c r="G25" s="26" t="s">
        <v>289</v>
      </c>
      <c r="H25">
        <v>2407.7249999999999</v>
      </c>
      <c r="I25">
        <v>1022.76</v>
      </c>
      <c r="K25" s="61">
        <v>2405.319</v>
      </c>
      <c r="L25" s="61">
        <v>1022.716</v>
      </c>
      <c r="N25" s="47">
        <f t="shared" si="0"/>
        <v>2406.012542013797</v>
      </c>
      <c r="O25" s="47">
        <f t="shared" si="1"/>
        <v>1021.927210793378</v>
      </c>
      <c r="P25" s="47">
        <f t="shared" si="2"/>
        <v>1.1031889373850252</v>
      </c>
      <c r="R25">
        <f t="shared" si="3"/>
        <v>2406.0185420137968</v>
      </c>
      <c r="S25">
        <f t="shared" si="4"/>
        <v>1022.152210793378</v>
      </c>
      <c r="T25">
        <f t="shared" si="5"/>
        <v>0.80721729857045288</v>
      </c>
      <c r="V25">
        <f t="shared" si="6"/>
        <v>0.6995420137968722</v>
      </c>
      <c r="W25">
        <f t="shared" si="7"/>
        <v>-0.56378920662200471</v>
      </c>
      <c r="X25" t="s">
        <v>311</v>
      </c>
      <c r="Y25" t="s">
        <v>312</v>
      </c>
    </row>
    <row r="26" spans="1:25" x14ac:dyDescent="0.25">
      <c r="A26" t="s">
        <v>287</v>
      </c>
      <c r="B26">
        <v>260.42836999999997</v>
      </c>
      <c r="C26">
        <v>-10.235099999999999</v>
      </c>
      <c r="D26" s="26" t="s">
        <v>288</v>
      </c>
      <c r="E26">
        <v>2160.384</v>
      </c>
      <c r="F26">
        <v>1445.0930000000001</v>
      </c>
      <c r="G26" s="26" t="s">
        <v>289</v>
      </c>
      <c r="H26">
        <v>2160.3879999999999</v>
      </c>
      <c r="I26">
        <v>1445.2070000000001</v>
      </c>
      <c r="K26" s="61">
        <v>2157.9349999999999</v>
      </c>
      <c r="L26" s="61">
        <v>1444.481</v>
      </c>
      <c r="N26" s="47">
        <f t="shared" si="0"/>
        <v>2158.6775420137969</v>
      </c>
      <c r="O26" s="47">
        <f t="shared" si="1"/>
        <v>1444.4852107933782</v>
      </c>
      <c r="P26" s="47">
        <f t="shared" si="2"/>
        <v>0.55138637303456661</v>
      </c>
      <c r="R26">
        <f t="shared" si="3"/>
        <v>2158.6815420137968</v>
      </c>
      <c r="S26">
        <f t="shared" si="4"/>
        <v>1444.5992107933782</v>
      </c>
      <c r="T26">
        <f t="shared" si="5"/>
        <v>0.57129877003504004</v>
      </c>
      <c r="V26">
        <f t="shared" si="6"/>
        <v>0.74654201379689766</v>
      </c>
      <c r="W26">
        <f t="shared" si="7"/>
        <v>0.11821079337823903</v>
      </c>
      <c r="X26">
        <f>AVERAGE(V27:V40)</f>
        <v>-0.71838655763165049</v>
      </c>
      <c r="Y26">
        <f>AVERAGE(W27:W40)</f>
        <v>-0.14907492090761462</v>
      </c>
    </row>
    <row r="27" spans="1:25" x14ac:dyDescent="0.25">
      <c r="A27" t="s">
        <v>287</v>
      </c>
      <c r="B27">
        <v>260.43538000000001</v>
      </c>
      <c r="C27">
        <v>-10.251580000000001</v>
      </c>
      <c r="D27" s="26" t="s">
        <v>288</v>
      </c>
      <c r="E27">
        <v>2125.5639999999999</v>
      </c>
      <c r="F27">
        <v>1532.913</v>
      </c>
      <c r="G27" s="26" t="s">
        <v>289</v>
      </c>
      <c r="H27">
        <v>2125.567</v>
      </c>
      <c r="I27">
        <v>1533.0139999999999</v>
      </c>
      <c r="K27" s="61">
        <v>2123.1759999999999</v>
      </c>
      <c r="L27" s="61">
        <v>1531.9949999999999</v>
      </c>
      <c r="N27" s="47">
        <f t="shared" si="0"/>
        <v>2123.8575420137968</v>
      </c>
      <c r="O27" s="47">
        <f t="shared" si="1"/>
        <v>1532.3052107933781</v>
      </c>
      <c r="P27" s="47">
        <f t="shared" si="2"/>
        <v>0.56073025289861733</v>
      </c>
      <c r="R27">
        <f t="shared" si="3"/>
        <v>2123.8605420137969</v>
      </c>
      <c r="S27">
        <f t="shared" si="4"/>
        <v>1532.406210793378</v>
      </c>
      <c r="T27">
        <f t="shared" si="5"/>
        <v>0.63769208524392407</v>
      </c>
      <c r="V27">
        <f t="shared" si="6"/>
        <v>0.68454201379699953</v>
      </c>
      <c r="W27">
        <f t="shared" si="7"/>
        <v>0.41121079337813171</v>
      </c>
    </row>
    <row r="28" spans="1:25" x14ac:dyDescent="0.25">
      <c r="A28" t="s">
        <v>287</v>
      </c>
      <c r="B28">
        <v>260.46528000000001</v>
      </c>
      <c r="C28">
        <v>-10.285119999999999</v>
      </c>
      <c r="D28" s="26" t="s">
        <v>288</v>
      </c>
      <c r="E28">
        <v>1973.423</v>
      </c>
      <c r="F28">
        <v>1713.2</v>
      </c>
      <c r="G28" s="26" t="s">
        <v>289</v>
      </c>
      <c r="H28">
        <v>1973.4259999999999</v>
      </c>
      <c r="I28">
        <v>1713.2550000000001</v>
      </c>
      <c r="K28" s="61">
        <v>1971.64</v>
      </c>
      <c r="L28" s="61">
        <v>1711.8209999999999</v>
      </c>
      <c r="N28" s="47">
        <f t="shared" si="0"/>
        <v>1971.7165420137969</v>
      </c>
      <c r="O28" s="47">
        <f t="shared" si="1"/>
        <v>1712.5922107933782</v>
      </c>
      <c r="P28" s="47">
        <f t="shared" si="2"/>
        <v>0.60062476769919715</v>
      </c>
      <c r="R28">
        <f t="shared" si="3"/>
        <v>1971.7195420137969</v>
      </c>
      <c r="S28">
        <f t="shared" si="4"/>
        <v>1712.6472107933782</v>
      </c>
      <c r="T28">
        <f t="shared" si="5"/>
        <v>0.68895120705368051</v>
      </c>
      <c r="V28">
        <f t="shared" si="6"/>
        <v>7.9542013796753963E-2</v>
      </c>
      <c r="W28">
        <f t="shared" si="7"/>
        <v>0.82621079337832271</v>
      </c>
    </row>
    <row r="29" spans="1:25" x14ac:dyDescent="0.25">
      <c r="A29" t="s">
        <v>287</v>
      </c>
      <c r="B29">
        <v>260.48322999999999</v>
      </c>
      <c r="C29">
        <v>-10.241860000000001</v>
      </c>
      <c r="D29" s="26" t="s">
        <v>288</v>
      </c>
      <c r="E29">
        <v>1875.6769999999999</v>
      </c>
      <c r="F29">
        <v>1486.345</v>
      </c>
      <c r="G29" s="26" t="s">
        <v>289</v>
      </c>
      <c r="H29">
        <v>1875.6780000000001</v>
      </c>
      <c r="I29">
        <v>1486.377</v>
      </c>
      <c r="K29" s="61">
        <v>1873.633</v>
      </c>
      <c r="L29" s="61">
        <v>1485.268</v>
      </c>
      <c r="N29" s="47">
        <f t="shared" si="0"/>
        <v>1873.9705420137968</v>
      </c>
      <c r="O29" s="47">
        <f t="shared" si="1"/>
        <v>1485.7372107933782</v>
      </c>
      <c r="P29" s="47">
        <f t="shared" si="2"/>
        <v>0.33409337970052277</v>
      </c>
      <c r="R29">
        <f t="shared" si="3"/>
        <v>1873.971542013797</v>
      </c>
      <c r="S29">
        <f t="shared" si="4"/>
        <v>1485.7692107933781</v>
      </c>
      <c r="T29">
        <f t="shared" si="5"/>
        <v>0.36582295450437957</v>
      </c>
      <c r="V29">
        <f t="shared" si="6"/>
        <v>0.33854201379699589</v>
      </c>
      <c r="W29">
        <f t="shared" si="7"/>
        <v>0.50121079337804986</v>
      </c>
    </row>
    <row r="30" spans="1:25" x14ac:dyDescent="0.25">
      <c r="A30" t="s">
        <v>287</v>
      </c>
      <c r="B30">
        <v>260.49734000000001</v>
      </c>
      <c r="C30">
        <v>-10.046609999999999</v>
      </c>
      <c r="D30" s="26" t="s">
        <v>288</v>
      </c>
      <c r="E30">
        <v>1782.4839999999999</v>
      </c>
      <c r="F30">
        <v>455.75200000000001</v>
      </c>
      <c r="G30" s="26" t="s">
        <v>289</v>
      </c>
      <c r="H30">
        <v>1782.4849999999999</v>
      </c>
      <c r="I30">
        <v>455.77100000000002</v>
      </c>
      <c r="K30" s="61">
        <v>1781.086</v>
      </c>
      <c r="L30" s="61">
        <v>456.51499999999999</v>
      </c>
      <c r="N30" s="47">
        <f t="shared" si="0"/>
        <v>1780.7775420137968</v>
      </c>
      <c r="O30" s="47">
        <f t="shared" si="1"/>
        <v>455.14421079337808</v>
      </c>
      <c r="P30" s="47">
        <f t="shared" si="2"/>
        <v>1.974209378243631</v>
      </c>
      <c r="R30">
        <f t="shared" si="3"/>
        <v>1780.7785420137968</v>
      </c>
      <c r="S30">
        <f t="shared" si="4"/>
        <v>455.16321079337808</v>
      </c>
      <c r="T30">
        <f t="shared" si="5"/>
        <v>1.9218644724195919</v>
      </c>
      <c r="V30">
        <f t="shared" si="6"/>
        <v>-0.30745798620318965</v>
      </c>
      <c r="W30">
        <f t="shared" si="7"/>
        <v>-1.3517892066219019</v>
      </c>
    </row>
    <row r="31" spans="1:25" x14ac:dyDescent="0.25">
      <c r="A31" t="s">
        <v>287</v>
      </c>
      <c r="B31">
        <v>260.53352999999998</v>
      </c>
      <c r="C31">
        <v>-10.329269999999999</v>
      </c>
      <c r="D31" s="26" t="s">
        <v>288</v>
      </c>
      <c r="E31">
        <v>1623.0029999999999</v>
      </c>
      <c r="F31">
        <v>1953.452</v>
      </c>
      <c r="G31" s="26" t="s">
        <v>289</v>
      </c>
      <c r="H31">
        <v>1623.0029999999999</v>
      </c>
      <c r="I31">
        <v>1953.4559999999999</v>
      </c>
      <c r="K31" s="61">
        <v>1621.3979999999999</v>
      </c>
      <c r="L31" s="61">
        <v>1951.8420000000001</v>
      </c>
      <c r="N31" s="47">
        <f t="shared" si="0"/>
        <v>1621.2965420137969</v>
      </c>
      <c r="O31" s="47">
        <f t="shared" si="1"/>
        <v>1952.8442107933781</v>
      </c>
      <c r="P31" s="47">
        <f t="shared" si="2"/>
        <v>1.0147201973277928</v>
      </c>
      <c r="R31">
        <f t="shared" si="3"/>
        <v>1621.2965420137969</v>
      </c>
      <c r="S31">
        <f t="shared" si="4"/>
        <v>1952.848210793378</v>
      </c>
      <c r="T31">
        <f t="shared" si="5"/>
        <v>1.0227538836746266</v>
      </c>
      <c r="V31">
        <f t="shared" si="6"/>
        <v>-0.10145798620305868</v>
      </c>
      <c r="W31">
        <f t="shared" si="7"/>
        <v>1.0062107933779316</v>
      </c>
    </row>
    <row r="32" spans="1:25" x14ac:dyDescent="0.25">
      <c r="A32" t="s">
        <v>287</v>
      </c>
      <c r="B32">
        <v>260.56175000000002</v>
      </c>
      <c r="C32">
        <v>-10.019259999999999</v>
      </c>
      <c r="D32" s="26" t="s">
        <v>288</v>
      </c>
      <c r="E32">
        <v>1444.451</v>
      </c>
      <c r="F32">
        <v>317.67700000000002</v>
      </c>
      <c r="G32" s="26" t="s">
        <v>289</v>
      </c>
      <c r="H32">
        <v>1444.45</v>
      </c>
      <c r="I32">
        <v>317.678</v>
      </c>
      <c r="K32" s="61">
        <v>1443.549</v>
      </c>
      <c r="L32" s="61">
        <v>318.34699999999998</v>
      </c>
      <c r="N32" s="47">
        <f t="shared" si="0"/>
        <v>1442.7445420137969</v>
      </c>
      <c r="O32" s="47">
        <f t="shared" si="1"/>
        <v>317.06921079337809</v>
      </c>
      <c r="P32" s="47">
        <f t="shared" si="2"/>
        <v>2.2798979081252377</v>
      </c>
      <c r="R32">
        <f t="shared" si="3"/>
        <v>1442.743542013797</v>
      </c>
      <c r="S32">
        <f t="shared" si="4"/>
        <v>317.07021079337807</v>
      </c>
      <c r="T32">
        <f t="shared" si="5"/>
        <v>2.2789532456844226</v>
      </c>
      <c r="V32">
        <f t="shared" si="6"/>
        <v>-0.80545798620300957</v>
      </c>
      <c r="W32">
        <f t="shared" si="7"/>
        <v>-1.2767892066219133</v>
      </c>
    </row>
    <row r="33" spans="1:23" x14ac:dyDescent="0.25">
      <c r="A33" t="s">
        <v>287</v>
      </c>
      <c r="B33">
        <v>260.57107999999999</v>
      </c>
      <c r="C33">
        <v>-10.02032</v>
      </c>
      <c r="D33" s="26" t="s">
        <v>288</v>
      </c>
      <c r="E33">
        <v>1396.0060000000001</v>
      </c>
      <c r="F33">
        <v>324.22199999999998</v>
      </c>
      <c r="G33" s="26" t="s">
        <v>289</v>
      </c>
      <c r="H33">
        <v>1396.0060000000001</v>
      </c>
      <c r="I33">
        <v>324.22500000000002</v>
      </c>
      <c r="K33" s="61">
        <v>1395.1210000000001</v>
      </c>
      <c r="L33" s="61">
        <v>324.87799999999999</v>
      </c>
      <c r="N33" s="47">
        <f t="shared" si="0"/>
        <v>1394.299542013797</v>
      </c>
      <c r="O33" s="47">
        <f t="shared" si="1"/>
        <v>323.61421079337805</v>
      </c>
      <c r="P33" s="47">
        <f t="shared" si="2"/>
        <v>2.271956381870933</v>
      </c>
      <c r="R33">
        <f t="shared" si="3"/>
        <v>1394.299542013797</v>
      </c>
      <c r="S33">
        <f t="shared" si="4"/>
        <v>323.61721079337809</v>
      </c>
      <c r="T33">
        <f t="shared" si="5"/>
        <v>2.2643826466310935</v>
      </c>
      <c r="V33">
        <f t="shared" si="6"/>
        <v>-0.82145798620308597</v>
      </c>
      <c r="W33">
        <f t="shared" si="7"/>
        <v>-1.2607892066218938</v>
      </c>
    </row>
    <row r="34" spans="1:23" x14ac:dyDescent="0.25">
      <c r="A34" t="s">
        <v>287</v>
      </c>
      <c r="B34">
        <v>260.61594000000002</v>
      </c>
      <c r="C34">
        <v>-10.31682</v>
      </c>
      <c r="D34" s="26" t="s">
        <v>288</v>
      </c>
      <c r="E34">
        <v>1193.1859999999999</v>
      </c>
      <c r="F34">
        <v>1895.9190000000001</v>
      </c>
      <c r="G34" s="26" t="s">
        <v>289</v>
      </c>
      <c r="H34">
        <v>1193.1859999999999</v>
      </c>
      <c r="I34">
        <v>1895.96</v>
      </c>
      <c r="K34" s="61">
        <v>1192.4459999999999</v>
      </c>
      <c r="L34" s="61">
        <v>1894.4449999999999</v>
      </c>
      <c r="N34" s="47">
        <f t="shared" si="0"/>
        <v>1191.4795420137968</v>
      </c>
      <c r="O34" s="47">
        <f t="shared" si="1"/>
        <v>1895.3112107933782</v>
      </c>
      <c r="P34" s="47">
        <f t="shared" si="2"/>
        <v>1.6843621776607294</v>
      </c>
      <c r="R34">
        <f t="shared" si="3"/>
        <v>1191.4795420137968</v>
      </c>
      <c r="S34">
        <f t="shared" si="4"/>
        <v>1895.3522107933782</v>
      </c>
      <c r="T34">
        <f t="shared" si="5"/>
        <v>1.7570724627176399</v>
      </c>
      <c r="V34">
        <f t="shared" si="6"/>
        <v>-0.96645798620306778</v>
      </c>
      <c r="W34">
        <f t="shared" si="7"/>
        <v>0.9072107933782263</v>
      </c>
    </row>
    <row r="35" spans="1:23" x14ac:dyDescent="0.25">
      <c r="A35" t="s">
        <v>287</v>
      </c>
      <c r="B35">
        <v>260.64997</v>
      </c>
      <c r="C35">
        <v>-10.25259</v>
      </c>
      <c r="D35" s="26" t="s">
        <v>288</v>
      </c>
      <c r="E35">
        <v>1009.503</v>
      </c>
      <c r="F35">
        <v>1559.87</v>
      </c>
      <c r="G35" s="26" t="s">
        <v>289</v>
      </c>
      <c r="H35">
        <v>1009.503</v>
      </c>
      <c r="I35">
        <v>1559.9570000000001</v>
      </c>
      <c r="K35" s="61">
        <v>1009.308</v>
      </c>
      <c r="L35" s="61">
        <v>1559.057</v>
      </c>
      <c r="N35" s="47">
        <f t="shared" si="0"/>
        <v>1007.796542013797</v>
      </c>
      <c r="O35" s="47">
        <f t="shared" si="1"/>
        <v>1559.262210793378</v>
      </c>
      <c r="P35" s="47">
        <f t="shared" si="2"/>
        <v>2.3266167137757376</v>
      </c>
      <c r="R35">
        <f t="shared" si="3"/>
        <v>1007.796542013797</v>
      </c>
      <c r="S35">
        <f t="shared" si="4"/>
        <v>1559.3492107933782</v>
      </c>
      <c r="T35">
        <f t="shared" si="5"/>
        <v>2.3698923918236363</v>
      </c>
      <c r="V35">
        <f t="shared" si="6"/>
        <v>-1.5114579862030268</v>
      </c>
      <c r="W35">
        <f t="shared" si="7"/>
        <v>0.2922107933782172</v>
      </c>
    </row>
    <row r="36" spans="1:23" x14ac:dyDescent="0.25">
      <c r="A36" t="s">
        <v>287</v>
      </c>
      <c r="B36">
        <v>260.66485999999998</v>
      </c>
      <c r="C36">
        <v>-10.1906</v>
      </c>
      <c r="D36" s="26" t="s">
        <v>288</v>
      </c>
      <c r="E36">
        <v>925.63800000000003</v>
      </c>
      <c r="F36">
        <v>1233.7070000000001</v>
      </c>
      <c r="G36" s="26" t="s">
        <v>289</v>
      </c>
      <c r="H36">
        <v>925.63900000000001</v>
      </c>
      <c r="I36">
        <v>1233.819</v>
      </c>
      <c r="K36" s="61">
        <v>925.47799999999995</v>
      </c>
      <c r="L36" s="61">
        <v>1233.6500000000001</v>
      </c>
      <c r="N36" s="47">
        <f t="shared" si="0"/>
        <v>923.93154201379696</v>
      </c>
      <c r="O36" s="47">
        <f t="shared" si="1"/>
        <v>1233.0992107933782</v>
      </c>
      <c r="P36" s="47">
        <f t="shared" si="2"/>
        <v>2.694901053222158</v>
      </c>
      <c r="R36">
        <f t="shared" si="3"/>
        <v>923.93254201379693</v>
      </c>
      <c r="S36">
        <f t="shared" si="4"/>
        <v>1233.2112107933781</v>
      </c>
      <c r="T36">
        <f t="shared" si="5"/>
        <v>2.580976354966658</v>
      </c>
      <c r="V36">
        <f t="shared" si="6"/>
        <v>-1.5454579862030187</v>
      </c>
      <c r="W36">
        <f t="shared" si="7"/>
        <v>-0.43878920662200471</v>
      </c>
    </row>
    <row r="37" spans="1:23" x14ac:dyDescent="0.25">
      <c r="A37" t="s">
        <v>287</v>
      </c>
      <c r="B37">
        <v>260.66658999999999</v>
      </c>
      <c r="C37">
        <v>-10.2158</v>
      </c>
      <c r="D37" s="26" t="s">
        <v>288</v>
      </c>
      <c r="E37">
        <v>919.25300000000004</v>
      </c>
      <c r="F37">
        <v>1367.0830000000001</v>
      </c>
      <c r="G37" s="26" t="s">
        <v>289</v>
      </c>
      <c r="H37">
        <v>919.25400000000002</v>
      </c>
      <c r="I37">
        <v>1367.1990000000001</v>
      </c>
      <c r="K37" s="61">
        <v>919.14700000000005</v>
      </c>
      <c r="L37" s="61">
        <v>1366.5920000000001</v>
      </c>
      <c r="N37" s="47">
        <f t="shared" si="0"/>
        <v>917.54654201379697</v>
      </c>
      <c r="O37" s="47">
        <f t="shared" si="1"/>
        <v>1366.4752107933782</v>
      </c>
      <c r="P37" s="47">
        <f t="shared" si="2"/>
        <v>2.5751054843845957</v>
      </c>
      <c r="R37">
        <f t="shared" si="3"/>
        <v>917.54754201379694</v>
      </c>
      <c r="S37">
        <f t="shared" si="4"/>
        <v>1366.5912107933782</v>
      </c>
      <c r="T37">
        <f t="shared" si="5"/>
        <v>2.5582664724759874</v>
      </c>
      <c r="V37">
        <f t="shared" si="6"/>
        <v>-1.599457986203106</v>
      </c>
      <c r="W37">
        <f t="shared" si="7"/>
        <v>-7.8920662190284929E-4</v>
      </c>
    </row>
    <row r="38" spans="1:23" x14ac:dyDescent="0.25">
      <c r="A38" t="s">
        <v>287</v>
      </c>
      <c r="B38">
        <v>260.67142000000001</v>
      </c>
      <c r="C38">
        <v>-10.08423</v>
      </c>
      <c r="D38" s="26" t="s">
        <v>288</v>
      </c>
      <c r="E38">
        <v>880.40899999999999</v>
      </c>
      <c r="F38">
        <v>672.14700000000005</v>
      </c>
      <c r="G38" s="26" t="s">
        <v>289</v>
      </c>
      <c r="H38">
        <v>880.41</v>
      </c>
      <c r="I38">
        <v>672.27</v>
      </c>
      <c r="K38" s="61">
        <v>879.94100000000003</v>
      </c>
      <c r="L38" s="61">
        <v>672.66499999999996</v>
      </c>
      <c r="N38" s="47">
        <f t="shared" si="0"/>
        <v>878.70254201379691</v>
      </c>
      <c r="O38" s="47">
        <f t="shared" si="1"/>
        <v>671.53921079337806</v>
      </c>
      <c r="P38" s="47">
        <f t="shared" si="2"/>
        <v>2.801179521336651</v>
      </c>
      <c r="R38">
        <f t="shared" si="3"/>
        <v>878.70354201379689</v>
      </c>
      <c r="S38">
        <f t="shared" si="4"/>
        <v>671.66221079337799</v>
      </c>
      <c r="T38">
        <f t="shared" si="5"/>
        <v>2.5368884605354483</v>
      </c>
      <c r="V38">
        <f t="shared" si="6"/>
        <v>-1.2374579862031396</v>
      </c>
      <c r="W38">
        <f t="shared" si="7"/>
        <v>-1.0027892066219692</v>
      </c>
    </row>
    <row r="39" spans="1:23" x14ac:dyDescent="0.25">
      <c r="A39" t="s">
        <v>287</v>
      </c>
      <c r="B39">
        <v>260.67802999999998</v>
      </c>
      <c r="C39">
        <v>-10.29044</v>
      </c>
      <c r="D39" s="26" t="s">
        <v>288</v>
      </c>
      <c r="E39">
        <v>867.553</v>
      </c>
      <c r="F39">
        <v>1762.7650000000001</v>
      </c>
      <c r="G39" s="26" t="s">
        <v>289</v>
      </c>
      <c r="H39">
        <v>867.553</v>
      </c>
      <c r="I39">
        <v>1762.9059999999999</v>
      </c>
      <c r="K39" s="61">
        <v>867.09</v>
      </c>
      <c r="L39" s="61">
        <v>1762.136</v>
      </c>
      <c r="N39" s="47">
        <f t="shared" si="0"/>
        <v>865.84654201379692</v>
      </c>
      <c r="O39" s="47">
        <f t="shared" si="1"/>
        <v>1762.1572107933782</v>
      </c>
      <c r="P39" s="47">
        <f t="shared" si="2"/>
        <v>1.5466376612080326</v>
      </c>
      <c r="R39">
        <f t="shared" si="3"/>
        <v>865.84654201379692</v>
      </c>
      <c r="S39">
        <f t="shared" si="4"/>
        <v>1762.2982107933781</v>
      </c>
      <c r="T39">
        <f t="shared" si="5"/>
        <v>1.5725001049406526</v>
      </c>
      <c r="V39">
        <f t="shared" si="6"/>
        <v>-1.2434579862031114</v>
      </c>
      <c r="W39">
        <f t="shared" si="7"/>
        <v>0.16221079337810806</v>
      </c>
    </row>
    <row r="40" spans="1:23" x14ac:dyDescent="0.25">
      <c r="A40" t="s">
        <v>287</v>
      </c>
      <c r="B40">
        <v>260.68236000000002</v>
      </c>
      <c r="C40">
        <v>-10.063750000000001</v>
      </c>
      <c r="D40" s="26" t="s">
        <v>288</v>
      </c>
      <c r="E40">
        <v>821.30200000000002</v>
      </c>
      <c r="F40">
        <v>565.01499999999999</v>
      </c>
      <c r="G40" s="26" t="s">
        <v>289</v>
      </c>
      <c r="H40">
        <v>821.30200000000002</v>
      </c>
      <c r="I40">
        <v>565.16099999999994</v>
      </c>
      <c r="K40" s="61">
        <v>820.61599999999999</v>
      </c>
      <c r="L40" s="61">
        <v>565.41499999999996</v>
      </c>
      <c r="N40" s="47">
        <f t="shared" si="0"/>
        <v>819.59554201379694</v>
      </c>
      <c r="O40" s="47">
        <f t="shared" si="1"/>
        <v>564.407210793378</v>
      </c>
      <c r="P40" s="47">
        <f t="shared" si="2"/>
        <v>2.0569735865892955</v>
      </c>
      <c r="R40">
        <f t="shared" si="3"/>
        <v>819.59554201379694</v>
      </c>
      <c r="S40">
        <f t="shared" si="4"/>
        <v>564.55321079337796</v>
      </c>
      <c r="T40">
        <f t="shared" si="5"/>
        <v>1.7840151382557541</v>
      </c>
      <c r="V40">
        <f t="shared" si="6"/>
        <v>-1.0204579862030414</v>
      </c>
      <c r="W40">
        <f t="shared" si="7"/>
        <v>-0.86178920662200653</v>
      </c>
    </row>
    <row r="41" spans="1:23" x14ac:dyDescent="0.25">
      <c r="A41" t="s">
        <v>287</v>
      </c>
      <c r="B41">
        <v>260.6979</v>
      </c>
      <c r="C41">
        <v>-10.04453</v>
      </c>
      <c r="D41" s="26" t="s">
        <v>288</v>
      </c>
      <c r="E41">
        <v>738.40800000000002</v>
      </c>
      <c r="F41">
        <v>464.96600000000001</v>
      </c>
      <c r="G41" s="26" t="s">
        <v>289</v>
      </c>
      <c r="H41">
        <v>738.40899999999999</v>
      </c>
      <c r="I41">
        <v>465.14699999999999</v>
      </c>
      <c r="K41" s="61">
        <v>737.25599999999997</v>
      </c>
      <c r="L41" s="61">
        <v>465.096</v>
      </c>
      <c r="N41" s="47">
        <f t="shared" si="0"/>
        <v>736.70154201379694</v>
      </c>
      <c r="O41" s="47">
        <f t="shared" si="1"/>
        <v>464.35821079337808</v>
      </c>
      <c r="P41" s="47">
        <f t="shared" si="2"/>
        <v>0.85175657187213405</v>
      </c>
      <c r="R41">
        <f t="shared" si="3"/>
        <v>736.70254201379691</v>
      </c>
      <c r="S41">
        <f t="shared" si="4"/>
        <v>464.53921079337806</v>
      </c>
      <c r="T41">
        <f t="shared" si="5"/>
        <v>0.61632996310263566</v>
      </c>
      <c r="V41">
        <f t="shared" si="6"/>
        <v>-0.55345798620305686</v>
      </c>
      <c r="W41">
        <f t="shared" si="7"/>
        <v>-0.55678920662194287</v>
      </c>
    </row>
    <row r="42" spans="1:23" x14ac:dyDescent="0.25">
      <c r="A42" t="s">
        <v>287</v>
      </c>
      <c r="B42">
        <v>260.70353999999998</v>
      </c>
      <c r="C42">
        <v>-10.03209</v>
      </c>
      <c r="D42" s="26" t="s">
        <v>288</v>
      </c>
      <c r="E42">
        <v>707.79300000000001</v>
      </c>
      <c r="F42">
        <v>399.815</v>
      </c>
      <c r="G42" s="26" t="s">
        <v>289</v>
      </c>
      <c r="H42">
        <v>707.79300000000001</v>
      </c>
      <c r="I42">
        <v>400.00799999999998</v>
      </c>
      <c r="K42" s="61">
        <v>706.27099999999996</v>
      </c>
      <c r="L42" s="61">
        <v>399.74900000000002</v>
      </c>
      <c r="N42" s="47">
        <f t="shared" si="0"/>
        <v>706.08654201379693</v>
      </c>
      <c r="O42" s="47">
        <f t="shared" si="1"/>
        <v>399.20721079337807</v>
      </c>
      <c r="P42" s="47">
        <f t="shared" si="2"/>
        <v>0.32756029308612583</v>
      </c>
      <c r="R42">
        <f t="shared" si="3"/>
        <v>706.08654201379693</v>
      </c>
      <c r="S42">
        <f t="shared" si="4"/>
        <v>399.40021079337805</v>
      </c>
      <c r="T42">
        <f t="shared" si="5"/>
        <v>0.155678659330062</v>
      </c>
      <c r="V42">
        <f t="shared" si="6"/>
        <v>-0.18445798620302867</v>
      </c>
      <c r="W42">
        <f t="shared" si="7"/>
        <v>-0.34878920662197288</v>
      </c>
    </row>
    <row r="43" spans="1:23" x14ac:dyDescent="0.25">
      <c r="A43" t="s">
        <v>287</v>
      </c>
      <c r="B43">
        <v>260.71064000000001</v>
      </c>
      <c r="C43">
        <v>-10.26004</v>
      </c>
      <c r="D43" s="26" t="s">
        <v>288</v>
      </c>
      <c r="E43">
        <v>694.73199999999997</v>
      </c>
      <c r="F43">
        <v>1605.383</v>
      </c>
      <c r="G43" s="26" t="s">
        <v>289</v>
      </c>
      <c r="H43">
        <v>694.73199999999997</v>
      </c>
      <c r="I43">
        <v>1605.6010000000001</v>
      </c>
      <c r="K43" s="61">
        <v>693.87099999999998</v>
      </c>
      <c r="L43" s="61">
        <v>1605.0640000000001</v>
      </c>
      <c r="N43" s="47">
        <f t="shared" si="0"/>
        <v>693.02554201379689</v>
      </c>
      <c r="O43" s="47">
        <f t="shared" si="1"/>
        <v>1604.7752107933782</v>
      </c>
      <c r="P43" s="47">
        <f t="shared" si="2"/>
        <v>0.7981984122958935</v>
      </c>
      <c r="R43">
        <f t="shared" si="3"/>
        <v>693.02554201379689</v>
      </c>
      <c r="S43">
        <f t="shared" si="4"/>
        <v>1604.9932107933782</v>
      </c>
      <c r="T43">
        <f t="shared" si="5"/>
        <v>0.71981031820872854</v>
      </c>
      <c r="V43">
        <f t="shared" si="6"/>
        <v>-0.84545798620308688</v>
      </c>
      <c r="W43">
        <f t="shared" si="7"/>
        <v>-7.0789206621839185E-2</v>
      </c>
    </row>
    <row r="44" spans="1:23" x14ac:dyDescent="0.25">
      <c r="A44" t="s">
        <v>287</v>
      </c>
      <c r="B44">
        <v>260.72012999999998</v>
      </c>
      <c r="C44">
        <v>-10.039</v>
      </c>
      <c r="D44" s="26" t="s">
        <v>288</v>
      </c>
      <c r="E44">
        <v>622.14099999999996</v>
      </c>
      <c r="F44">
        <v>438.00099999999998</v>
      </c>
      <c r="G44" s="26" t="s">
        <v>289</v>
      </c>
      <c r="H44">
        <v>622.14099999999996</v>
      </c>
      <c r="I44">
        <v>438.23899999999998</v>
      </c>
      <c r="K44" s="61">
        <v>620.69799999999998</v>
      </c>
      <c r="L44" s="61">
        <v>437.82799999999997</v>
      </c>
      <c r="N44" s="47">
        <f t="shared" si="0"/>
        <v>620.43454201379689</v>
      </c>
      <c r="O44" s="47">
        <f t="shared" si="1"/>
        <v>437.39321079337805</v>
      </c>
      <c r="P44" s="47">
        <f t="shared" si="2"/>
        <v>0.25845176468911557</v>
      </c>
      <c r="R44">
        <f t="shared" si="3"/>
        <v>620.43454201379689</v>
      </c>
      <c r="S44">
        <f t="shared" si="4"/>
        <v>437.63121079337805</v>
      </c>
      <c r="T44">
        <f t="shared" si="5"/>
        <v>0.10813610233707763</v>
      </c>
      <c r="V44">
        <f t="shared" si="6"/>
        <v>-0.26345798620309324</v>
      </c>
      <c r="W44">
        <f t="shared" si="7"/>
        <v>-0.19678920662192922</v>
      </c>
    </row>
    <row r="45" spans="1:23" x14ac:dyDescent="0.25">
      <c r="A45" t="s">
        <v>287</v>
      </c>
      <c r="B45">
        <v>260.73136</v>
      </c>
      <c r="C45">
        <v>-10.05012</v>
      </c>
      <c r="D45" s="26" t="s">
        <v>288</v>
      </c>
      <c r="E45">
        <v>564.88699999999994</v>
      </c>
      <c r="F45">
        <v>497.90499999999997</v>
      </c>
      <c r="G45" s="26" t="s">
        <v>289</v>
      </c>
      <c r="H45">
        <v>564.88699999999994</v>
      </c>
      <c r="I45">
        <v>498.17399999999998</v>
      </c>
      <c r="K45" s="61">
        <v>563.21500000000003</v>
      </c>
      <c r="L45" s="61">
        <v>497.75900000000001</v>
      </c>
      <c r="N45" s="47">
        <f t="shared" si="0"/>
        <v>563.18054201379687</v>
      </c>
      <c r="O45" s="47">
        <f t="shared" si="1"/>
        <v>497.29721079337804</v>
      </c>
      <c r="P45" s="47">
        <f t="shared" si="2"/>
        <v>0.21443662416572826</v>
      </c>
      <c r="R45">
        <f t="shared" si="3"/>
        <v>563.18054201379687</v>
      </c>
      <c r="S45">
        <f t="shared" si="4"/>
        <v>497.56621079337805</v>
      </c>
      <c r="T45">
        <f t="shared" si="5"/>
        <v>3.8355031003104986E-2</v>
      </c>
      <c r="V45">
        <f t="shared" si="6"/>
        <v>-3.4457986203165092E-2</v>
      </c>
      <c r="W45">
        <f t="shared" si="7"/>
        <v>-0.19278920662196697</v>
      </c>
    </row>
    <row r="46" spans="1:23" x14ac:dyDescent="0.25">
      <c r="A46" t="s">
        <v>287</v>
      </c>
      <c r="B46">
        <v>260.80234000000002</v>
      </c>
      <c r="C46">
        <v>-9.9872099999999993</v>
      </c>
      <c r="D46" s="26" t="s">
        <v>288</v>
      </c>
      <c r="E46">
        <v>188.75399999999999</v>
      </c>
      <c r="F46">
        <v>172.524</v>
      </c>
      <c r="G46" s="26" t="s">
        <v>289</v>
      </c>
      <c r="H46">
        <v>188.75</v>
      </c>
      <c r="I46">
        <v>173.03700000000001</v>
      </c>
      <c r="K46" s="61">
        <v>182.61</v>
      </c>
      <c r="L46" s="61">
        <v>169.53</v>
      </c>
      <c r="N46" s="47">
        <f t="shared" si="0"/>
        <v>187.04754201379694</v>
      </c>
      <c r="O46" s="47">
        <f t="shared" si="1"/>
        <v>171.91621079337804</v>
      </c>
      <c r="P46" s="47">
        <f t="shared" si="2"/>
        <v>25.385781074646758</v>
      </c>
      <c r="R46">
        <f t="shared" si="3"/>
        <v>187.04354201379695</v>
      </c>
      <c r="S46">
        <f t="shared" si="4"/>
        <v>172.42921079337805</v>
      </c>
      <c r="T46">
        <f t="shared" si="5"/>
        <v>28.061718012542364</v>
      </c>
      <c r="V46">
        <f t="shared" si="6"/>
        <v>4.4335420137969379</v>
      </c>
      <c r="W46">
        <f t="shared" si="7"/>
        <v>2.899210793378046</v>
      </c>
    </row>
    <row r="47" spans="1:23" x14ac:dyDescent="0.25">
      <c r="A47" t="s">
        <v>287</v>
      </c>
      <c r="B47">
        <v>260.81855000000002</v>
      </c>
      <c r="C47">
        <v>-9.9887999999999995</v>
      </c>
      <c r="D47" s="26" t="s">
        <v>288</v>
      </c>
      <c r="E47">
        <v>104.52500000000001</v>
      </c>
      <c r="F47">
        <v>182.59</v>
      </c>
      <c r="G47" s="26" t="s">
        <v>289</v>
      </c>
      <c r="H47">
        <v>104.52</v>
      </c>
      <c r="I47">
        <v>183.17</v>
      </c>
      <c r="K47" s="61">
        <v>97.198999999999998</v>
      </c>
      <c r="L47" s="61">
        <v>179.24799999999999</v>
      </c>
      <c r="N47" s="47">
        <f t="shared" si="0"/>
        <v>102.81854201379696</v>
      </c>
      <c r="O47" s="47">
        <f t="shared" si="1"/>
        <v>181.98221079337804</v>
      </c>
      <c r="P47" s="47">
        <f t="shared" si="2"/>
        <v>39.055161107454232</v>
      </c>
      <c r="R47">
        <f t="shared" si="3"/>
        <v>102.81354201379695</v>
      </c>
      <c r="S47">
        <f t="shared" si="4"/>
        <v>182.56221079337803</v>
      </c>
      <c r="T47">
        <f t="shared" si="5"/>
        <v>42.507075207634593</v>
      </c>
      <c r="V47">
        <f t="shared" si="6"/>
        <v>5.6145420137969495</v>
      </c>
      <c r="W47">
        <f t="shared" si="7"/>
        <v>3.314210793378038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1A14-831D-4791-9EA1-21D2818751D4}">
  <dimension ref="A2:U51"/>
  <sheetViews>
    <sheetView topLeftCell="B1" workbookViewId="0">
      <selection activeCell="U44" sqref="U44"/>
    </sheetView>
  </sheetViews>
  <sheetFormatPr defaultRowHeight="15.75" x14ac:dyDescent="0.25"/>
  <cols>
    <col min="1" max="1" width="22.625" customWidth="1"/>
    <col min="2" max="3" width="12" customWidth="1"/>
    <col min="4" max="4" width="11.375" style="26" customWidth="1"/>
    <col min="5" max="6" width="13" customWidth="1"/>
    <col min="7" max="7" width="12.5" style="26" customWidth="1"/>
    <col min="8" max="9" width="13" customWidth="1"/>
    <col min="10" max="10" width="3.625" customWidth="1"/>
    <col min="11" max="12" width="10" customWidth="1"/>
    <col min="13" max="13" width="3.625" customWidth="1"/>
    <col min="14" max="16" width="10.625" customWidth="1"/>
    <col min="17" max="17" width="3.625" customWidth="1"/>
    <col min="18" max="20" width="12" customWidth="1"/>
  </cols>
  <sheetData>
    <row r="2" spans="1:21" x14ac:dyDescent="0.25">
      <c r="D2" s="26" t="s">
        <v>300</v>
      </c>
      <c r="E2">
        <v>260.54674</v>
      </c>
      <c r="F2" t="s">
        <v>301</v>
      </c>
      <c r="G2" s="26">
        <v>1536</v>
      </c>
      <c r="H2" t="s">
        <v>303</v>
      </c>
    </row>
    <row r="3" spans="1:21" x14ac:dyDescent="0.25">
      <c r="D3" s="26" t="s">
        <v>302</v>
      </c>
      <c r="E3">
        <v>-10.152749999999999</v>
      </c>
      <c r="F3" t="s">
        <v>301</v>
      </c>
      <c r="G3" s="26">
        <v>1023.5</v>
      </c>
      <c r="H3" t="s">
        <v>303</v>
      </c>
    </row>
    <row r="5" spans="1:21" x14ac:dyDescent="0.25">
      <c r="E5" t="s">
        <v>294</v>
      </c>
    </row>
    <row r="6" spans="1:21" x14ac:dyDescent="0.25">
      <c r="D6" s="26" t="s">
        <v>278</v>
      </c>
      <c r="E6">
        <v>0</v>
      </c>
      <c r="F6" t="s">
        <v>295</v>
      </c>
      <c r="T6">
        <v>2.1723380579413396</v>
      </c>
    </row>
    <row r="7" spans="1:21" x14ac:dyDescent="0.25">
      <c r="D7" s="26" t="s">
        <v>293</v>
      </c>
      <c r="E7">
        <v>0</v>
      </c>
      <c r="F7" t="s">
        <v>295</v>
      </c>
    </row>
    <row r="8" spans="1:21" x14ac:dyDescent="0.25">
      <c r="D8" s="26" t="s">
        <v>314</v>
      </c>
      <c r="E8">
        <v>0</v>
      </c>
      <c r="F8" s="23" t="s">
        <v>315</v>
      </c>
    </row>
    <row r="9" spans="1:21" ht="16.5" thickBot="1" x14ac:dyDescent="0.3">
      <c r="D9" s="26" t="s">
        <v>313</v>
      </c>
      <c r="E9" s="25">
        <v>3.0000000000000001E-6</v>
      </c>
      <c r="F9" t="s">
        <v>316</v>
      </c>
      <c r="N9" s="47"/>
      <c r="O9" s="47"/>
      <c r="P9" s="47"/>
    </row>
    <row r="10" spans="1:21" ht="16.5" thickBot="1" x14ac:dyDescent="0.3">
      <c r="D10" s="49"/>
      <c r="E10" s="50"/>
      <c r="F10" s="51"/>
      <c r="N10" s="47"/>
      <c r="O10" s="52" t="s">
        <v>299</v>
      </c>
      <c r="P10" s="53">
        <f>SQRT(SUM(P15:P47)/COUNT(P15:P47))</f>
        <v>3.7810896016165514</v>
      </c>
      <c r="S10" s="26" t="s">
        <v>299</v>
      </c>
      <c r="T10" s="56">
        <f>SQRT(SUM(T15:T47)/COUNT(T15:T47))</f>
        <v>2.0670563514499967</v>
      </c>
    </row>
    <row r="11" spans="1:21" x14ac:dyDescent="0.25">
      <c r="N11" s="47"/>
      <c r="O11" s="47"/>
      <c r="P11" s="47"/>
    </row>
    <row r="12" spans="1:21" x14ac:dyDescent="0.25">
      <c r="N12" s="47"/>
      <c r="O12" s="47"/>
      <c r="P12" s="47"/>
    </row>
    <row r="13" spans="1:21" ht="16.5" thickBot="1" x14ac:dyDescent="0.3">
      <c r="A13" s="24" t="s">
        <v>244</v>
      </c>
      <c r="B13" s="24" t="s">
        <v>242</v>
      </c>
      <c r="C13" s="24"/>
      <c r="E13" s="24" t="s">
        <v>291</v>
      </c>
      <c r="F13" s="24"/>
      <c r="H13" s="24" t="s">
        <v>292</v>
      </c>
      <c r="I13" s="24"/>
      <c r="K13" s="24" t="s">
        <v>243</v>
      </c>
      <c r="L13" s="24"/>
      <c r="N13" s="54" t="s">
        <v>296</v>
      </c>
      <c r="O13" s="54"/>
      <c r="P13" s="54"/>
      <c r="R13" s="24" t="s">
        <v>307</v>
      </c>
      <c r="S13" s="24"/>
      <c r="T13" s="24"/>
      <c r="U13" t="s">
        <v>317</v>
      </c>
    </row>
    <row r="14" spans="1:21" x14ac:dyDescent="0.25">
      <c r="A14" s="7" t="s">
        <v>290</v>
      </c>
      <c r="B14" s="7" t="s">
        <v>221</v>
      </c>
      <c r="C14" s="7" t="s">
        <v>222</v>
      </c>
      <c r="E14" s="7" t="s">
        <v>271</v>
      </c>
      <c r="F14" s="7" t="s">
        <v>87</v>
      </c>
      <c r="H14" s="7" t="s">
        <v>271</v>
      </c>
      <c r="I14" s="7" t="s">
        <v>87</v>
      </c>
      <c r="K14" s="7" t="s">
        <v>271</v>
      </c>
      <c r="L14" s="7" t="s">
        <v>87</v>
      </c>
      <c r="N14" s="55" t="s">
        <v>271</v>
      </c>
      <c r="O14" s="55" t="s">
        <v>87</v>
      </c>
      <c r="P14" s="47" t="s">
        <v>298</v>
      </c>
      <c r="R14" s="7" t="s">
        <v>271</v>
      </c>
      <c r="S14" s="7" t="s">
        <v>87</v>
      </c>
      <c r="T14" t="s">
        <v>298</v>
      </c>
    </row>
    <row r="15" spans="1:21" x14ac:dyDescent="0.25">
      <c r="A15" t="s">
        <v>287</v>
      </c>
      <c r="B15">
        <v>260.26695999999998</v>
      </c>
      <c r="C15">
        <v>-10.13744</v>
      </c>
      <c r="D15" s="26" t="s">
        <v>288</v>
      </c>
      <c r="E15">
        <v>2984.7359999999999</v>
      </c>
      <c r="F15">
        <v>912.70100000000002</v>
      </c>
      <c r="G15" s="26" t="s">
        <v>289</v>
      </c>
      <c r="H15">
        <v>2984.76</v>
      </c>
      <c r="I15">
        <v>913.32500000000005</v>
      </c>
      <c r="K15" s="45">
        <v>2990.819</v>
      </c>
      <c r="L15" s="45">
        <v>912.63</v>
      </c>
      <c r="N15" s="47">
        <f>E15+$E$6+$E$8*((B15-$E$2)^2)</f>
        <v>2984.7359999999999</v>
      </c>
      <c r="O15" s="47">
        <f>F15+$E$7+$E$9*((C15-$E$3)^2)</f>
        <v>912.70100000070317</v>
      </c>
      <c r="P15" s="47">
        <f>(K15-N15)^2+(L15-O15)^2</f>
        <v>37.00793000010087</v>
      </c>
      <c r="R15">
        <f>H15+$E$6+$E$8*(H15-$G$2)+$E$9*(H15-$G$2)*ABS(H15-$G$2)</f>
        <v>2991.0567166128003</v>
      </c>
      <c r="S15">
        <f>I15+$E$6+$E$8*(I15-$G$3)+$E$9*(I15-$G$3)*ABS(I15-$G$3)</f>
        <v>913.28858440812508</v>
      </c>
      <c r="T15">
        <f>($K15-R15)^2+($L15-S15)^2</f>
        <v>0.49024261062672891</v>
      </c>
    </row>
    <row r="16" spans="1:21" x14ac:dyDescent="0.25">
      <c r="A16" t="s">
        <v>287</v>
      </c>
      <c r="B16">
        <v>260.29435999999998</v>
      </c>
      <c r="C16">
        <v>-10.18003</v>
      </c>
      <c r="D16" s="26" t="s">
        <v>288</v>
      </c>
      <c r="E16">
        <v>2846.893</v>
      </c>
      <c r="F16">
        <v>1140.2809999999999</v>
      </c>
      <c r="G16" s="26" t="s">
        <v>289</v>
      </c>
      <c r="H16">
        <v>2846.9119999999998</v>
      </c>
      <c r="I16">
        <v>1140.7909999999999</v>
      </c>
      <c r="K16" s="45">
        <v>2851.2190000000001</v>
      </c>
      <c r="L16" s="45">
        <v>1140.8320000000001</v>
      </c>
      <c r="N16" s="47">
        <f t="shared" ref="N16:N47" si="0">E16+$E$6+$E$8*((B16-$E$2)^2)</f>
        <v>2846.893</v>
      </c>
      <c r="O16" s="47">
        <f t="shared" ref="O16:O47" si="1">F16+$E$7+$E$9*((C16-$E$3)^2)</f>
        <v>1140.2810000022325</v>
      </c>
      <c r="P16" s="47">
        <f t="shared" ref="P16:P47" si="2">(K16-N16)^2+(L16-O16)^2</f>
        <v>19.017876997540061</v>
      </c>
      <c r="R16">
        <f t="shared" ref="R16:R47" si="3">H16+$E$6+$E$8*(H16-$G$2)+$E$9*(H16-$G$2)*ABS(H16-$G$2)</f>
        <v>2852.0674708152319</v>
      </c>
      <c r="S16">
        <f t="shared" ref="S16:S47" si="4">I16+$E$6+$E$8*(I16-$G$3)+$E$9*(I16-$G$3)*ABS(I16-$G$3)</f>
        <v>1140.832271536043</v>
      </c>
      <c r="T16">
        <f t="shared" ref="T16:T47" si="5">($K16-R16)^2+($L16-S16)^2</f>
        <v>0.71990279803202095</v>
      </c>
    </row>
    <row r="17" spans="1:21" x14ac:dyDescent="0.25">
      <c r="A17" t="s">
        <v>287</v>
      </c>
      <c r="B17">
        <v>260.30295999999998</v>
      </c>
      <c r="C17">
        <v>-10.33881</v>
      </c>
      <c r="D17" s="26" t="s">
        <v>288</v>
      </c>
      <c r="E17">
        <v>2818.3490000000002</v>
      </c>
      <c r="F17">
        <v>1979.211</v>
      </c>
      <c r="G17" s="26" t="s">
        <v>289</v>
      </c>
      <c r="H17">
        <v>2818.373</v>
      </c>
      <c r="I17">
        <v>1979.6980000000001</v>
      </c>
      <c r="K17" s="45">
        <v>2823.3620000000001</v>
      </c>
      <c r="L17" s="45">
        <v>1982.18</v>
      </c>
      <c r="N17" s="47">
        <f t="shared" si="0"/>
        <v>2818.3490000000002</v>
      </c>
      <c r="O17" s="47">
        <f t="shared" si="1"/>
        <v>1979.211000103855</v>
      </c>
      <c r="P17" s="47">
        <f t="shared" si="2"/>
        <v>33.945129383308682</v>
      </c>
      <c r="R17">
        <f t="shared" si="3"/>
        <v>2823.306441533387</v>
      </c>
      <c r="S17">
        <f t="shared" si="4"/>
        <v>1982.4409438456121</v>
      </c>
      <c r="T17">
        <f t="shared" si="5"/>
        <v>7.1178433775187219E-2</v>
      </c>
      <c r="U17" t="s">
        <v>320</v>
      </c>
    </row>
    <row r="18" spans="1:21" x14ac:dyDescent="0.25">
      <c r="A18" t="s">
        <v>287</v>
      </c>
      <c r="B18">
        <v>260.31362000000001</v>
      </c>
      <c r="C18">
        <v>-10.27961</v>
      </c>
      <c r="D18" s="26" t="s">
        <v>288</v>
      </c>
      <c r="E18">
        <v>2757.107</v>
      </c>
      <c r="F18">
        <v>1667.8340000000001</v>
      </c>
      <c r="G18" s="26" t="s">
        <v>289</v>
      </c>
      <c r="H18">
        <v>2757.125</v>
      </c>
      <c r="I18">
        <v>1668.2739999999999</v>
      </c>
      <c r="K18" s="45">
        <v>2760.53</v>
      </c>
      <c r="L18" s="45">
        <v>1669.0329999999999</v>
      </c>
      <c r="N18" s="47">
        <f t="shared" si="0"/>
        <v>2757.107</v>
      </c>
      <c r="O18" s="47">
        <f t="shared" si="1"/>
        <v>1667.8340000482804</v>
      </c>
      <c r="P18" s="47">
        <f t="shared" si="2"/>
        <v>13.154529884225035</v>
      </c>
      <c r="R18">
        <f t="shared" si="3"/>
        <v>2761.5984387968751</v>
      </c>
      <c r="S18">
        <f t="shared" si="4"/>
        <v>1669.5212005332278</v>
      </c>
      <c r="T18">
        <f t="shared" si="5"/>
        <v>1.3799012233115651</v>
      </c>
    </row>
    <row r="19" spans="1:21" x14ac:dyDescent="0.25">
      <c r="A19" t="s">
        <v>287</v>
      </c>
      <c r="B19">
        <v>260.31614999999999</v>
      </c>
      <c r="C19">
        <v>-10.12693</v>
      </c>
      <c r="D19" s="26" t="s">
        <v>288</v>
      </c>
      <c r="E19">
        <v>2728.4920000000002</v>
      </c>
      <c r="F19">
        <v>862.29300000000001</v>
      </c>
      <c r="G19" s="26" t="s">
        <v>289</v>
      </c>
      <c r="H19">
        <v>2728.5070000000001</v>
      </c>
      <c r="I19">
        <v>862.71699999999998</v>
      </c>
      <c r="K19" s="45">
        <v>2732.2</v>
      </c>
      <c r="L19" s="45">
        <v>862.05200000000002</v>
      </c>
      <c r="N19" s="47">
        <f t="shared" si="0"/>
        <v>2728.4920000000002</v>
      </c>
      <c r="O19" s="47">
        <f t="shared" si="1"/>
        <v>862.29300000199999</v>
      </c>
      <c r="P19" s="47">
        <f t="shared" si="2"/>
        <v>13.807345000961231</v>
      </c>
      <c r="R19">
        <f t="shared" si="3"/>
        <v>2732.773218835147</v>
      </c>
      <c r="S19">
        <f t="shared" si="4"/>
        <v>862.639446480733</v>
      </c>
      <c r="T19">
        <f t="shared" si="5"/>
        <v>0.67367320069301173</v>
      </c>
    </row>
    <row r="20" spans="1:21" x14ac:dyDescent="0.25">
      <c r="A20" t="s">
        <v>287</v>
      </c>
      <c r="B20">
        <v>260.33985999999999</v>
      </c>
      <c r="C20">
        <v>-10.072100000000001</v>
      </c>
      <c r="D20" s="26" t="s">
        <v>288</v>
      </c>
      <c r="E20">
        <v>2599.9229999999998</v>
      </c>
      <c r="F20">
        <v>575.40300000000002</v>
      </c>
      <c r="G20" s="26" t="s">
        <v>289</v>
      </c>
      <c r="H20">
        <v>2599.9349999999999</v>
      </c>
      <c r="I20">
        <v>575.74199999999996</v>
      </c>
      <c r="K20" s="45">
        <v>2603.319</v>
      </c>
      <c r="L20" s="45">
        <v>574.51700000000005</v>
      </c>
      <c r="N20" s="47">
        <f t="shared" si="0"/>
        <v>2599.9229999999998</v>
      </c>
      <c r="O20" s="47">
        <f t="shared" si="1"/>
        <v>575.40300001951334</v>
      </c>
      <c r="P20" s="47">
        <f t="shared" si="2"/>
        <v>12.317812034578809</v>
      </c>
      <c r="R20">
        <f t="shared" si="3"/>
        <v>2603.3308730526751</v>
      </c>
      <c r="S20">
        <f t="shared" si="4"/>
        <v>575.140538320308</v>
      </c>
      <c r="T20">
        <f t="shared" si="5"/>
        <v>0.38894100627227812</v>
      </c>
      <c r="U20" t="s">
        <v>319</v>
      </c>
    </row>
    <row r="21" spans="1:21" x14ac:dyDescent="0.25">
      <c r="A21" t="s">
        <v>287</v>
      </c>
      <c r="B21">
        <v>260.34615000000002</v>
      </c>
      <c r="C21">
        <v>-10.07549</v>
      </c>
      <c r="D21" s="26" t="s">
        <v>288</v>
      </c>
      <c r="E21">
        <v>2567.623</v>
      </c>
      <c r="F21">
        <v>593.91399999999999</v>
      </c>
      <c r="G21" s="26" t="s">
        <v>289</v>
      </c>
      <c r="H21">
        <v>2567.6350000000002</v>
      </c>
      <c r="I21">
        <v>594.23299999999995</v>
      </c>
      <c r="K21" s="45">
        <v>2570.8180000000002</v>
      </c>
      <c r="L21" s="45">
        <v>593.16099999999994</v>
      </c>
      <c r="N21" s="47">
        <f t="shared" si="0"/>
        <v>2567.623</v>
      </c>
      <c r="O21" s="47">
        <f t="shared" si="1"/>
        <v>593.91400001790726</v>
      </c>
      <c r="P21" s="47">
        <f t="shared" si="2"/>
        <v>10.775034026969458</v>
      </c>
      <c r="R21">
        <f t="shared" si="3"/>
        <v>2570.8278123196751</v>
      </c>
      <c r="S21">
        <f t="shared" si="4"/>
        <v>593.68018952813293</v>
      </c>
      <c r="T21">
        <f t="shared" si="5"/>
        <v>0.26965404774035229</v>
      </c>
    </row>
    <row r="22" spans="1:21" x14ac:dyDescent="0.25">
      <c r="A22" t="s">
        <v>287</v>
      </c>
      <c r="B22">
        <v>260.35948999999999</v>
      </c>
      <c r="C22">
        <v>-10.276730000000001</v>
      </c>
      <c r="D22" s="26" t="s">
        <v>288</v>
      </c>
      <c r="E22">
        <v>2519.002</v>
      </c>
      <c r="F22">
        <v>1657.3989999999999</v>
      </c>
      <c r="G22" s="26" t="s">
        <v>289</v>
      </c>
      <c r="H22">
        <v>2519.0129999999999</v>
      </c>
      <c r="I22">
        <v>1657.684</v>
      </c>
      <c r="K22" s="45">
        <v>2520.7600000000002</v>
      </c>
      <c r="L22" s="45">
        <v>1657.8779999999999</v>
      </c>
      <c r="N22" s="47">
        <f t="shared" si="0"/>
        <v>2519.002</v>
      </c>
      <c r="O22" s="47">
        <f t="shared" si="1"/>
        <v>1657.3990000461131</v>
      </c>
      <c r="P22" s="47">
        <f t="shared" si="2"/>
        <v>3.3200049558245297</v>
      </c>
      <c r="R22">
        <f t="shared" si="3"/>
        <v>2521.9119436745068</v>
      </c>
      <c r="S22">
        <f t="shared" si="4"/>
        <v>1658.8905680375681</v>
      </c>
      <c r="T22">
        <f t="shared" si="5"/>
        <v>2.3522682599403311</v>
      </c>
    </row>
    <row r="23" spans="1:21" x14ac:dyDescent="0.25">
      <c r="A23" t="s">
        <v>287</v>
      </c>
      <c r="B23">
        <v>260.36768999999998</v>
      </c>
      <c r="C23">
        <v>-10.279529999999999</v>
      </c>
      <c r="D23" s="26" t="s">
        <v>288</v>
      </c>
      <c r="E23">
        <v>2476.761</v>
      </c>
      <c r="F23">
        <v>1673.066</v>
      </c>
      <c r="G23" s="26" t="s">
        <v>289</v>
      </c>
      <c r="H23">
        <v>2476.7710000000002</v>
      </c>
      <c r="I23">
        <v>1673.326</v>
      </c>
      <c r="K23" s="45">
        <v>2478.489</v>
      </c>
      <c r="L23" s="45">
        <v>1673.6590000000001</v>
      </c>
      <c r="N23" s="47">
        <f t="shared" si="0"/>
        <v>2476.761</v>
      </c>
      <c r="O23" s="47">
        <f t="shared" si="1"/>
        <v>1673.0660000482196</v>
      </c>
      <c r="P23" s="47">
        <f t="shared" si="2"/>
        <v>3.3376329428118829</v>
      </c>
      <c r="R23">
        <f t="shared" si="3"/>
        <v>2479.426150223323</v>
      </c>
      <c r="S23">
        <f t="shared" si="4"/>
        <v>1674.5928214908281</v>
      </c>
      <c r="T23">
        <f t="shared" si="5"/>
        <v>1.7502731178065449</v>
      </c>
    </row>
    <row r="24" spans="1:21" x14ac:dyDescent="0.25">
      <c r="A24" t="s">
        <v>287</v>
      </c>
      <c r="B24">
        <v>260.37437999999997</v>
      </c>
      <c r="C24">
        <v>-10.241300000000001</v>
      </c>
      <c r="D24" s="26" t="s">
        <v>288</v>
      </c>
      <c r="E24">
        <v>2438.1410000000001</v>
      </c>
      <c r="F24">
        <v>1471.9849999999999</v>
      </c>
      <c r="G24" s="26" t="s">
        <v>289</v>
      </c>
      <c r="H24">
        <v>2438.15</v>
      </c>
      <c r="I24">
        <v>1472.2249999999999</v>
      </c>
      <c r="K24" s="45">
        <v>2439.4560000000001</v>
      </c>
      <c r="L24" s="45">
        <v>1472.1880000000001</v>
      </c>
      <c r="N24" s="47">
        <f t="shared" si="0"/>
        <v>2438.1410000000001</v>
      </c>
      <c r="O24" s="47">
        <f t="shared" si="1"/>
        <v>1471.9850000235233</v>
      </c>
      <c r="P24" s="47">
        <f t="shared" si="2"/>
        <v>1.7704339904497262</v>
      </c>
      <c r="R24">
        <f t="shared" si="3"/>
        <v>2440.5916238674999</v>
      </c>
      <c r="S24">
        <f t="shared" si="4"/>
        <v>1472.8290623768748</v>
      </c>
      <c r="T24">
        <f t="shared" si="5"/>
        <v>1.7006025394795359</v>
      </c>
    </row>
    <row r="25" spans="1:21" x14ac:dyDescent="0.25">
      <c r="A25" t="s">
        <v>287</v>
      </c>
      <c r="B25">
        <v>260.3793</v>
      </c>
      <c r="C25">
        <v>-10.156090000000001</v>
      </c>
      <c r="D25" s="26" t="s">
        <v>288</v>
      </c>
      <c r="E25">
        <v>2403.8829999999998</v>
      </c>
      <c r="F25">
        <v>1022.75</v>
      </c>
      <c r="G25" s="26" t="s">
        <v>289</v>
      </c>
      <c r="H25">
        <v>2403.89</v>
      </c>
      <c r="I25">
        <v>1022.974</v>
      </c>
      <c r="K25" s="45">
        <v>2405.319</v>
      </c>
      <c r="L25" s="45">
        <v>1022.716</v>
      </c>
      <c r="N25" s="47">
        <f t="shared" si="0"/>
        <v>2403.8829999999998</v>
      </c>
      <c r="O25" s="47">
        <f t="shared" si="1"/>
        <v>1022.7500000000334</v>
      </c>
      <c r="P25" s="47">
        <f t="shared" si="2"/>
        <v>2.0632520000027008</v>
      </c>
      <c r="R25">
        <f t="shared" si="3"/>
        <v>2406.1496991562999</v>
      </c>
      <c r="S25">
        <f t="shared" si="4"/>
        <v>1022.9739991699721</v>
      </c>
      <c r="T25">
        <f t="shared" si="5"/>
        <v>0.75662465998372674</v>
      </c>
    </row>
    <row r="26" spans="1:21" x14ac:dyDescent="0.25">
      <c r="A26" t="s">
        <v>287</v>
      </c>
      <c r="B26">
        <v>260.42836999999997</v>
      </c>
      <c r="C26">
        <v>-10.235099999999999</v>
      </c>
      <c r="D26" s="26" t="s">
        <v>288</v>
      </c>
      <c r="E26">
        <v>2157.5500000000002</v>
      </c>
      <c r="F26">
        <v>1444.8309999999999</v>
      </c>
      <c r="G26" s="26" t="s">
        <v>289</v>
      </c>
      <c r="H26">
        <v>2157.5540000000001</v>
      </c>
      <c r="I26">
        <v>1444.944</v>
      </c>
      <c r="K26" s="45">
        <v>2157.9349999999999</v>
      </c>
      <c r="L26" s="45">
        <v>1444.481</v>
      </c>
      <c r="N26" s="47">
        <f t="shared" si="0"/>
        <v>2157.5500000000002</v>
      </c>
      <c r="O26" s="47">
        <f t="shared" si="1"/>
        <v>1444.8310000203444</v>
      </c>
      <c r="P26" s="47">
        <f t="shared" si="2"/>
        <v>0.27072501424089557</v>
      </c>
      <c r="R26">
        <f t="shared" si="3"/>
        <v>2158.7129881247479</v>
      </c>
      <c r="S26">
        <f t="shared" si="4"/>
        <v>1445.476845135408</v>
      </c>
      <c r="T26">
        <f t="shared" si="5"/>
        <v>1.5969730559645665</v>
      </c>
    </row>
    <row r="27" spans="1:21" x14ac:dyDescent="0.25">
      <c r="A27" t="s">
        <v>287</v>
      </c>
      <c r="B27">
        <v>260.43538000000001</v>
      </c>
      <c r="C27">
        <v>-10.251580000000001</v>
      </c>
      <c r="D27" s="26" t="s">
        <v>288</v>
      </c>
      <c r="E27">
        <v>2122.8890000000001</v>
      </c>
      <c r="F27">
        <v>1532.5419999999999</v>
      </c>
      <c r="G27" s="26" t="s">
        <v>289</v>
      </c>
      <c r="H27">
        <v>2122.8919999999998</v>
      </c>
      <c r="I27">
        <v>1532.6420000000001</v>
      </c>
      <c r="K27" s="45">
        <v>2123.1759999999999</v>
      </c>
      <c r="L27" s="45">
        <v>1531.9949999999999</v>
      </c>
      <c r="N27" s="47">
        <f t="shared" si="0"/>
        <v>2122.8890000000001</v>
      </c>
      <c r="O27" s="47">
        <f t="shared" si="1"/>
        <v>1532.542000029302</v>
      </c>
      <c r="P27" s="47">
        <f t="shared" si="2"/>
        <v>0.38157803205641577</v>
      </c>
      <c r="R27">
        <f t="shared" si="3"/>
        <v>2123.9253266589917</v>
      </c>
      <c r="S27">
        <f t="shared" si="4"/>
        <v>1533.419676728492</v>
      </c>
      <c r="T27">
        <f t="shared" si="5"/>
        <v>2.591194222582899</v>
      </c>
    </row>
    <row r="28" spans="1:21" x14ac:dyDescent="0.25">
      <c r="A28" t="s">
        <v>287</v>
      </c>
      <c r="B28">
        <v>260.46528000000001</v>
      </c>
      <c r="C28">
        <v>-10.285119999999999</v>
      </c>
      <c r="D28" s="26" t="s">
        <v>288</v>
      </c>
      <c r="E28">
        <v>1971.316</v>
      </c>
      <c r="F28">
        <v>1712.653</v>
      </c>
      <c r="G28" s="26" t="s">
        <v>289</v>
      </c>
      <c r="H28">
        <v>1971.318</v>
      </c>
      <c r="I28">
        <v>1712.7080000000001</v>
      </c>
      <c r="K28" s="45">
        <v>1971.64</v>
      </c>
      <c r="L28" s="45">
        <v>1711.8209999999999</v>
      </c>
      <c r="N28" s="47">
        <f t="shared" si="0"/>
        <v>1971.316</v>
      </c>
      <c r="O28" s="47">
        <f t="shared" si="1"/>
        <v>1712.6530000525654</v>
      </c>
      <c r="P28" s="47">
        <f t="shared" si="2"/>
        <v>0.79720008746902371</v>
      </c>
      <c r="R28">
        <f t="shared" si="3"/>
        <v>1971.8865052833719</v>
      </c>
      <c r="S28">
        <f t="shared" si="4"/>
        <v>1714.133023001792</v>
      </c>
      <c r="T28">
        <f t="shared" si="5"/>
        <v>5.4062152155460197</v>
      </c>
    </row>
    <row r="29" spans="1:21" x14ac:dyDescent="0.25">
      <c r="A29" t="s">
        <v>287</v>
      </c>
      <c r="B29">
        <v>260.48322999999999</v>
      </c>
      <c r="C29">
        <v>-10.241860000000001</v>
      </c>
      <c r="D29" s="26" t="s">
        <v>288</v>
      </c>
      <c r="E29">
        <v>1873.7260000000001</v>
      </c>
      <c r="F29">
        <v>1486.194</v>
      </c>
      <c r="G29" s="26" t="s">
        <v>289</v>
      </c>
      <c r="H29">
        <v>1873.7280000000001</v>
      </c>
      <c r="I29">
        <v>1486.2270000000001</v>
      </c>
      <c r="K29" s="45">
        <v>1873.633</v>
      </c>
      <c r="L29" s="45">
        <v>1485.268</v>
      </c>
      <c r="N29" s="47">
        <f t="shared" si="0"/>
        <v>1873.7260000000001</v>
      </c>
      <c r="O29" s="47">
        <f t="shared" si="1"/>
        <v>1486.1940000238217</v>
      </c>
      <c r="P29" s="47">
        <f t="shared" si="2"/>
        <v>0.8661250441176982</v>
      </c>
      <c r="R29">
        <f t="shared" si="3"/>
        <v>1874.0701806059521</v>
      </c>
      <c r="S29">
        <f t="shared" si="4"/>
        <v>1486.8693488295871</v>
      </c>
      <c r="T29">
        <f t="shared" si="5"/>
        <v>2.7554449562406136</v>
      </c>
      <c r="U29" t="s">
        <v>318</v>
      </c>
    </row>
    <row r="30" spans="1:21" x14ac:dyDescent="0.25">
      <c r="A30" t="s">
        <v>287</v>
      </c>
      <c r="B30">
        <v>260.49734000000001</v>
      </c>
      <c r="C30">
        <v>-10.046609999999999</v>
      </c>
      <c r="D30" s="26" t="s">
        <v>288</v>
      </c>
      <c r="E30">
        <v>1780.1869999999999</v>
      </c>
      <c r="F30">
        <v>457.19</v>
      </c>
      <c r="G30" s="26" t="s">
        <v>289</v>
      </c>
      <c r="H30">
        <v>1780.1880000000001</v>
      </c>
      <c r="I30">
        <v>457.20800000000003</v>
      </c>
      <c r="K30" s="45">
        <v>1781.086</v>
      </c>
      <c r="L30" s="45">
        <v>456.51499999999999</v>
      </c>
      <c r="N30" s="47">
        <f t="shared" si="0"/>
        <v>1780.1869999999999</v>
      </c>
      <c r="O30" s="47">
        <f t="shared" si="1"/>
        <v>457.19000003379711</v>
      </c>
      <c r="P30" s="47">
        <f t="shared" si="2"/>
        <v>1.2638260456263173</v>
      </c>
      <c r="R30">
        <f t="shared" si="3"/>
        <v>1780.366883338032</v>
      </c>
      <c r="S30">
        <f t="shared" si="4"/>
        <v>456.24594011220802</v>
      </c>
      <c r="T30">
        <f t="shared" si="5"/>
        <v>0.58952199673858718</v>
      </c>
    </row>
    <row r="31" spans="1:21" x14ac:dyDescent="0.25">
      <c r="A31" t="s">
        <v>287</v>
      </c>
      <c r="B31">
        <v>260.53352999999998</v>
      </c>
      <c r="C31">
        <v>-10.329269999999999</v>
      </c>
      <c r="D31" s="26" t="s">
        <v>288</v>
      </c>
      <c r="E31">
        <v>1622.098</v>
      </c>
      <c r="F31">
        <v>1952.761</v>
      </c>
      <c r="G31" s="26" t="s">
        <v>289</v>
      </c>
      <c r="H31">
        <v>1622.098</v>
      </c>
      <c r="I31">
        <v>1952.7660000000001</v>
      </c>
      <c r="K31" s="45">
        <v>1621.3979999999999</v>
      </c>
      <c r="L31" s="45">
        <v>1951.8420000000001</v>
      </c>
      <c r="N31" s="47">
        <f t="shared" si="0"/>
        <v>1622.098</v>
      </c>
      <c r="O31" s="47">
        <f t="shared" si="1"/>
        <v>1952.7610000934778</v>
      </c>
      <c r="P31" s="47">
        <f t="shared" si="2"/>
        <v>1.3345611718121484</v>
      </c>
      <c r="R31">
        <f t="shared" si="3"/>
        <v>1622.120238596812</v>
      </c>
      <c r="S31">
        <f t="shared" si="4"/>
        <v>1955.3566058962681</v>
      </c>
      <c r="T31">
        <f t="shared" si="5"/>
        <v>12.874083196806831</v>
      </c>
    </row>
    <row r="32" spans="1:21" x14ac:dyDescent="0.25">
      <c r="A32" t="s">
        <v>287</v>
      </c>
      <c r="B32">
        <v>260.56175000000002</v>
      </c>
      <c r="C32">
        <v>-10.019259999999999</v>
      </c>
      <c r="D32" s="26" t="s">
        <v>288</v>
      </c>
      <c r="E32">
        <v>1443.088</v>
      </c>
      <c r="F32">
        <v>319.52600000000001</v>
      </c>
      <c r="G32" s="26" t="s">
        <v>289</v>
      </c>
      <c r="H32">
        <v>1443.088</v>
      </c>
      <c r="I32">
        <v>319.52699999999999</v>
      </c>
      <c r="K32" s="45">
        <v>1443.549</v>
      </c>
      <c r="L32" s="45">
        <v>318.34699999999998</v>
      </c>
      <c r="N32" s="47">
        <f t="shared" si="0"/>
        <v>1443.088</v>
      </c>
      <c r="O32" s="47">
        <f t="shared" si="1"/>
        <v>319.52600005345874</v>
      </c>
      <c r="P32" s="47">
        <f t="shared" si="2"/>
        <v>1.6025621260557821</v>
      </c>
      <c r="R32">
        <f t="shared" si="3"/>
        <v>1443.062102080768</v>
      </c>
      <c r="S32">
        <f t="shared" si="4"/>
        <v>318.04026604581298</v>
      </c>
      <c r="T32">
        <f t="shared" si="5"/>
        <v>0.33115530240362012</v>
      </c>
    </row>
    <row r="33" spans="1:21" x14ac:dyDescent="0.25">
      <c r="A33" t="s">
        <v>287</v>
      </c>
      <c r="B33">
        <v>260.57107999999999</v>
      </c>
      <c r="C33">
        <v>-10.02032</v>
      </c>
      <c r="D33" s="26" t="s">
        <v>288</v>
      </c>
      <c r="E33">
        <v>1394.7940000000001</v>
      </c>
      <c r="F33">
        <v>326.08999999999997</v>
      </c>
      <c r="G33" s="26" t="s">
        <v>289</v>
      </c>
      <c r="H33">
        <v>1394.7929999999999</v>
      </c>
      <c r="I33">
        <v>326.09399999999999</v>
      </c>
      <c r="K33" s="45">
        <v>1395.1210000000001</v>
      </c>
      <c r="L33" s="45">
        <v>324.87799999999999</v>
      </c>
      <c r="N33" s="47">
        <f t="shared" si="0"/>
        <v>1394.7940000000001</v>
      </c>
      <c r="O33" s="47">
        <f t="shared" si="1"/>
        <v>326.09000005261311</v>
      </c>
      <c r="P33" s="47">
        <f t="shared" si="2"/>
        <v>1.5758731275342062</v>
      </c>
      <c r="R33">
        <f t="shared" si="3"/>
        <v>1394.7331817494528</v>
      </c>
      <c r="S33">
        <f t="shared" si="4"/>
        <v>324.634874613492</v>
      </c>
      <c r="T33">
        <f t="shared" si="5"/>
        <v>0.20951294902222317</v>
      </c>
    </row>
    <row r="34" spans="1:21" x14ac:dyDescent="0.25">
      <c r="A34" t="s">
        <v>287</v>
      </c>
      <c r="B34">
        <v>260.61594000000002</v>
      </c>
      <c r="C34">
        <v>-10.31682</v>
      </c>
      <c r="D34" s="26" t="s">
        <v>288</v>
      </c>
      <c r="E34">
        <v>1193.5409999999999</v>
      </c>
      <c r="F34">
        <v>1895.576</v>
      </c>
      <c r="G34" s="26" t="s">
        <v>289</v>
      </c>
      <c r="H34">
        <v>1193.54</v>
      </c>
      <c r="I34">
        <v>1895.617</v>
      </c>
      <c r="K34" s="45">
        <v>1192.4459999999999</v>
      </c>
      <c r="L34" s="45">
        <v>1894.4449999999999</v>
      </c>
      <c r="N34" s="47">
        <f t="shared" si="0"/>
        <v>1193.5409999999999</v>
      </c>
      <c r="O34" s="47">
        <f t="shared" si="1"/>
        <v>1895.576000080757</v>
      </c>
      <c r="P34" s="47">
        <f t="shared" si="2"/>
        <v>2.4781861826725722</v>
      </c>
      <c r="R34">
        <f t="shared" si="3"/>
        <v>1193.1881634452</v>
      </c>
      <c r="S34">
        <f t="shared" si="4"/>
        <v>1897.898764185067</v>
      </c>
      <c r="T34">
        <f t="shared" si="5"/>
        <v>12.479293625442931</v>
      </c>
    </row>
    <row r="35" spans="1:21" x14ac:dyDescent="0.25">
      <c r="A35" t="s">
        <v>287</v>
      </c>
      <c r="B35">
        <v>260.64997</v>
      </c>
      <c r="C35">
        <v>-10.25259</v>
      </c>
      <c r="D35" s="26" t="s">
        <v>288</v>
      </c>
      <c r="E35">
        <v>1010.206</v>
      </c>
      <c r="F35">
        <v>1560.1389999999999</v>
      </c>
      <c r="G35" s="26" t="s">
        <v>289</v>
      </c>
      <c r="H35">
        <v>1010.207</v>
      </c>
      <c r="I35">
        <v>1560.2249999999999</v>
      </c>
      <c r="K35" s="45">
        <v>1009.308</v>
      </c>
      <c r="L35" s="45">
        <v>1559.057</v>
      </c>
      <c r="N35" s="47">
        <f t="shared" si="0"/>
        <v>1010.206</v>
      </c>
      <c r="O35" s="47">
        <f t="shared" si="1"/>
        <v>1560.1390000299041</v>
      </c>
      <c r="P35" s="47">
        <f t="shared" si="2"/>
        <v>1.9771280647124432</v>
      </c>
      <c r="R35">
        <f t="shared" si="3"/>
        <v>1009.377625163453</v>
      </c>
      <c r="S35">
        <f t="shared" si="4"/>
        <v>1561.0892211768748</v>
      </c>
      <c r="T35">
        <f t="shared" si="5"/>
        <v>4.1347705751243655</v>
      </c>
    </row>
    <row r="36" spans="1:21" x14ac:dyDescent="0.25">
      <c r="A36" t="s">
        <v>287</v>
      </c>
      <c r="B36">
        <v>260.66485999999998</v>
      </c>
      <c r="C36">
        <v>-10.1906</v>
      </c>
      <c r="D36" s="26" t="s">
        <v>288</v>
      </c>
      <c r="E36">
        <v>926.39599999999996</v>
      </c>
      <c r="F36">
        <v>1234.511</v>
      </c>
      <c r="G36" s="26" t="s">
        <v>289</v>
      </c>
      <c r="H36">
        <v>926.39700000000005</v>
      </c>
      <c r="I36">
        <v>1234.623</v>
      </c>
      <c r="K36" s="45">
        <v>925.47799999999995</v>
      </c>
      <c r="L36" s="45">
        <v>1233.6500000000001</v>
      </c>
      <c r="N36" s="47">
        <f t="shared" si="0"/>
        <v>926.39599999999996</v>
      </c>
      <c r="O36" s="47">
        <f t="shared" si="1"/>
        <v>1234.5110000042978</v>
      </c>
      <c r="P36" s="47">
        <f t="shared" si="2"/>
        <v>1.5840450074006398</v>
      </c>
      <c r="R36">
        <f t="shared" si="3"/>
        <v>925.28215254717304</v>
      </c>
      <c r="S36">
        <f t="shared" si="4"/>
        <v>1234.756718763387</v>
      </c>
      <c r="T36">
        <f t="shared" si="5"/>
        <v>1.2631826460113733</v>
      </c>
    </row>
    <row r="37" spans="1:21" x14ac:dyDescent="0.25">
      <c r="A37" t="s">
        <v>287</v>
      </c>
      <c r="B37">
        <v>260.66658999999999</v>
      </c>
      <c r="C37">
        <v>-10.2158</v>
      </c>
      <c r="D37" s="26" t="s">
        <v>288</v>
      </c>
      <c r="E37">
        <v>920.11099999999999</v>
      </c>
      <c r="F37">
        <v>1367.693</v>
      </c>
      <c r="G37" s="26" t="s">
        <v>289</v>
      </c>
      <c r="H37">
        <v>920.11199999999997</v>
      </c>
      <c r="I37">
        <v>1367.808</v>
      </c>
      <c r="K37" s="45">
        <v>919.14700000000005</v>
      </c>
      <c r="L37" s="45">
        <v>1366.5920000000001</v>
      </c>
      <c r="N37" s="47">
        <f t="shared" si="0"/>
        <v>920.11099999999999</v>
      </c>
      <c r="O37" s="47">
        <f t="shared" si="1"/>
        <v>1367.693000011926</v>
      </c>
      <c r="P37" s="47">
        <f t="shared" si="2"/>
        <v>2.1414970262606361</v>
      </c>
      <c r="R37">
        <f t="shared" si="3"/>
        <v>918.97404591436793</v>
      </c>
      <c r="S37">
        <f t="shared" si="4"/>
        <v>1368.1636439965921</v>
      </c>
      <c r="T37">
        <f t="shared" si="5"/>
        <v>2.4999779677605205</v>
      </c>
    </row>
    <row r="38" spans="1:21" x14ac:dyDescent="0.25">
      <c r="A38" t="s">
        <v>287</v>
      </c>
      <c r="B38">
        <v>260.67142000000001</v>
      </c>
      <c r="C38">
        <v>-10.08423</v>
      </c>
      <c r="D38" s="26" t="s">
        <v>288</v>
      </c>
      <c r="E38">
        <v>880.96199999999999</v>
      </c>
      <c r="F38">
        <v>673.81200000000001</v>
      </c>
      <c r="G38" s="26" t="s">
        <v>289</v>
      </c>
      <c r="H38">
        <v>880.96299999999997</v>
      </c>
      <c r="I38">
        <v>673.93499999999995</v>
      </c>
      <c r="K38" s="45">
        <v>879.94100000000003</v>
      </c>
      <c r="L38" s="45">
        <v>672.66499999999996</v>
      </c>
      <c r="N38" s="47">
        <f t="shared" si="0"/>
        <v>880.96199999999999</v>
      </c>
      <c r="O38" s="47">
        <f t="shared" si="1"/>
        <v>673.81200001408502</v>
      </c>
      <c r="P38" s="47">
        <f t="shared" si="2"/>
        <v>2.3580500323110227</v>
      </c>
      <c r="R38">
        <f t="shared" si="3"/>
        <v>879.675779585893</v>
      </c>
      <c r="S38">
        <f t="shared" si="4"/>
        <v>673.56841293232492</v>
      </c>
      <c r="T38">
        <f t="shared" si="5"/>
        <v>0.88649679435107942</v>
      </c>
    </row>
    <row r="39" spans="1:21" x14ac:dyDescent="0.25">
      <c r="A39" t="s">
        <v>287</v>
      </c>
      <c r="B39">
        <v>260.67802999999998</v>
      </c>
      <c r="C39">
        <v>-10.29044</v>
      </c>
      <c r="D39" s="26" t="s">
        <v>288</v>
      </c>
      <c r="E39">
        <v>868.80799999999999</v>
      </c>
      <c r="F39">
        <v>1762.818</v>
      </c>
      <c r="G39" s="26" t="s">
        <v>289</v>
      </c>
      <c r="H39">
        <v>868.80700000000002</v>
      </c>
      <c r="I39">
        <v>1762.9590000000001</v>
      </c>
      <c r="K39" s="45">
        <v>867.09</v>
      </c>
      <c r="L39" s="45">
        <v>1762.136</v>
      </c>
      <c r="N39" s="47">
        <f t="shared" si="0"/>
        <v>868.80799999999999</v>
      </c>
      <c r="O39" s="47">
        <f t="shared" si="1"/>
        <v>1762.8180000568757</v>
      </c>
      <c r="P39" s="47">
        <f t="shared" si="2"/>
        <v>3.4166480775783539</v>
      </c>
      <c r="R39">
        <f t="shared" si="3"/>
        <v>867.47156050225306</v>
      </c>
      <c r="S39">
        <f t="shared" si="4"/>
        <v>1764.599398838043</v>
      </c>
      <c r="T39">
        <f t="shared" si="5"/>
        <v>6.2139222521515594</v>
      </c>
    </row>
    <row r="40" spans="1:21" x14ac:dyDescent="0.25">
      <c r="A40" t="s">
        <v>287</v>
      </c>
      <c r="B40">
        <v>260.68236000000002</v>
      </c>
      <c r="C40">
        <v>-10.063750000000001</v>
      </c>
      <c r="D40" s="26" t="s">
        <v>288</v>
      </c>
      <c r="E40">
        <v>821.96699999999998</v>
      </c>
      <c r="F40">
        <v>566.87599999999998</v>
      </c>
      <c r="G40" s="26" t="s">
        <v>289</v>
      </c>
      <c r="H40">
        <v>821.96799999999996</v>
      </c>
      <c r="I40">
        <v>567.02099999999996</v>
      </c>
      <c r="K40" s="45">
        <v>820.61599999999999</v>
      </c>
      <c r="L40" s="45">
        <v>565.41499999999996</v>
      </c>
      <c r="N40" s="47">
        <f t="shared" si="0"/>
        <v>821.96699999999998</v>
      </c>
      <c r="O40" s="47">
        <f t="shared" si="1"/>
        <v>566.87600002376303</v>
      </c>
      <c r="P40" s="47">
        <f t="shared" si="2"/>
        <v>3.9597220694356681</v>
      </c>
      <c r="R40">
        <f t="shared" si="3"/>
        <v>820.43847490892801</v>
      </c>
      <c r="S40">
        <f t="shared" si="4"/>
        <v>566.395880767677</v>
      </c>
      <c r="T40">
        <f t="shared" si="5"/>
        <v>0.99364223835880228</v>
      </c>
    </row>
    <row r="41" spans="1:21" x14ac:dyDescent="0.25">
      <c r="A41" t="s">
        <v>287</v>
      </c>
      <c r="B41">
        <v>260.6979</v>
      </c>
      <c r="C41">
        <v>-10.04453</v>
      </c>
      <c r="D41" s="26" t="s">
        <v>288</v>
      </c>
      <c r="E41">
        <v>739.26300000000003</v>
      </c>
      <c r="F41">
        <v>467.02600000000001</v>
      </c>
      <c r="G41" s="26" t="s">
        <v>289</v>
      </c>
      <c r="H41">
        <v>739.26300000000003</v>
      </c>
      <c r="I41">
        <v>467.20600000000002</v>
      </c>
      <c r="K41" s="45">
        <v>737.25599999999997</v>
      </c>
      <c r="L41" s="45">
        <v>465.096</v>
      </c>
      <c r="N41" s="47">
        <f t="shared" si="0"/>
        <v>739.26300000000003</v>
      </c>
      <c r="O41" s="47">
        <f t="shared" si="1"/>
        <v>467.0260000351347</v>
      </c>
      <c r="P41" s="47">
        <f t="shared" si="2"/>
        <v>7.7529491356201783</v>
      </c>
      <c r="R41">
        <f t="shared" si="3"/>
        <v>737.35863045849305</v>
      </c>
      <c r="S41">
        <f t="shared" si="4"/>
        <v>466.277610956692</v>
      </c>
      <c r="T41">
        <f t="shared" si="5"/>
        <v>1.406737463985078</v>
      </c>
    </row>
    <row r="42" spans="1:21" x14ac:dyDescent="0.25">
      <c r="A42" t="s">
        <v>287</v>
      </c>
      <c r="B42">
        <v>260.70353999999998</v>
      </c>
      <c r="C42">
        <v>-10.03209</v>
      </c>
      <c r="D42" s="26" t="s">
        <v>288</v>
      </c>
      <c r="E42">
        <v>708.7</v>
      </c>
      <c r="F42">
        <v>401.99</v>
      </c>
      <c r="G42" s="26" t="s">
        <v>289</v>
      </c>
      <c r="H42">
        <v>708.7</v>
      </c>
      <c r="I42">
        <v>402.18299999999999</v>
      </c>
      <c r="K42" s="45">
        <v>706.27099999999996</v>
      </c>
      <c r="L42" s="45">
        <v>399.74900000000002</v>
      </c>
      <c r="N42" s="47">
        <f t="shared" si="0"/>
        <v>708.7</v>
      </c>
      <c r="O42" s="47">
        <f t="shared" si="1"/>
        <v>401.9900000436765</v>
      </c>
      <c r="P42" s="47">
        <f t="shared" si="2"/>
        <v>10.922122195758405</v>
      </c>
      <c r="R42">
        <f t="shared" si="3"/>
        <v>706.64672413000005</v>
      </c>
      <c r="S42">
        <f t="shared" si="4"/>
        <v>401.02489555653301</v>
      </c>
      <c r="T42">
        <f t="shared" si="5"/>
        <v>1.7690780930449486</v>
      </c>
    </row>
    <row r="43" spans="1:21" x14ac:dyDescent="0.25">
      <c r="A43" t="s">
        <v>287</v>
      </c>
      <c r="B43">
        <v>260.71064000000001</v>
      </c>
      <c r="C43">
        <v>-10.26004</v>
      </c>
      <c r="D43" s="26" t="s">
        <v>288</v>
      </c>
      <c r="E43">
        <v>696.41099999999994</v>
      </c>
      <c r="F43">
        <v>1605.7750000000001</v>
      </c>
      <c r="G43" s="26" t="s">
        <v>289</v>
      </c>
      <c r="H43">
        <v>696.41200000000003</v>
      </c>
      <c r="I43">
        <v>1605.992</v>
      </c>
      <c r="K43" s="45">
        <v>693.87099999999998</v>
      </c>
      <c r="L43" s="45">
        <v>1605.0640000000001</v>
      </c>
      <c r="N43" s="47">
        <f t="shared" si="0"/>
        <v>696.41099999999994</v>
      </c>
      <c r="O43" s="47">
        <f t="shared" si="1"/>
        <v>1605.7750000345336</v>
      </c>
      <c r="P43" s="47">
        <f t="shared" si="2"/>
        <v>6.9571210491064912</v>
      </c>
      <c r="R43">
        <f t="shared" si="3"/>
        <v>694.29727597076806</v>
      </c>
      <c r="S43">
        <f t="shared" si="4"/>
        <v>1607.009890790192</v>
      </c>
      <c r="T43">
        <f t="shared" si="5"/>
        <v>3.9682021706080173</v>
      </c>
      <c r="U43" t="s">
        <v>322</v>
      </c>
    </row>
    <row r="44" spans="1:21" x14ac:dyDescent="0.25">
      <c r="A44" t="s">
        <v>287</v>
      </c>
      <c r="B44">
        <v>260.72012999999998</v>
      </c>
      <c r="C44">
        <v>-10.039</v>
      </c>
      <c r="D44" s="26" t="s">
        <v>288</v>
      </c>
      <c r="E44">
        <v>623.32899999999995</v>
      </c>
      <c r="F44">
        <v>440.17200000000003</v>
      </c>
      <c r="G44" s="26" t="s">
        <v>289</v>
      </c>
      <c r="H44">
        <v>623.33000000000004</v>
      </c>
      <c r="I44">
        <v>440.40899999999999</v>
      </c>
      <c r="K44" s="45">
        <v>620.69799999999998</v>
      </c>
      <c r="L44" s="45">
        <v>437.82799999999997</v>
      </c>
      <c r="N44" s="47">
        <f t="shared" si="0"/>
        <v>623.32899999999995</v>
      </c>
      <c r="O44" s="47">
        <f t="shared" si="1"/>
        <v>440.1720000388172</v>
      </c>
      <c r="P44" s="47">
        <f t="shared" si="2"/>
        <v>12.416497181975018</v>
      </c>
      <c r="R44">
        <f t="shared" si="3"/>
        <v>620.83110041330008</v>
      </c>
      <c r="S44">
        <f t="shared" si="4"/>
        <v>439.38901465715702</v>
      </c>
      <c r="T44">
        <f t="shared" si="5"/>
        <v>2.4544824798797853</v>
      </c>
    </row>
    <row r="45" spans="1:21" x14ac:dyDescent="0.25">
      <c r="A45" t="s">
        <v>287</v>
      </c>
      <c r="B45">
        <v>260.73136</v>
      </c>
      <c r="C45">
        <v>-10.05012</v>
      </c>
      <c r="D45" s="26" t="s">
        <v>288</v>
      </c>
      <c r="E45">
        <v>566.28399999999999</v>
      </c>
      <c r="F45">
        <v>500.02100000000002</v>
      </c>
      <c r="G45" s="26" t="s">
        <v>289</v>
      </c>
      <c r="H45">
        <v>566.28499999999997</v>
      </c>
      <c r="I45">
        <v>500.291</v>
      </c>
      <c r="K45" s="45">
        <v>563.21500000000003</v>
      </c>
      <c r="L45" s="45">
        <v>497.75900000000001</v>
      </c>
      <c r="N45" s="47">
        <f t="shared" si="0"/>
        <v>566.28399999999999</v>
      </c>
      <c r="O45" s="47">
        <f t="shared" si="1"/>
        <v>500.02100003159876</v>
      </c>
      <c r="P45" s="47">
        <f t="shared" si="2"/>
        <v>14.535405142952481</v>
      </c>
      <c r="R45">
        <f t="shared" si="3"/>
        <v>563.46395845632492</v>
      </c>
      <c r="S45">
        <f t="shared" si="4"/>
        <v>499.46975702695698</v>
      </c>
      <c r="T45">
        <f t="shared" si="5"/>
        <v>2.9886699182583181</v>
      </c>
    </row>
    <row r="46" spans="1:21" x14ac:dyDescent="0.25">
      <c r="A46" t="s">
        <v>287</v>
      </c>
      <c r="B46">
        <v>260.80234000000002</v>
      </c>
      <c r="C46">
        <v>-9.9872099999999993</v>
      </c>
      <c r="D46" s="26" t="s">
        <v>288</v>
      </c>
      <c r="E46">
        <v>191.08699999999999</v>
      </c>
      <c r="F46">
        <v>175.35300000000001</v>
      </c>
      <c r="G46" s="26" t="s">
        <v>289</v>
      </c>
      <c r="H46">
        <v>191.083</v>
      </c>
      <c r="I46">
        <v>175.86500000000001</v>
      </c>
      <c r="K46" s="45">
        <v>182.61</v>
      </c>
      <c r="L46" s="45">
        <v>169.53</v>
      </c>
      <c r="N46" s="47">
        <f t="shared" si="0"/>
        <v>191.08699999999999</v>
      </c>
      <c r="O46" s="47">
        <f t="shared" si="1"/>
        <v>175.35300008221049</v>
      </c>
      <c r="P46" s="47">
        <f t="shared" si="2"/>
        <v>105.7668589574229</v>
      </c>
      <c r="R46">
        <f t="shared" si="3"/>
        <v>185.65659478933298</v>
      </c>
      <c r="S46">
        <f t="shared" si="4"/>
        <v>173.709544720325</v>
      </c>
      <c r="T46">
        <f t="shared" si="5"/>
        <v>26.750333879587373</v>
      </c>
      <c r="U46" t="s">
        <v>321</v>
      </c>
    </row>
    <row r="47" spans="1:21" x14ac:dyDescent="0.25">
      <c r="A47" t="s">
        <v>287</v>
      </c>
      <c r="B47">
        <v>260.81855000000002</v>
      </c>
      <c r="C47">
        <v>-9.9887999999999995</v>
      </c>
      <c r="D47" s="26" t="s">
        <v>288</v>
      </c>
      <c r="E47">
        <v>107.11799999999999</v>
      </c>
      <c r="F47">
        <v>185.45500000000001</v>
      </c>
      <c r="G47" s="26" t="s">
        <v>289</v>
      </c>
      <c r="H47">
        <v>107.114</v>
      </c>
      <c r="I47">
        <v>186.03399999999999</v>
      </c>
      <c r="K47" s="45">
        <v>97.198999999999998</v>
      </c>
      <c r="L47" s="45">
        <v>179.24799999999999</v>
      </c>
      <c r="N47" s="47">
        <f t="shared" si="0"/>
        <v>107.11799999999999</v>
      </c>
      <c r="O47" s="47">
        <f t="shared" si="1"/>
        <v>185.45500008063883</v>
      </c>
      <c r="P47" s="47">
        <f t="shared" si="2"/>
        <v>136.91341100105046</v>
      </c>
      <c r="R47">
        <f t="shared" si="3"/>
        <v>100.98885439701201</v>
      </c>
      <c r="S47">
        <f t="shared" si="4"/>
        <v>183.92995209653199</v>
      </c>
      <c r="T47">
        <f t="shared" si="5"/>
        <v>36.283671784771641</v>
      </c>
      <c r="U47" t="s">
        <v>321</v>
      </c>
    </row>
    <row r="50" spans="1:12" x14ac:dyDescent="0.25">
      <c r="A50" t="s">
        <v>287</v>
      </c>
      <c r="B50">
        <v>260.23964999999998</v>
      </c>
      <c r="C50">
        <v>-10.24827</v>
      </c>
      <c r="D50" s="26" t="s">
        <v>288</v>
      </c>
      <c r="E50" s="46">
        <v>3137.4960000000001</v>
      </c>
      <c r="F50">
        <v>1494.771</v>
      </c>
      <c r="G50" s="26" t="s">
        <v>289</v>
      </c>
      <c r="H50" s="46">
        <v>3137.5279999999998</v>
      </c>
      <c r="I50">
        <v>1495.5319999999999</v>
      </c>
      <c r="K50" s="47"/>
      <c r="L50" s="47"/>
    </row>
    <row r="51" spans="1:12" x14ac:dyDescent="0.25">
      <c r="A51" t="s">
        <v>287</v>
      </c>
      <c r="B51">
        <v>260.50880000000001</v>
      </c>
      <c r="C51">
        <v>-10.348140000000001</v>
      </c>
      <c r="D51" s="26" t="s">
        <v>288</v>
      </c>
      <c r="E51">
        <v>1752.2729999999999</v>
      </c>
      <c r="F51" s="46">
        <v>2049.8090000000002</v>
      </c>
      <c r="G51" s="26" t="s">
        <v>289</v>
      </c>
      <c r="H51">
        <v>1752.2750000000001</v>
      </c>
      <c r="I51" s="46">
        <v>2049.8249999999998</v>
      </c>
      <c r="K51" s="47"/>
      <c r="L51" s="4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F255-B115-4F75-91EE-A0E6D7E486BA}">
  <dimension ref="A2:T51"/>
  <sheetViews>
    <sheetView topLeftCell="A10" workbookViewId="0">
      <selection activeCell="B23" sqref="B23:C23"/>
    </sheetView>
  </sheetViews>
  <sheetFormatPr defaultRowHeight="15.75" x14ac:dyDescent="0.25"/>
  <cols>
    <col min="1" max="1" width="22.625" customWidth="1"/>
    <col min="2" max="3" width="12" customWidth="1"/>
    <col min="4" max="4" width="11.375" style="26" customWidth="1"/>
    <col min="5" max="6" width="13" customWidth="1"/>
    <col min="7" max="7" width="12.5" style="26" customWidth="1"/>
    <col min="8" max="9" width="13" customWidth="1"/>
    <col min="10" max="10" width="3.625" customWidth="1"/>
    <col min="11" max="12" width="10" customWidth="1"/>
    <col min="13" max="13" width="3.625" customWidth="1"/>
    <col min="14" max="16" width="10.625" customWidth="1"/>
    <col min="17" max="17" width="3.625" customWidth="1"/>
    <col min="18" max="20" width="12" customWidth="1"/>
  </cols>
  <sheetData>
    <row r="2" spans="1:20" x14ac:dyDescent="0.25">
      <c r="D2" s="26" t="s">
        <v>300</v>
      </c>
      <c r="E2">
        <v>260.54674</v>
      </c>
      <c r="F2" t="s">
        <v>301</v>
      </c>
      <c r="G2" s="26">
        <v>1536</v>
      </c>
      <c r="H2" t="s">
        <v>303</v>
      </c>
    </row>
    <row r="3" spans="1:20" x14ac:dyDescent="0.25">
      <c r="D3" s="26" t="s">
        <v>302</v>
      </c>
      <c r="E3">
        <v>-10.152749999999999</v>
      </c>
      <c r="F3" t="s">
        <v>301</v>
      </c>
      <c r="G3" s="26">
        <v>1023.5</v>
      </c>
      <c r="H3" t="s">
        <v>303</v>
      </c>
    </row>
    <row r="5" spans="1:20" x14ac:dyDescent="0.25">
      <c r="E5" t="s">
        <v>294</v>
      </c>
    </row>
    <row r="6" spans="1:20" x14ac:dyDescent="0.25">
      <c r="D6" s="26" t="s">
        <v>278</v>
      </c>
      <c r="E6">
        <v>-5.3515104747951611E-2</v>
      </c>
      <c r="F6" t="s">
        <v>295</v>
      </c>
    </row>
    <row r="7" spans="1:20" x14ac:dyDescent="0.25">
      <c r="D7" s="26" t="s">
        <v>293</v>
      </c>
      <c r="E7">
        <v>-0.95799996300290868</v>
      </c>
      <c r="F7" t="s">
        <v>295</v>
      </c>
    </row>
    <row r="8" spans="1:20" x14ac:dyDescent="0.25">
      <c r="D8" s="26" t="s">
        <v>305</v>
      </c>
      <c r="E8">
        <v>0</v>
      </c>
      <c r="F8" t="s">
        <v>297</v>
      </c>
    </row>
    <row r="9" spans="1:20" ht="16.5" thickBot="1" x14ac:dyDescent="0.3">
      <c r="D9" s="26" t="s">
        <v>306</v>
      </c>
      <c r="E9">
        <v>0</v>
      </c>
      <c r="F9" t="s">
        <v>297</v>
      </c>
    </row>
    <row r="10" spans="1:20" ht="16.5" thickBot="1" x14ac:dyDescent="0.3">
      <c r="D10" s="49" t="s">
        <v>304</v>
      </c>
      <c r="E10" s="50"/>
      <c r="F10" s="51"/>
      <c r="O10" s="26" t="s">
        <v>299</v>
      </c>
      <c r="P10" s="48">
        <f>SQRT(SUM(P15:P47)/COUNT(P15:P47))</f>
        <v>3.6573228751925826</v>
      </c>
      <c r="S10" s="26" t="s">
        <v>299</v>
      </c>
      <c r="T10" s="48">
        <f>SQRT(SUM(T15:T47)/COUNT(T15:T47))</f>
        <v>3.6683373066906841</v>
      </c>
    </row>
    <row r="12" spans="1:20" x14ac:dyDescent="0.25">
      <c r="D12" s="57"/>
      <c r="E12" s="58"/>
      <c r="F12" s="58"/>
    </row>
    <row r="13" spans="1:20" ht="16.5" thickBot="1" x14ac:dyDescent="0.3">
      <c r="A13" s="24" t="s">
        <v>244</v>
      </c>
      <c r="B13" s="24" t="s">
        <v>242</v>
      </c>
      <c r="C13" s="24"/>
      <c r="D13" s="57"/>
      <c r="E13" s="59" t="s">
        <v>291</v>
      </c>
      <c r="F13" s="59"/>
      <c r="H13" s="24" t="s">
        <v>292</v>
      </c>
      <c r="I13" s="24"/>
      <c r="K13" s="24" t="s">
        <v>243</v>
      </c>
      <c r="L13" s="24"/>
      <c r="N13" s="24" t="s">
        <v>296</v>
      </c>
      <c r="O13" s="24"/>
      <c r="P13" s="24"/>
      <c r="R13" s="24" t="s">
        <v>307</v>
      </c>
      <c r="S13" s="24"/>
      <c r="T13" s="24"/>
    </row>
    <row r="14" spans="1:20" x14ac:dyDescent="0.25">
      <c r="A14" s="7" t="s">
        <v>290</v>
      </c>
      <c r="B14" s="7" t="s">
        <v>221</v>
      </c>
      <c r="C14" s="7" t="s">
        <v>222</v>
      </c>
      <c r="D14" s="57"/>
      <c r="E14" s="60" t="s">
        <v>271</v>
      </c>
      <c r="F14" s="60" t="s">
        <v>87</v>
      </c>
      <c r="H14" s="7" t="s">
        <v>271</v>
      </c>
      <c r="I14" s="7" t="s">
        <v>87</v>
      </c>
      <c r="K14" s="7" t="s">
        <v>271</v>
      </c>
      <c r="L14" s="7" t="s">
        <v>87</v>
      </c>
      <c r="N14" s="7" t="s">
        <v>271</v>
      </c>
      <c r="O14" s="7" t="s">
        <v>87</v>
      </c>
      <c r="P14" t="s">
        <v>298</v>
      </c>
      <c r="R14" s="7" t="s">
        <v>271</v>
      </c>
      <c r="S14" s="7" t="s">
        <v>87</v>
      </c>
      <c r="T14" t="s">
        <v>298</v>
      </c>
    </row>
    <row r="15" spans="1:20" x14ac:dyDescent="0.25">
      <c r="A15" t="s">
        <v>287</v>
      </c>
      <c r="B15">
        <v>260.26695999999998</v>
      </c>
      <c r="C15">
        <v>-10.13744</v>
      </c>
      <c r="D15" s="57" t="s">
        <v>288</v>
      </c>
      <c r="E15" s="58">
        <v>2984.7359999999999</v>
      </c>
      <c r="F15" s="58">
        <v>912.70100000000002</v>
      </c>
      <c r="G15" s="26" t="s">
        <v>289</v>
      </c>
      <c r="H15" s="62">
        <v>2984.76</v>
      </c>
      <c r="I15" s="62">
        <v>913.32500000000005</v>
      </c>
      <c r="K15" s="61">
        <v>2990.819</v>
      </c>
      <c r="L15" s="61">
        <v>912.63</v>
      </c>
      <c r="N15">
        <f>E15+$E$6+$E$8*((B15-$E$2)^2)</f>
        <v>2984.6824848952519</v>
      </c>
      <c r="O15">
        <f>F15+$E$7+$E$9*((C15-$E$3)^2)</f>
        <v>911.74300003699716</v>
      </c>
      <c r="P15">
        <f>(K15-N15)^2+(L15-O15)^2</f>
        <v>38.443586565167564</v>
      </c>
      <c r="R15">
        <f>H15+$E$6+$E$8*((B15-$E$2)^2)</f>
        <v>2984.7064848952523</v>
      </c>
      <c r="S15">
        <f>I15+$E$7+$E$9*((C15-$E$3)^2)</f>
        <v>912.36700003699718</v>
      </c>
      <c r="T15">
        <f>($K15-R15)^2+($L15-S15)^2</f>
        <v>37.432009886307924</v>
      </c>
    </row>
    <row r="16" spans="1:20" x14ac:dyDescent="0.25">
      <c r="A16" t="s">
        <v>287</v>
      </c>
      <c r="B16">
        <v>260.29435999999998</v>
      </c>
      <c r="C16">
        <v>-10.18003</v>
      </c>
      <c r="D16" s="57" t="s">
        <v>288</v>
      </c>
      <c r="E16" s="58">
        <v>2846.893</v>
      </c>
      <c r="F16" s="58">
        <v>1140.2809999999999</v>
      </c>
      <c r="G16" s="26" t="s">
        <v>289</v>
      </c>
      <c r="H16" s="62">
        <v>2846.9119999999998</v>
      </c>
      <c r="I16" s="62">
        <v>1140.7909999999999</v>
      </c>
      <c r="K16" s="61">
        <v>2851.2190000000001</v>
      </c>
      <c r="L16" s="61">
        <v>1140.8320000000001</v>
      </c>
      <c r="N16">
        <f t="shared" ref="N16:N47" si="0">E16+$E$6+$E$8*((B16-$E$2)^2)</f>
        <v>2846.8394848952521</v>
      </c>
      <c r="O16">
        <f t="shared" ref="O16:O47" si="1">F16+$E$7+$E$9*((C16-$E$3)^2)</f>
        <v>1139.323000036997</v>
      </c>
      <c r="P16">
        <f t="shared" ref="P16:P47" si="2">(K16-N16)^2+(L16-O16)^2</f>
        <v>21.457233441058925</v>
      </c>
      <c r="R16">
        <f t="shared" ref="R16:R47" si="3">H16+$E$6+$E$8*((B16-$E$2)^2)</f>
        <v>2846.8584848952519</v>
      </c>
      <c r="S16">
        <f t="shared" ref="S16:S47" si="4">I16+$E$7+$E$9*((C16-$E$3)^2)</f>
        <v>1139.833000036997</v>
      </c>
      <c r="T16">
        <f t="shared" ref="T16:T47" si="5">($K16-R16)^2+($L16-S16)^2</f>
        <v>20.012092904817258</v>
      </c>
    </row>
    <row r="17" spans="1:20" x14ac:dyDescent="0.25">
      <c r="A17" t="s">
        <v>287</v>
      </c>
      <c r="B17">
        <v>260.30295999999998</v>
      </c>
      <c r="C17">
        <v>-10.33881</v>
      </c>
      <c r="D17" s="57" t="s">
        <v>288</v>
      </c>
      <c r="E17" s="58">
        <v>2818.3490000000002</v>
      </c>
      <c r="F17" s="58">
        <v>1979.211</v>
      </c>
      <c r="G17" s="26" t="s">
        <v>289</v>
      </c>
      <c r="H17" s="62">
        <v>2818.373</v>
      </c>
      <c r="I17" s="62">
        <v>1979.6980000000001</v>
      </c>
      <c r="K17" s="61">
        <v>2823.3620000000001</v>
      </c>
      <c r="L17" s="61">
        <v>1982.18</v>
      </c>
      <c r="N17">
        <f t="shared" si="0"/>
        <v>2818.2954848952522</v>
      </c>
      <c r="O17">
        <f t="shared" si="1"/>
        <v>1978.253000036997</v>
      </c>
      <c r="P17">
        <f t="shared" si="2"/>
        <v>41.090904016063895</v>
      </c>
      <c r="R17">
        <f t="shared" si="3"/>
        <v>2818.3194848952521</v>
      </c>
      <c r="S17">
        <f t="shared" si="4"/>
        <v>1978.7400000369971</v>
      </c>
      <c r="T17">
        <f t="shared" si="5"/>
        <v>37.260558327071635</v>
      </c>
    </row>
    <row r="18" spans="1:20" x14ac:dyDescent="0.25">
      <c r="A18" t="s">
        <v>287</v>
      </c>
      <c r="B18">
        <v>260.31362000000001</v>
      </c>
      <c r="C18">
        <v>-10.27961</v>
      </c>
      <c r="D18" s="57" t="s">
        <v>288</v>
      </c>
      <c r="E18" s="58">
        <v>2757.107</v>
      </c>
      <c r="F18" s="58">
        <v>1667.8340000000001</v>
      </c>
      <c r="G18" s="26" t="s">
        <v>289</v>
      </c>
      <c r="H18" s="62">
        <v>2757.125</v>
      </c>
      <c r="I18" s="62">
        <v>1668.2739999999999</v>
      </c>
      <c r="K18" s="61">
        <v>2760.53</v>
      </c>
      <c r="L18" s="61">
        <v>1669.0329999999999</v>
      </c>
      <c r="N18">
        <f t="shared" si="0"/>
        <v>2757.053484895252</v>
      </c>
      <c r="O18">
        <f t="shared" si="1"/>
        <v>1666.8760000369971</v>
      </c>
      <c r="P18">
        <f t="shared" si="2"/>
        <v>16.738806113936263</v>
      </c>
      <c r="R18">
        <f t="shared" si="3"/>
        <v>2757.0714848952521</v>
      </c>
      <c r="S18">
        <f t="shared" si="4"/>
        <v>1667.3160000369969</v>
      </c>
      <c r="T18">
        <f t="shared" si="5"/>
        <v>14.909415602723243</v>
      </c>
    </row>
    <row r="19" spans="1:20" x14ac:dyDescent="0.25">
      <c r="A19" t="s">
        <v>287</v>
      </c>
      <c r="B19">
        <v>260.31614999999999</v>
      </c>
      <c r="C19">
        <v>-10.12693</v>
      </c>
      <c r="D19" s="57" t="s">
        <v>288</v>
      </c>
      <c r="E19" s="58">
        <v>2728.4920000000002</v>
      </c>
      <c r="F19" s="58">
        <v>862.29300000000001</v>
      </c>
      <c r="G19" s="26" t="s">
        <v>289</v>
      </c>
      <c r="H19" s="62">
        <v>2728.5070000000001</v>
      </c>
      <c r="I19" s="62">
        <v>862.71699999999998</v>
      </c>
      <c r="K19" s="61">
        <v>2732.2</v>
      </c>
      <c r="L19" s="61">
        <v>862.05200000000002</v>
      </c>
      <c r="N19">
        <f t="shared" si="0"/>
        <v>2728.4384848952523</v>
      </c>
      <c r="O19">
        <f t="shared" si="1"/>
        <v>861.33500003699714</v>
      </c>
      <c r="P19">
        <f t="shared" si="2"/>
        <v>14.663084830190169</v>
      </c>
      <c r="R19">
        <f t="shared" si="3"/>
        <v>2728.4534848952521</v>
      </c>
      <c r="S19">
        <f t="shared" si="4"/>
        <v>861.75900003699712</v>
      </c>
      <c r="T19">
        <f t="shared" si="5"/>
        <v>14.122224408422268</v>
      </c>
    </row>
    <row r="20" spans="1:20" x14ac:dyDescent="0.25">
      <c r="A20" t="s">
        <v>287</v>
      </c>
      <c r="B20">
        <v>260.33985999999999</v>
      </c>
      <c r="C20">
        <v>-10.072100000000001</v>
      </c>
      <c r="D20" s="57" t="s">
        <v>288</v>
      </c>
      <c r="E20" s="58">
        <v>2599.9229999999998</v>
      </c>
      <c r="F20" s="58">
        <v>575.40300000000002</v>
      </c>
      <c r="G20" s="26" t="s">
        <v>289</v>
      </c>
      <c r="H20" s="62">
        <v>2599.9349999999999</v>
      </c>
      <c r="I20" s="62">
        <v>575.74199999999996</v>
      </c>
      <c r="K20" s="61">
        <v>2603.319</v>
      </c>
      <c r="L20" s="61">
        <v>574.51700000000005</v>
      </c>
      <c r="N20">
        <f t="shared" si="0"/>
        <v>2599.8694848952518</v>
      </c>
      <c r="O20">
        <f t="shared" si="1"/>
        <v>574.44500003699716</v>
      </c>
      <c r="P20">
        <f t="shared" si="2"/>
        <v>11.904338452557823</v>
      </c>
      <c r="R20">
        <f t="shared" si="3"/>
        <v>2599.881484895252</v>
      </c>
      <c r="S20">
        <f t="shared" si="4"/>
        <v>574.7840000369971</v>
      </c>
      <c r="T20">
        <f t="shared" si="5"/>
        <v>11.887799115126699</v>
      </c>
    </row>
    <row r="21" spans="1:20" x14ac:dyDescent="0.25">
      <c r="A21" t="s">
        <v>287</v>
      </c>
      <c r="B21">
        <v>260.34615000000002</v>
      </c>
      <c r="C21">
        <v>-10.07549</v>
      </c>
      <c r="D21" s="57" t="s">
        <v>288</v>
      </c>
      <c r="E21" s="58">
        <v>2567.623</v>
      </c>
      <c r="F21" s="58">
        <v>593.91399999999999</v>
      </c>
      <c r="G21" s="26" t="s">
        <v>289</v>
      </c>
      <c r="H21" s="62">
        <v>2567.6350000000002</v>
      </c>
      <c r="I21" s="62">
        <v>594.23299999999995</v>
      </c>
      <c r="K21" s="61">
        <v>2570.8180000000002</v>
      </c>
      <c r="L21" s="61">
        <v>593.16099999999994</v>
      </c>
      <c r="N21">
        <f t="shared" si="0"/>
        <v>2567.5694848952521</v>
      </c>
      <c r="O21">
        <f t="shared" si="1"/>
        <v>592.95600003699712</v>
      </c>
      <c r="P21">
        <f t="shared" si="2"/>
        <v>10.594875370607676</v>
      </c>
      <c r="R21">
        <f t="shared" si="3"/>
        <v>2567.5814848952523</v>
      </c>
      <c r="S21">
        <f t="shared" si="4"/>
        <v>593.27500003699708</v>
      </c>
      <c r="T21">
        <f t="shared" si="5"/>
        <v>10.488026031696808</v>
      </c>
    </row>
    <row r="22" spans="1:20" x14ac:dyDescent="0.25">
      <c r="A22" t="s">
        <v>287</v>
      </c>
      <c r="B22">
        <v>260.35948999999999</v>
      </c>
      <c r="C22">
        <v>-10.276730000000001</v>
      </c>
      <c r="D22" s="57" t="s">
        <v>288</v>
      </c>
      <c r="E22" s="58">
        <v>2519.002</v>
      </c>
      <c r="F22" s="58">
        <v>1657.3989999999999</v>
      </c>
      <c r="G22" s="26" t="s">
        <v>289</v>
      </c>
      <c r="H22" s="62">
        <v>2519.0129999999999</v>
      </c>
      <c r="I22" s="62">
        <v>1657.684</v>
      </c>
      <c r="K22" s="61">
        <v>2520.7600000000002</v>
      </c>
      <c r="L22" s="61">
        <v>1657.8779999999999</v>
      </c>
      <c r="N22">
        <f t="shared" si="0"/>
        <v>2518.948484895252</v>
      </c>
      <c r="O22">
        <f t="shared" si="1"/>
        <v>1656.4410000369969</v>
      </c>
      <c r="P22">
        <f t="shared" si="2"/>
        <v>5.3465558684015413</v>
      </c>
      <c r="R22">
        <f t="shared" si="3"/>
        <v>2518.959484895252</v>
      </c>
      <c r="S22">
        <f t="shared" si="4"/>
        <v>1656.726000036997</v>
      </c>
      <c r="T22">
        <f t="shared" si="5"/>
        <v>4.5689585571852911</v>
      </c>
    </row>
    <row r="23" spans="1:20" x14ac:dyDescent="0.25">
      <c r="A23" t="s">
        <v>287</v>
      </c>
      <c r="B23">
        <v>260.36768999999998</v>
      </c>
      <c r="C23">
        <v>-10.279529999999999</v>
      </c>
      <c r="D23" s="57" t="s">
        <v>288</v>
      </c>
      <c r="E23" s="58">
        <v>2476.761</v>
      </c>
      <c r="F23" s="58">
        <v>1673.066</v>
      </c>
      <c r="G23" s="26" t="s">
        <v>289</v>
      </c>
      <c r="H23" s="62">
        <v>2476.7710000000002</v>
      </c>
      <c r="I23" s="62">
        <v>1673.326</v>
      </c>
      <c r="K23" s="61">
        <v>2478.489</v>
      </c>
      <c r="L23" s="61">
        <v>1673.6590000000001</v>
      </c>
      <c r="N23">
        <f t="shared" si="0"/>
        <v>2476.707484895252</v>
      </c>
      <c r="O23">
        <f t="shared" si="1"/>
        <v>1672.1080000369971</v>
      </c>
      <c r="P23">
        <f t="shared" si="2"/>
        <v>5.5793969536807273</v>
      </c>
      <c r="R23">
        <f t="shared" si="3"/>
        <v>2476.7174848952523</v>
      </c>
      <c r="S23">
        <f t="shared" si="4"/>
        <v>1672.368000036997</v>
      </c>
      <c r="T23">
        <f t="shared" si="5"/>
        <v>4.8049466708234307</v>
      </c>
    </row>
    <row r="24" spans="1:20" x14ac:dyDescent="0.25">
      <c r="A24" t="s">
        <v>287</v>
      </c>
      <c r="B24">
        <v>260.37437999999997</v>
      </c>
      <c r="C24">
        <v>-10.241300000000001</v>
      </c>
      <c r="D24" s="57" t="s">
        <v>288</v>
      </c>
      <c r="E24" s="58">
        <v>2438.1410000000001</v>
      </c>
      <c r="F24" s="58">
        <v>1471.9849999999999</v>
      </c>
      <c r="G24" s="26" t="s">
        <v>289</v>
      </c>
      <c r="H24" s="62">
        <v>2438.15</v>
      </c>
      <c r="I24" s="62">
        <v>1472.2249999999999</v>
      </c>
      <c r="K24" s="61">
        <v>2439.4560000000001</v>
      </c>
      <c r="L24" s="61">
        <v>1472.1880000000001</v>
      </c>
      <c r="N24">
        <f t="shared" si="0"/>
        <v>2438.0874848952521</v>
      </c>
      <c r="O24">
        <f t="shared" si="1"/>
        <v>1471.0270000369969</v>
      </c>
      <c r="P24">
        <f t="shared" si="2"/>
        <v>3.2207545060167684</v>
      </c>
      <c r="R24">
        <f t="shared" si="3"/>
        <v>2438.0964848952522</v>
      </c>
      <c r="S24">
        <f t="shared" si="4"/>
        <v>1471.2670000369969</v>
      </c>
      <c r="T24">
        <f t="shared" si="5"/>
        <v>2.6965222518897232</v>
      </c>
    </row>
    <row r="25" spans="1:20" x14ac:dyDescent="0.25">
      <c r="A25" t="s">
        <v>287</v>
      </c>
      <c r="B25">
        <v>260.3793</v>
      </c>
      <c r="C25">
        <v>-10.156090000000001</v>
      </c>
      <c r="D25" s="57" t="s">
        <v>288</v>
      </c>
      <c r="E25" s="58">
        <v>2403.8829999999998</v>
      </c>
      <c r="F25" s="58">
        <v>1022.75</v>
      </c>
      <c r="G25" s="26" t="s">
        <v>289</v>
      </c>
      <c r="H25" s="62">
        <v>2403.89</v>
      </c>
      <c r="I25" s="62">
        <v>1022.974</v>
      </c>
      <c r="K25" s="61">
        <v>2405.319</v>
      </c>
      <c r="L25" s="61">
        <v>1022.716</v>
      </c>
      <c r="N25">
        <f t="shared" si="0"/>
        <v>2403.8294848952519</v>
      </c>
      <c r="O25">
        <f t="shared" si="1"/>
        <v>1021.7920000369971</v>
      </c>
      <c r="P25">
        <f t="shared" si="2"/>
        <v>3.0724311789019882</v>
      </c>
      <c r="R25">
        <f t="shared" si="3"/>
        <v>2403.8364848952519</v>
      </c>
      <c r="S25">
        <f t="shared" si="4"/>
        <v>1022.0160000369972</v>
      </c>
      <c r="T25">
        <f t="shared" si="5"/>
        <v>2.6878509840099811</v>
      </c>
    </row>
    <row r="26" spans="1:20" x14ac:dyDescent="0.25">
      <c r="A26" t="s">
        <v>287</v>
      </c>
      <c r="B26">
        <v>260.42836999999997</v>
      </c>
      <c r="C26">
        <v>-10.235099999999999</v>
      </c>
      <c r="D26" s="57" t="s">
        <v>288</v>
      </c>
      <c r="E26" s="58">
        <v>2157.5500000000002</v>
      </c>
      <c r="F26" s="58">
        <v>1444.8309999999999</v>
      </c>
      <c r="G26" s="26" t="s">
        <v>289</v>
      </c>
      <c r="H26" s="62">
        <v>2157.5540000000001</v>
      </c>
      <c r="I26" s="62">
        <v>1444.944</v>
      </c>
      <c r="K26" s="61">
        <v>2157.9349999999999</v>
      </c>
      <c r="L26" s="61">
        <v>1444.481</v>
      </c>
      <c r="N26">
        <f t="shared" si="0"/>
        <v>2157.4964848952523</v>
      </c>
      <c r="O26">
        <f t="shared" si="1"/>
        <v>1443.8730000369969</v>
      </c>
      <c r="P26">
        <f t="shared" si="2"/>
        <v>0.56195945210361176</v>
      </c>
      <c r="R26">
        <f t="shared" si="3"/>
        <v>2157.5004848952522</v>
      </c>
      <c r="S26">
        <f t="shared" si="4"/>
        <v>1443.986000036997</v>
      </c>
      <c r="T26">
        <f t="shared" si="5"/>
        <v>0.43382833962696343</v>
      </c>
    </row>
    <row r="27" spans="1:20" x14ac:dyDescent="0.25">
      <c r="A27" t="s">
        <v>287</v>
      </c>
      <c r="B27">
        <v>260.43538000000001</v>
      </c>
      <c r="C27">
        <v>-10.251580000000001</v>
      </c>
      <c r="D27" s="57" t="s">
        <v>288</v>
      </c>
      <c r="E27" s="58">
        <v>2122.8890000000001</v>
      </c>
      <c r="F27" s="58">
        <v>1532.5419999999999</v>
      </c>
      <c r="G27" s="26" t="s">
        <v>289</v>
      </c>
      <c r="H27" s="62">
        <v>2122.8919999999998</v>
      </c>
      <c r="I27" s="62">
        <v>1532.6420000000001</v>
      </c>
      <c r="K27" s="61">
        <v>2123.1759999999999</v>
      </c>
      <c r="L27" s="61">
        <v>1531.9949999999999</v>
      </c>
      <c r="N27">
        <f t="shared" si="0"/>
        <v>2122.8354848952522</v>
      </c>
      <c r="O27">
        <f t="shared" si="1"/>
        <v>1531.5840000369969</v>
      </c>
      <c r="P27">
        <f t="shared" si="2"/>
        <v>0.2848715061497894</v>
      </c>
      <c r="R27">
        <f t="shared" si="3"/>
        <v>2122.8384848952519</v>
      </c>
      <c r="S27">
        <f t="shared" si="4"/>
        <v>1531.6840000369971</v>
      </c>
      <c r="T27">
        <f t="shared" si="5"/>
        <v>0.21063742292082938</v>
      </c>
    </row>
    <row r="28" spans="1:20" x14ac:dyDescent="0.25">
      <c r="A28" t="s">
        <v>287</v>
      </c>
      <c r="B28">
        <v>260.46528000000001</v>
      </c>
      <c r="C28">
        <v>-10.285119999999999</v>
      </c>
      <c r="D28" s="57" t="s">
        <v>288</v>
      </c>
      <c r="E28" s="58">
        <v>1971.316</v>
      </c>
      <c r="F28" s="58">
        <v>1712.653</v>
      </c>
      <c r="G28" s="26" t="s">
        <v>289</v>
      </c>
      <c r="H28" s="62">
        <v>1971.318</v>
      </c>
      <c r="I28" s="62">
        <v>1712.7080000000001</v>
      </c>
      <c r="K28" s="61">
        <v>1971.64</v>
      </c>
      <c r="L28" s="61">
        <v>1711.8209999999999</v>
      </c>
      <c r="N28">
        <f t="shared" si="0"/>
        <v>1971.2624848952521</v>
      </c>
      <c r="O28">
        <f t="shared" si="1"/>
        <v>1711.695000036997</v>
      </c>
      <c r="P28">
        <f t="shared" si="2"/>
        <v>0.15839364498961728</v>
      </c>
      <c r="R28">
        <f t="shared" si="3"/>
        <v>1971.2644848952521</v>
      </c>
      <c r="S28">
        <f t="shared" si="4"/>
        <v>1711.7500000369971</v>
      </c>
      <c r="T28">
        <f t="shared" si="5"/>
        <v>0.14605258864033618</v>
      </c>
    </row>
    <row r="29" spans="1:20" x14ac:dyDescent="0.25">
      <c r="A29" t="s">
        <v>287</v>
      </c>
      <c r="B29">
        <v>260.48322999999999</v>
      </c>
      <c r="C29">
        <v>-10.241860000000001</v>
      </c>
      <c r="D29" s="57" t="s">
        <v>288</v>
      </c>
      <c r="E29" s="58">
        <v>1873.7260000000001</v>
      </c>
      <c r="F29" s="58">
        <v>1486.194</v>
      </c>
      <c r="G29" s="26" t="s">
        <v>289</v>
      </c>
      <c r="H29" s="62">
        <v>1873.7280000000001</v>
      </c>
      <c r="I29" s="62">
        <v>1486.2270000000001</v>
      </c>
      <c r="K29" s="61">
        <v>1873.633</v>
      </c>
      <c r="L29" s="61">
        <v>1485.268</v>
      </c>
      <c r="N29">
        <f t="shared" si="0"/>
        <v>1873.6724848952522</v>
      </c>
      <c r="O29">
        <f t="shared" si="1"/>
        <v>1485.236000036997</v>
      </c>
      <c r="P29">
        <f t="shared" si="2"/>
        <v>2.5830545852690663E-3</v>
      </c>
      <c r="R29">
        <f t="shared" si="3"/>
        <v>1873.6744848952521</v>
      </c>
      <c r="S29">
        <f t="shared" si="4"/>
        <v>1485.2690000369971</v>
      </c>
      <c r="T29">
        <f t="shared" si="5"/>
        <v>1.7219966080729949E-3</v>
      </c>
    </row>
    <row r="30" spans="1:20" x14ac:dyDescent="0.25">
      <c r="A30" t="s">
        <v>287</v>
      </c>
      <c r="B30">
        <v>260.49734000000001</v>
      </c>
      <c r="C30">
        <v>-10.046609999999999</v>
      </c>
      <c r="D30" s="57" t="s">
        <v>288</v>
      </c>
      <c r="E30" s="58">
        <v>1780.1869999999999</v>
      </c>
      <c r="F30" s="58">
        <v>457.19</v>
      </c>
      <c r="G30" s="26" t="s">
        <v>289</v>
      </c>
      <c r="H30" s="62">
        <v>1780.1880000000001</v>
      </c>
      <c r="I30" s="62">
        <v>457.20800000000003</v>
      </c>
      <c r="K30" s="61">
        <v>1781.086</v>
      </c>
      <c r="L30" s="61">
        <v>456.51499999999999</v>
      </c>
      <c r="N30">
        <f t="shared" si="0"/>
        <v>1780.133484895252</v>
      </c>
      <c r="O30">
        <f t="shared" si="1"/>
        <v>456.23200003699708</v>
      </c>
      <c r="P30">
        <f t="shared" si="2"/>
        <v>0.98737400383282614</v>
      </c>
      <c r="R30">
        <f t="shared" si="3"/>
        <v>1780.1344848952522</v>
      </c>
      <c r="S30">
        <f t="shared" si="4"/>
        <v>456.25000003699711</v>
      </c>
      <c r="T30">
        <f t="shared" si="5"/>
        <v>0.97560597495482226</v>
      </c>
    </row>
    <row r="31" spans="1:20" x14ac:dyDescent="0.25">
      <c r="A31" t="s">
        <v>287</v>
      </c>
      <c r="B31">
        <v>260.53352999999998</v>
      </c>
      <c r="C31">
        <v>-10.329269999999999</v>
      </c>
      <c r="D31" s="57" t="s">
        <v>288</v>
      </c>
      <c r="E31" s="58">
        <v>1622.098</v>
      </c>
      <c r="F31" s="58">
        <v>1952.761</v>
      </c>
      <c r="G31" s="26" t="s">
        <v>289</v>
      </c>
      <c r="H31" s="62">
        <v>1622.098</v>
      </c>
      <c r="I31" s="62">
        <v>1952.7660000000001</v>
      </c>
      <c r="K31" s="61">
        <v>1621.3979999999999</v>
      </c>
      <c r="L31" s="61">
        <v>1951.8420000000001</v>
      </c>
      <c r="N31">
        <f t="shared" si="0"/>
        <v>1622.044484895252</v>
      </c>
      <c r="O31">
        <f t="shared" si="1"/>
        <v>1951.803000036997</v>
      </c>
      <c r="P31">
        <f t="shared" si="2"/>
        <v>0.41946371690338202</v>
      </c>
      <c r="R31">
        <f t="shared" si="3"/>
        <v>1622.044484895252</v>
      </c>
      <c r="S31">
        <f t="shared" si="4"/>
        <v>1951.8080000369971</v>
      </c>
      <c r="T31">
        <f t="shared" si="5"/>
        <v>0.41909871727334358</v>
      </c>
    </row>
    <row r="32" spans="1:20" x14ac:dyDescent="0.25">
      <c r="A32" t="s">
        <v>287</v>
      </c>
      <c r="B32">
        <v>260.56175000000002</v>
      </c>
      <c r="C32">
        <v>-10.019259999999999</v>
      </c>
      <c r="D32" s="57" t="s">
        <v>288</v>
      </c>
      <c r="E32" s="58">
        <v>1443.088</v>
      </c>
      <c r="F32" s="58">
        <v>319.52600000000001</v>
      </c>
      <c r="G32" s="26" t="s">
        <v>289</v>
      </c>
      <c r="H32" s="62">
        <v>1443.088</v>
      </c>
      <c r="I32" s="62">
        <v>319.52699999999999</v>
      </c>
      <c r="K32" s="61">
        <v>1443.549</v>
      </c>
      <c r="L32" s="61">
        <v>318.34699999999998</v>
      </c>
      <c r="N32">
        <f t="shared" si="0"/>
        <v>1443.034484895252</v>
      </c>
      <c r="O32">
        <f t="shared" si="1"/>
        <v>318.56800003699709</v>
      </c>
      <c r="P32">
        <f t="shared" si="2"/>
        <v>0.31356680936651132</v>
      </c>
      <c r="R32">
        <f t="shared" si="3"/>
        <v>1443.034484895252</v>
      </c>
      <c r="S32">
        <f t="shared" si="4"/>
        <v>318.56900003699707</v>
      </c>
      <c r="T32">
        <f t="shared" si="5"/>
        <v>0.31400980944049506</v>
      </c>
    </row>
    <row r="33" spans="1:20" x14ac:dyDescent="0.25">
      <c r="A33" t="s">
        <v>287</v>
      </c>
      <c r="B33">
        <v>260.57107999999999</v>
      </c>
      <c r="C33">
        <v>-10.02032</v>
      </c>
      <c r="D33" s="57" t="s">
        <v>288</v>
      </c>
      <c r="E33" s="58">
        <v>1394.7940000000001</v>
      </c>
      <c r="F33" s="58">
        <v>326.08999999999997</v>
      </c>
      <c r="G33" s="26" t="s">
        <v>289</v>
      </c>
      <c r="H33" s="62">
        <v>1394.7929999999999</v>
      </c>
      <c r="I33" s="62">
        <v>326.09399999999999</v>
      </c>
      <c r="K33" s="61">
        <v>1395.1210000000001</v>
      </c>
      <c r="L33" s="61">
        <v>324.87799999999999</v>
      </c>
      <c r="N33">
        <f t="shared" si="0"/>
        <v>1394.7404848952522</v>
      </c>
      <c r="O33">
        <f t="shared" si="1"/>
        <v>325.13200003699706</v>
      </c>
      <c r="P33">
        <f t="shared" si="2"/>
        <v>0.20930776373583984</v>
      </c>
      <c r="R33">
        <f t="shared" si="3"/>
        <v>1394.739484895252</v>
      </c>
      <c r="S33">
        <f t="shared" si="4"/>
        <v>325.13600003699707</v>
      </c>
      <c r="T33">
        <f t="shared" si="5"/>
        <v>0.21211779424147759</v>
      </c>
    </row>
    <row r="34" spans="1:20" x14ac:dyDescent="0.25">
      <c r="A34" t="s">
        <v>287</v>
      </c>
      <c r="B34">
        <v>260.61594000000002</v>
      </c>
      <c r="C34">
        <v>-10.31682</v>
      </c>
      <c r="D34" s="57" t="s">
        <v>288</v>
      </c>
      <c r="E34" s="58">
        <v>1193.5409999999999</v>
      </c>
      <c r="F34" s="58">
        <v>1895.576</v>
      </c>
      <c r="G34" s="26" t="s">
        <v>289</v>
      </c>
      <c r="H34" s="62">
        <v>1193.54</v>
      </c>
      <c r="I34" s="62">
        <v>1895.617</v>
      </c>
      <c r="K34" s="61">
        <v>1192.4459999999999</v>
      </c>
      <c r="L34" s="61">
        <v>1894.4449999999999</v>
      </c>
      <c r="N34">
        <f t="shared" si="0"/>
        <v>1193.487484895252</v>
      </c>
      <c r="O34">
        <f t="shared" si="1"/>
        <v>1894.618000036997</v>
      </c>
      <c r="P34">
        <f t="shared" si="2"/>
        <v>1.1146197998392726</v>
      </c>
      <c r="R34">
        <f t="shared" si="3"/>
        <v>1193.486484895252</v>
      </c>
      <c r="S34">
        <f t="shared" si="4"/>
        <v>1894.659000036997</v>
      </c>
      <c r="T34">
        <f t="shared" si="5"/>
        <v>1.1284048330825549</v>
      </c>
    </row>
    <row r="35" spans="1:20" x14ac:dyDescent="0.25">
      <c r="A35" t="s">
        <v>287</v>
      </c>
      <c r="B35">
        <v>260.64997</v>
      </c>
      <c r="C35">
        <v>-10.25259</v>
      </c>
      <c r="D35" s="57" t="s">
        <v>288</v>
      </c>
      <c r="E35" s="58">
        <v>1010.206</v>
      </c>
      <c r="F35" s="58">
        <v>1560.1389999999999</v>
      </c>
      <c r="G35" s="26" t="s">
        <v>289</v>
      </c>
      <c r="H35" s="62">
        <v>1010.207</v>
      </c>
      <c r="I35" s="62">
        <v>1560.2249999999999</v>
      </c>
      <c r="K35" s="61">
        <v>1009.308</v>
      </c>
      <c r="L35" s="61">
        <v>1559.057</v>
      </c>
      <c r="N35">
        <f t="shared" si="0"/>
        <v>1010.1524848952521</v>
      </c>
      <c r="O35">
        <f t="shared" si="1"/>
        <v>1559.1810000369969</v>
      </c>
      <c r="P35">
        <f t="shared" si="2"/>
        <v>0.72853074748417412</v>
      </c>
      <c r="R35">
        <f t="shared" si="3"/>
        <v>1010.1534848952521</v>
      </c>
      <c r="S35">
        <f t="shared" si="4"/>
        <v>1559.2670000369969</v>
      </c>
      <c r="T35">
        <f t="shared" si="5"/>
        <v>0.75894472363811116</v>
      </c>
    </row>
    <row r="36" spans="1:20" x14ac:dyDescent="0.25">
      <c r="A36" t="s">
        <v>287</v>
      </c>
      <c r="B36">
        <v>260.66485999999998</v>
      </c>
      <c r="C36">
        <v>-10.1906</v>
      </c>
      <c r="D36" s="57" t="s">
        <v>288</v>
      </c>
      <c r="E36" s="58">
        <v>926.39599999999996</v>
      </c>
      <c r="F36" s="58">
        <v>1234.511</v>
      </c>
      <c r="G36" s="26" t="s">
        <v>289</v>
      </c>
      <c r="H36" s="62">
        <v>926.39700000000005</v>
      </c>
      <c r="I36" s="62">
        <v>1234.623</v>
      </c>
      <c r="K36" s="61">
        <v>925.47799999999995</v>
      </c>
      <c r="L36" s="61">
        <v>1233.6500000000001</v>
      </c>
      <c r="N36">
        <f t="shared" si="0"/>
        <v>926.34248489525203</v>
      </c>
      <c r="O36">
        <f t="shared" si="1"/>
        <v>1233.553000036997</v>
      </c>
      <c r="P36">
        <f t="shared" si="2"/>
        <v>0.75674312694159573</v>
      </c>
      <c r="R36">
        <f t="shared" si="3"/>
        <v>926.34348489525212</v>
      </c>
      <c r="S36">
        <f t="shared" si="4"/>
        <v>1233.6650000369971</v>
      </c>
      <c r="T36">
        <f t="shared" si="5"/>
        <v>0.74928910501956369</v>
      </c>
    </row>
    <row r="37" spans="1:20" x14ac:dyDescent="0.25">
      <c r="A37" t="s">
        <v>287</v>
      </c>
      <c r="B37">
        <v>260.66658999999999</v>
      </c>
      <c r="C37">
        <v>-10.2158</v>
      </c>
      <c r="D37" s="57" t="s">
        <v>288</v>
      </c>
      <c r="E37" s="58">
        <v>920.11099999999999</v>
      </c>
      <c r="F37" s="58">
        <v>1367.693</v>
      </c>
      <c r="G37" s="26" t="s">
        <v>289</v>
      </c>
      <c r="H37" s="62">
        <v>920.11199999999997</v>
      </c>
      <c r="I37" s="62">
        <v>1367.808</v>
      </c>
      <c r="K37" s="61">
        <v>919.14700000000005</v>
      </c>
      <c r="L37" s="61">
        <v>1366.5920000000001</v>
      </c>
      <c r="N37">
        <f t="shared" si="0"/>
        <v>920.05748489525206</v>
      </c>
      <c r="O37">
        <f t="shared" si="1"/>
        <v>1366.735000036997</v>
      </c>
      <c r="P37">
        <f t="shared" si="2"/>
        <v>0.8494317550631838</v>
      </c>
      <c r="R37">
        <f t="shared" si="3"/>
        <v>920.05848489525204</v>
      </c>
      <c r="S37">
        <f t="shared" si="4"/>
        <v>1366.850000036997</v>
      </c>
      <c r="T37">
        <f t="shared" si="5"/>
        <v>0.89736873336293854</v>
      </c>
    </row>
    <row r="38" spans="1:20" x14ac:dyDescent="0.25">
      <c r="A38" t="s">
        <v>287</v>
      </c>
      <c r="B38">
        <v>260.67142000000001</v>
      </c>
      <c r="C38">
        <v>-10.08423</v>
      </c>
      <c r="D38" s="57" t="s">
        <v>288</v>
      </c>
      <c r="E38" s="58">
        <v>880.96199999999999</v>
      </c>
      <c r="F38" s="58">
        <v>673.81200000000001</v>
      </c>
      <c r="G38" s="26" t="s">
        <v>289</v>
      </c>
      <c r="H38" s="62">
        <v>880.96299999999997</v>
      </c>
      <c r="I38" s="62">
        <v>673.93499999999995</v>
      </c>
      <c r="K38" s="61">
        <v>879.94100000000003</v>
      </c>
      <c r="L38" s="61">
        <v>672.66499999999996</v>
      </c>
      <c r="N38">
        <f t="shared" si="0"/>
        <v>880.90848489525206</v>
      </c>
      <c r="O38">
        <f t="shared" si="1"/>
        <v>672.85400003699715</v>
      </c>
      <c r="P38">
        <f t="shared" si="2"/>
        <v>0.97174803652576491</v>
      </c>
      <c r="R38">
        <f t="shared" si="3"/>
        <v>880.90948489525204</v>
      </c>
      <c r="S38">
        <f t="shared" si="4"/>
        <v>672.97700003699708</v>
      </c>
      <c r="T38">
        <f t="shared" si="5"/>
        <v>1.0353070154174895</v>
      </c>
    </row>
    <row r="39" spans="1:20" x14ac:dyDescent="0.25">
      <c r="A39" t="s">
        <v>287</v>
      </c>
      <c r="B39">
        <v>260.67802999999998</v>
      </c>
      <c r="C39">
        <v>-10.29044</v>
      </c>
      <c r="D39" s="57" t="s">
        <v>288</v>
      </c>
      <c r="E39" s="58">
        <v>868.80799999999999</v>
      </c>
      <c r="F39" s="58">
        <v>1762.818</v>
      </c>
      <c r="G39" s="26" t="s">
        <v>289</v>
      </c>
      <c r="H39" s="62">
        <v>868.80700000000002</v>
      </c>
      <c r="I39" s="62">
        <v>1762.9590000000001</v>
      </c>
      <c r="K39" s="61">
        <v>867.09</v>
      </c>
      <c r="L39" s="61">
        <v>1762.136</v>
      </c>
      <c r="N39">
        <f t="shared" si="0"/>
        <v>868.75448489525206</v>
      </c>
      <c r="O39">
        <f t="shared" si="1"/>
        <v>1761.860000036997</v>
      </c>
      <c r="P39">
        <f t="shared" si="2"/>
        <v>2.8466859460997984</v>
      </c>
      <c r="R39">
        <f t="shared" si="3"/>
        <v>868.75348489525209</v>
      </c>
      <c r="S39">
        <f t="shared" si="4"/>
        <v>1762.0010000369971</v>
      </c>
      <c r="T39">
        <f t="shared" si="5"/>
        <v>2.785406986742518</v>
      </c>
    </row>
    <row r="40" spans="1:20" x14ac:dyDescent="0.25">
      <c r="A40" t="s">
        <v>287</v>
      </c>
      <c r="B40">
        <v>260.68236000000002</v>
      </c>
      <c r="C40">
        <v>-10.063750000000001</v>
      </c>
      <c r="D40" s="57" t="s">
        <v>288</v>
      </c>
      <c r="E40" s="58">
        <v>821.96699999999998</v>
      </c>
      <c r="F40" s="58">
        <v>566.87599999999998</v>
      </c>
      <c r="G40" s="26" t="s">
        <v>289</v>
      </c>
      <c r="H40" s="62">
        <v>821.96799999999996</v>
      </c>
      <c r="I40" s="62">
        <v>567.02099999999996</v>
      </c>
      <c r="K40" s="61">
        <v>820.61599999999999</v>
      </c>
      <c r="L40" s="61">
        <v>565.41499999999996</v>
      </c>
      <c r="N40">
        <f t="shared" si="0"/>
        <v>821.91348489525205</v>
      </c>
      <c r="O40">
        <f t="shared" si="1"/>
        <v>565.91800003699711</v>
      </c>
      <c r="P40">
        <f t="shared" si="2"/>
        <v>1.9364760906264067</v>
      </c>
      <c r="R40">
        <f t="shared" si="3"/>
        <v>821.91448489525203</v>
      </c>
      <c r="S40">
        <f t="shared" si="4"/>
        <v>566.0630000369971</v>
      </c>
      <c r="T40">
        <f t="shared" si="5"/>
        <v>2.1059670711459995</v>
      </c>
    </row>
    <row r="41" spans="1:20" x14ac:dyDescent="0.25">
      <c r="A41" t="s">
        <v>287</v>
      </c>
      <c r="B41">
        <v>260.6979</v>
      </c>
      <c r="C41">
        <v>-10.04453</v>
      </c>
      <c r="D41" s="57" t="s">
        <v>288</v>
      </c>
      <c r="E41" s="58">
        <v>739.26300000000003</v>
      </c>
      <c r="F41" s="58">
        <v>467.02600000000001</v>
      </c>
      <c r="G41" s="26" t="s">
        <v>289</v>
      </c>
      <c r="H41" s="62">
        <v>739.26300000000003</v>
      </c>
      <c r="I41" s="62">
        <v>467.20600000000002</v>
      </c>
      <c r="K41" s="61">
        <v>737.25599999999997</v>
      </c>
      <c r="L41" s="61">
        <v>465.096</v>
      </c>
      <c r="N41">
        <f t="shared" si="0"/>
        <v>739.2094848952521</v>
      </c>
      <c r="O41">
        <f t="shared" si="1"/>
        <v>466.06800003699709</v>
      </c>
      <c r="P41">
        <f t="shared" si="2"/>
        <v>4.7608873079005711</v>
      </c>
      <c r="R41">
        <f t="shared" si="3"/>
        <v>739.2094848952521</v>
      </c>
      <c r="S41">
        <f t="shared" si="4"/>
        <v>466.2480000369971</v>
      </c>
      <c r="T41">
        <f t="shared" si="5"/>
        <v>5.1432073212195384</v>
      </c>
    </row>
    <row r="42" spans="1:20" x14ac:dyDescent="0.25">
      <c r="A42" t="s">
        <v>287</v>
      </c>
      <c r="B42">
        <v>260.70353999999998</v>
      </c>
      <c r="C42">
        <v>-10.03209</v>
      </c>
      <c r="D42" s="57" t="s">
        <v>288</v>
      </c>
      <c r="E42" s="58">
        <v>708.7</v>
      </c>
      <c r="F42" s="58">
        <v>401.99</v>
      </c>
      <c r="G42" s="26" t="s">
        <v>289</v>
      </c>
      <c r="H42" s="62">
        <v>708.7</v>
      </c>
      <c r="I42" s="62">
        <v>402.18299999999999</v>
      </c>
      <c r="K42" s="61">
        <v>706.27099999999996</v>
      </c>
      <c r="L42" s="61">
        <v>399.74900000000002</v>
      </c>
      <c r="N42">
        <f t="shared" si="0"/>
        <v>708.64648489525212</v>
      </c>
      <c r="O42">
        <f t="shared" si="1"/>
        <v>401.03200003699709</v>
      </c>
      <c r="P42">
        <f t="shared" si="2"/>
        <v>7.2890175825056245</v>
      </c>
      <c r="R42">
        <f t="shared" si="3"/>
        <v>708.64648489525212</v>
      </c>
      <c r="S42">
        <f t="shared" si="4"/>
        <v>401.22500003699707</v>
      </c>
      <c r="T42">
        <f t="shared" si="5"/>
        <v>7.8215045967864434</v>
      </c>
    </row>
    <row r="43" spans="1:20" x14ac:dyDescent="0.25">
      <c r="A43" t="s">
        <v>287</v>
      </c>
      <c r="B43">
        <v>260.71064000000001</v>
      </c>
      <c r="C43">
        <v>-10.26004</v>
      </c>
      <c r="D43" s="57" t="s">
        <v>288</v>
      </c>
      <c r="E43" s="58">
        <v>696.41099999999994</v>
      </c>
      <c r="F43" s="58">
        <v>1605.7750000000001</v>
      </c>
      <c r="G43" s="26" t="s">
        <v>289</v>
      </c>
      <c r="H43" s="62">
        <v>696.41200000000003</v>
      </c>
      <c r="I43" s="62">
        <v>1605.992</v>
      </c>
      <c r="K43" s="61">
        <v>693.87099999999998</v>
      </c>
      <c r="L43" s="61">
        <v>1605.0640000000001</v>
      </c>
      <c r="N43">
        <f t="shared" si="0"/>
        <v>696.35748489525201</v>
      </c>
      <c r="O43">
        <f t="shared" si="1"/>
        <v>1604.8170000369971</v>
      </c>
      <c r="P43">
        <f t="shared" si="2"/>
        <v>6.2436161160399806</v>
      </c>
      <c r="R43">
        <f t="shared" si="3"/>
        <v>696.3584848952521</v>
      </c>
      <c r="S43">
        <f t="shared" si="4"/>
        <v>1605.034000036997</v>
      </c>
      <c r="T43">
        <f t="shared" si="5"/>
        <v>6.1884811018876542</v>
      </c>
    </row>
    <row r="44" spans="1:20" x14ac:dyDescent="0.25">
      <c r="A44" t="s">
        <v>287</v>
      </c>
      <c r="B44">
        <v>260.72012999999998</v>
      </c>
      <c r="C44">
        <v>-10.039</v>
      </c>
      <c r="D44" s="57" t="s">
        <v>288</v>
      </c>
      <c r="E44" s="58">
        <v>623.32899999999995</v>
      </c>
      <c r="F44" s="58">
        <v>440.17200000000003</v>
      </c>
      <c r="G44" s="26" t="s">
        <v>289</v>
      </c>
      <c r="H44" s="62">
        <v>623.33000000000004</v>
      </c>
      <c r="I44" s="62">
        <v>440.40899999999999</v>
      </c>
      <c r="K44" s="61">
        <v>620.69799999999998</v>
      </c>
      <c r="L44" s="61">
        <v>437.82799999999997</v>
      </c>
      <c r="N44">
        <f t="shared" si="0"/>
        <v>623.27548489525202</v>
      </c>
      <c r="O44">
        <f t="shared" si="1"/>
        <v>439.21400003699711</v>
      </c>
      <c r="P44">
        <f t="shared" si="2"/>
        <v>8.564424487808477</v>
      </c>
      <c r="R44">
        <f t="shared" si="3"/>
        <v>623.27648489525211</v>
      </c>
      <c r="S44">
        <f t="shared" si="4"/>
        <v>439.45100003699707</v>
      </c>
      <c r="T44">
        <f t="shared" si="5"/>
        <v>9.2827134751359779</v>
      </c>
    </row>
    <row r="45" spans="1:20" x14ac:dyDescent="0.25">
      <c r="A45" t="s">
        <v>287</v>
      </c>
      <c r="B45">
        <v>260.73136</v>
      </c>
      <c r="C45">
        <v>-10.05012</v>
      </c>
      <c r="D45" s="57" t="s">
        <v>288</v>
      </c>
      <c r="E45" s="58">
        <v>566.28399999999999</v>
      </c>
      <c r="F45" s="58">
        <v>500.02100000000002</v>
      </c>
      <c r="G45" s="26" t="s">
        <v>289</v>
      </c>
      <c r="H45" s="62">
        <v>566.28499999999997</v>
      </c>
      <c r="I45" s="62">
        <v>500.291</v>
      </c>
      <c r="K45" s="61">
        <v>563.21500000000003</v>
      </c>
      <c r="L45" s="61">
        <v>497.75900000000001</v>
      </c>
      <c r="N45">
        <f t="shared" si="0"/>
        <v>566.23048489525206</v>
      </c>
      <c r="O45">
        <f t="shared" si="1"/>
        <v>499.0630000369971</v>
      </c>
      <c r="P45">
        <f t="shared" si="2"/>
        <v>10.793565249981533</v>
      </c>
      <c r="R45">
        <f t="shared" si="3"/>
        <v>566.23148489525204</v>
      </c>
      <c r="S45">
        <f t="shared" si="4"/>
        <v>499.33300003699708</v>
      </c>
      <c r="T45">
        <f t="shared" si="5"/>
        <v>11.576657239750261</v>
      </c>
    </row>
    <row r="46" spans="1:20" x14ac:dyDescent="0.25">
      <c r="A46" t="s">
        <v>287</v>
      </c>
      <c r="B46">
        <v>260.80234000000002</v>
      </c>
      <c r="C46">
        <v>-9.9872099999999993</v>
      </c>
      <c r="D46" s="57" t="s">
        <v>288</v>
      </c>
      <c r="E46" s="58">
        <v>191.08699999999999</v>
      </c>
      <c r="F46" s="58">
        <v>175.35300000000001</v>
      </c>
      <c r="G46" s="26" t="s">
        <v>289</v>
      </c>
      <c r="H46" s="62">
        <v>191.083</v>
      </c>
      <c r="I46" s="62">
        <v>175.86500000000001</v>
      </c>
      <c r="K46" s="61">
        <v>182.61</v>
      </c>
      <c r="L46" s="61">
        <v>169.53</v>
      </c>
      <c r="N46">
        <f t="shared" si="0"/>
        <v>191.03348489525203</v>
      </c>
      <c r="O46">
        <f t="shared" si="1"/>
        <v>174.39500003699709</v>
      </c>
      <c r="P46">
        <f t="shared" si="2"/>
        <v>94.62332314052054</v>
      </c>
      <c r="R46">
        <f t="shared" si="3"/>
        <v>191.02948489525204</v>
      </c>
      <c r="S46">
        <f t="shared" si="4"/>
        <v>174.90700003699709</v>
      </c>
      <c r="T46">
        <f t="shared" si="5"/>
        <v>99.799855299243717</v>
      </c>
    </row>
    <row r="47" spans="1:20" x14ac:dyDescent="0.25">
      <c r="A47" t="s">
        <v>287</v>
      </c>
      <c r="B47">
        <v>260.81855000000002</v>
      </c>
      <c r="C47">
        <v>-9.9887999999999995</v>
      </c>
      <c r="D47" s="57" t="s">
        <v>288</v>
      </c>
      <c r="E47" s="58">
        <v>107.11799999999999</v>
      </c>
      <c r="F47" s="58">
        <v>185.45500000000001</v>
      </c>
      <c r="G47" s="26" t="s">
        <v>289</v>
      </c>
      <c r="H47" s="62">
        <v>107.114</v>
      </c>
      <c r="I47" s="62">
        <v>186.03399999999999</v>
      </c>
      <c r="K47" s="61">
        <v>97.198999999999998</v>
      </c>
      <c r="L47" s="61">
        <v>179.24799999999999</v>
      </c>
      <c r="N47">
        <f t="shared" si="0"/>
        <v>107.06448489525205</v>
      </c>
      <c r="O47">
        <f t="shared" si="1"/>
        <v>184.49700003699709</v>
      </c>
      <c r="P47">
        <f t="shared" si="2"/>
        <v>124.87979360684199</v>
      </c>
      <c r="R47">
        <f t="shared" si="3"/>
        <v>107.06048489525206</v>
      </c>
      <c r="S47">
        <f t="shared" si="4"/>
        <v>185.07600003699707</v>
      </c>
      <c r="T47">
        <f t="shared" si="5"/>
        <v>131.21446877052256</v>
      </c>
    </row>
    <row r="50" spans="1:12" x14ac:dyDescent="0.25">
      <c r="A50" t="s">
        <v>287</v>
      </c>
      <c r="B50">
        <v>260.23964999999998</v>
      </c>
      <c r="C50">
        <v>-10.24827</v>
      </c>
      <c r="D50" s="26" t="s">
        <v>288</v>
      </c>
      <c r="E50" s="46">
        <v>3137.4960000000001</v>
      </c>
      <c r="F50">
        <v>1494.771</v>
      </c>
      <c r="G50" s="26" t="s">
        <v>289</v>
      </c>
      <c r="H50" s="46">
        <v>3137.5279999999998</v>
      </c>
      <c r="I50">
        <v>1495.5319999999999</v>
      </c>
      <c r="K50" s="47"/>
      <c r="L50" s="47"/>
    </row>
    <row r="51" spans="1:12" x14ac:dyDescent="0.25">
      <c r="A51" t="s">
        <v>287</v>
      </c>
      <c r="B51">
        <v>260.50880000000001</v>
      </c>
      <c r="C51">
        <v>-10.348140000000001</v>
      </c>
      <c r="D51" s="26" t="s">
        <v>288</v>
      </c>
      <c r="E51">
        <v>1752.2729999999999</v>
      </c>
      <c r="F51" s="46">
        <v>2049.8090000000002</v>
      </c>
      <c r="G51" s="26" t="s">
        <v>289</v>
      </c>
      <c r="H51">
        <v>1752.2750000000001</v>
      </c>
      <c r="I51" s="46">
        <v>2049.8249999999998</v>
      </c>
      <c r="K51" s="47"/>
      <c r="L51" s="4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42EB-A36C-45B5-8BE4-CEBBA3DBAEC0}">
  <dimension ref="A1:P77"/>
  <sheetViews>
    <sheetView topLeftCell="A16" workbookViewId="0">
      <selection activeCell="P25" sqref="P25"/>
    </sheetView>
  </sheetViews>
  <sheetFormatPr defaultRowHeight="15.75" x14ac:dyDescent="0.25"/>
  <cols>
    <col min="1" max="1" width="10.875" customWidth="1"/>
    <col min="2" max="2" width="22.125" customWidth="1"/>
  </cols>
  <sheetData>
    <row r="1" spans="1:15" x14ac:dyDescent="0.25">
      <c r="A1" t="s">
        <v>118</v>
      </c>
    </row>
    <row r="3" spans="1:15" x14ac:dyDescent="0.25">
      <c r="A3" t="s">
        <v>138</v>
      </c>
    </row>
    <row r="5" spans="1:15" x14ac:dyDescent="0.25">
      <c r="A5" t="s">
        <v>220</v>
      </c>
      <c r="C5" t="s">
        <v>221</v>
      </c>
      <c r="D5" t="s">
        <v>222</v>
      </c>
    </row>
    <row r="9" spans="1:15" x14ac:dyDescent="0.25">
      <c r="A9" s="3" t="s">
        <v>139</v>
      </c>
      <c r="G9" s="3" t="s">
        <v>238</v>
      </c>
      <c r="O9" s="3" t="s">
        <v>217</v>
      </c>
    </row>
    <row r="10" spans="1:15" x14ac:dyDescent="0.25">
      <c r="A10" t="s">
        <v>119</v>
      </c>
      <c r="B10" s="22" t="s">
        <v>120</v>
      </c>
      <c r="G10" t="s">
        <v>119</v>
      </c>
      <c r="H10" t="s">
        <v>120</v>
      </c>
      <c r="O10" t="s">
        <v>218</v>
      </c>
    </row>
    <row r="11" spans="1:15" x14ac:dyDescent="0.25">
      <c r="A11" t="s">
        <v>121</v>
      </c>
      <c r="B11" s="22" t="s">
        <v>131</v>
      </c>
      <c r="G11" t="s">
        <v>121</v>
      </c>
      <c r="H11" s="22" t="s">
        <v>209</v>
      </c>
      <c r="O11" t="s">
        <v>219</v>
      </c>
    </row>
    <row r="12" spans="1:15" x14ac:dyDescent="0.25">
      <c r="A12" t="s">
        <v>122</v>
      </c>
      <c r="B12" s="22" t="s">
        <v>208</v>
      </c>
      <c r="G12" t="s">
        <v>122</v>
      </c>
      <c r="H12" s="22" t="s">
        <v>210</v>
      </c>
      <c r="O12" t="s">
        <v>219</v>
      </c>
    </row>
    <row r="13" spans="1:15" x14ac:dyDescent="0.25">
      <c r="A13" t="s">
        <v>123</v>
      </c>
      <c r="B13" s="22" t="s">
        <v>124</v>
      </c>
      <c r="G13" t="s">
        <v>123</v>
      </c>
      <c r="H13" t="s">
        <v>124</v>
      </c>
      <c r="O13" t="s">
        <v>219</v>
      </c>
    </row>
    <row r="14" spans="1:15" x14ac:dyDescent="0.25">
      <c r="A14" t="s">
        <v>125</v>
      </c>
      <c r="B14" s="22" t="s">
        <v>132</v>
      </c>
      <c r="G14" t="s">
        <v>125</v>
      </c>
      <c r="H14" s="22" t="s">
        <v>211</v>
      </c>
      <c r="O14" t="s">
        <v>219</v>
      </c>
    </row>
    <row r="15" spans="1:15" x14ac:dyDescent="0.25">
      <c r="A15" t="s">
        <v>126</v>
      </c>
      <c r="B15" s="22" t="s">
        <v>133</v>
      </c>
      <c r="G15" t="s">
        <v>126</v>
      </c>
      <c r="H15" s="22" t="s">
        <v>212</v>
      </c>
      <c r="O15" t="s">
        <v>219</v>
      </c>
    </row>
    <row r="16" spans="1:15" x14ac:dyDescent="0.25">
      <c r="A16" t="s">
        <v>127</v>
      </c>
      <c r="B16" s="22" t="s">
        <v>134</v>
      </c>
      <c r="G16" t="s">
        <v>127</v>
      </c>
      <c r="H16" s="22" t="s">
        <v>213</v>
      </c>
      <c r="O16" t="s">
        <v>219</v>
      </c>
    </row>
    <row r="17" spans="1:16" x14ac:dyDescent="0.25">
      <c r="A17" t="s">
        <v>128</v>
      </c>
      <c r="B17" s="22" t="s">
        <v>135</v>
      </c>
      <c r="G17" t="s">
        <v>128</v>
      </c>
      <c r="H17" s="22" t="s">
        <v>214</v>
      </c>
      <c r="O17" t="s">
        <v>219</v>
      </c>
    </row>
    <row r="18" spans="1:16" x14ac:dyDescent="0.25">
      <c r="A18" t="s">
        <v>129</v>
      </c>
      <c r="B18" s="22" t="s">
        <v>136</v>
      </c>
      <c r="G18" t="s">
        <v>129</v>
      </c>
      <c r="H18" s="22" t="s">
        <v>215</v>
      </c>
      <c r="O18" t="s">
        <v>219</v>
      </c>
    </row>
    <row r="19" spans="1:16" x14ac:dyDescent="0.25">
      <c r="A19" t="s">
        <v>130</v>
      </c>
      <c r="B19" s="22" t="s">
        <v>137</v>
      </c>
      <c r="G19" t="s">
        <v>130</v>
      </c>
      <c r="H19" s="22" t="s">
        <v>216</v>
      </c>
      <c r="O19" t="s">
        <v>219</v>
      </c>
    </row>
    <row r="20" spans="1:16" x14ac:dyDescent="0.25">
      <c r="B20" s="22"/>
    </row>
    <row r="22" spans="1:16" x14ac:dyDescent="0.25">
      <c r="A22" s="3" t="s">
        <v>144</v>
      </c>
      <c r="G22" s="3" t="s">
        <v>239</v>
      </c>
    </row>
    <row r="23" spans="1:16" x14ac:dyDescent="0.25">
      <c r="A23" t="s">
        <v>140</v>
      </c>
    </row>
    <row r="24" spans="1:16" x14ac:dyDescent="0.25">
      <c r="A24" t="s">
        <v>141</v>
      </c>
      <c r="P24">
        <f>0.00018913186/0.0001899647</f>
        <v>0.99561581704390334</v>
      </c>
    </row>
    <row r="25" spans="1:16" x14ac:dyDescent="0.25">
      <c r="A25" t="s">
        <v>142</v>
      </c>
    </row>
    <row r="26" spans="1:16" x14ac:dyDescent="0.25">
      <c r="A26" t="s">
        <v>143</v>
      </c>
    </row>
    <row r="27" spans="1:16" x14ac:dyDescent="0.25">
      <c r="A27" s="22" t="s">
        <v>119</v>
      </c>
      <c r="B27" t="s">
        <v>145</v>
      </c>
      <c r="G27" t="s">
        <v>119</v>
      </c>
      <c r="H27" t="s">
        <v>223</v>
      </c>
    </row>
    <row r="28" spans="1:16" x14ac:dyDescent="0.25">
      <c r="A28" t="s">
        <v>121</v>
      </c>
      <c r="B28" s="23" t="s">
        <v>192</v>
      </c>
      <c r="G28" t="s">
        <v>121</v>
      </c>
      <c r="H28" s="22" t="s">
        <v>227</v>
      </c>
    </row>
    <row r="29" spans="1:16" x14ac:dyDescent="0.25">
      <c r="A29" t="s">
        <v>122</v>
      </c>
      <c r="B29" s="23" t="s">
        <v>193</v>
      </c>
      <c r="G29" t="s">
        <v>122</v>
      </c>
      <c r="H29" s="22" t="s">
        <v>228</v>
      </c>
    </row>
    <row r="30" spans="1:16" x14ac:dyDescent="0.25">
      <c r="A30" t="s">
        <v>123</v>
      </c>
      <c r="B30" t="s">
        <v>146</v>
      </c>
      <c r="G30" t="s">
        <v>123</v>
      </c>
      <c r="H30" s="22" t="s">
        <v>232</v>
      </c>
    </row>
    <row r="31" spans="1:16" x14ac:dyDescent="0.25">
      <c r="A31" t="s">
        <v>125</v>
      </c>
      <c r="B31" s="23" t="s">
        <v>194</v>
      </c>
      <c r="G31" t="s">
        <v>125</v>
      </c>
      <c r="H31" s="22" t="s">
        <v>233</v>
      </c>
    </row>
    <row r="32" spans="1:16" x14ac:dyDescent="0.25">
      <c r="A32" t="s">
        <v>126</v>
      </c>
      <c r="B32" s="22" t="s">
        <v>195</v>
      </c>
      <c r="G32" t="s">
        <v>126</v>
      </c>
      <c r="H32" s="22" t="s">
        <v>234</v>
      </c>
    </row>
    <row r="33" spans="1:14" x14ac:dyDescent="0.25">
      <c r="A33" t="s">
        <v>147</v>
      </c>
      <c r="B33" s="22" t="s">
        <v>196</v>
      </c>
    </row>
    <row r="34" spans="1:14" x14ac:dyDescent="0.25">
      <c r="A34" t="s">
        <v>148</v>
      </c>
      <c r="B34" s="22" t="s">
        <v>197</v>
      </c>
    </row>
    <row r="35" spans="1:14" x14ac:dyDescent="0.25">
      <c r="A35" t="s">
        <v>149</v>
      </c>
      <c r="B35" t="s">
        <v>150</v>
      </c>
    </row>
    <row r="36" spans="1:14" x14ac:dyDescent="0.25">
      <c r="A36" t="s">
        <v>151</v>
      </c>
      <c r="B36" t="s">
        <v>152</v>
      </c>
    </row>
    <row r="37" spans="1:14" x14ac:dyDescent="0.25">
      <c r="A37" t="s">
        <v>153</v>
      </c>
      <c r="B37" s="22" t="s">
        <v>198</v>
      </c>
    </row>
    <row r="38" spans="1:14" x14ac:dyDescent="0.25">
      <c r="A38" t="s">
        <v>154</v>
      </c>
      <c r="B38" s="22" t="s">
        <v>199</v>
      </c>
    </row>
    <row r="39" spans="1:14" x14ac:dyDescent="0.25">
      <c r="A39" t="s">
        <v>155</v>
      </c>
      <c r="B39" s="22" t="s">
        <v>200</v>
      </c>
      <c r="G39" t="s">
        <v>155</v>
      </c>
      <c r="H39" s="22" t="s">
        <v>229</v>
      </c>
    </row>
    <row r="40" spans="1:14" x14ac:dyDescent="0.25">
      <c r="A40" t="s">
        <v>156</v>
      </c>
      <c r="B40" s="22" t="s">
        <v>201</v>
      </c>
      <c r="G40" t="s">
        <v>156</v>
      </c>
      <c r="H40" s="22" t="s">
        <v>230</v>
      </c>
    </row>
    <row r="41" spans="1:14" x14ac:dyDescent="0.25">
      <c r="A41" t="s">
        <v>157</v>
      </c>
      <c r="B41" s="22" t="s">
        <v>202</v>
      </c>
      <c r="G41" t="s">
        <v>157</v>
      </c>
      <c r="H41" s="22" t="s">
        <v>235</v>
      </c>
    </row>
    <row r="42" spans="1:14" x14ac:dyDescent="0.25">
      <c r="A42" t="s">
        <v>158</v>
      </c>
      <c r="B42" s="22" t="s">
        <v>203</v>
      </c>
      <c r="G42" t="s">
        <v>158</v>
      </c>
      <c r="H42" s="22" t="s">
        <v>230</v>
      </c>
    </row>
    <row r="43" spans="1:14" x14ac:dyDescent="0.25">
      <c r="A43" t="s">
        <v>127</v>
      </c>
      <c r="B43" s="22" t="s">
        <v>204</v>
      </c>
      <c r="G43" t="s">
        <v>127</v>
      </c>
      <c r="H43" s="22" t="s">
        <v>134</v>
      </c>
      <c r="N43" s="3" t="s">
        <v>237</v>
      </c>
    </row>
    <row r="44" spans="1:14" x14ac:dyDescent="0.25">
      <c r="A44" t="s">
        <v>128</v>
      </c>
      <c r="B44" s="22" t="s">
        <v>205</v>
      </c>
      <c r="G44" t="s">
        <v>128</v>
      </c>
      <c r="H44" s="22" t="s">
        <v>135</v>
      </c>
      <c r="N44" s="3" t="s">
        <v>237</v>
      </c>
    </row>
    <row r="45" spans="1:14" x14ac:dyDescent="0.25">
      <c r="A45" t="s">
        <v>129</v>
      </c>
      <c r="B45" s="22" t="s">
        <v>206</v>
      </c>
      <c r="G45" t="s">
        <v>129</v>
      </c>
      <c r="H45" s="22" t="s">
        <v>136</v>
      </c>
      <c r="N45" s="3" t="s">
        <v>237</v>
      </c>
    </row>
    <row r="46" spans="1:14" x14ac:dyDescent="0.25">
      <c r="A46" t="s">
        <v>130</v>
      </c>
      <c r="B46" s="22" t="s">
        <v>207</v>
      </c>
      <c r="G46" t="s">
        <v>130</v>
      </c>
      <c r="H46" s="22" t="s">
        <v>137</v>
      </c>
      <c r="N46" s="3" t="s">
        <v>237</v>
      </c>
    </row>
    <row r="47" spans="1:14" x14ac:dyDescent="0.25">
      <c r="A47" t="s">
        <v>159</v>
      </c>
      <c r="B47" t="s">
        <v>160</v>
      </c>
    </row>
    <row r="48" spans="1:14" x14ac:dyDescent="0.25">
      <c r="A48" t="s">
        <v>161</v>
      </c>
      <c r="B48">
        <f xml:space="preserve"> 3071.99999494</f>
        <v>3071.9999949399999</v>
      </c>
      <c r="G48" t="s">
        <v>224</v>
      </c>
      <c r="H48" s="22" t="s">
        <v>231</v>
      </c>
    </row>
    <row r="49" spans="1:8" x14ac:dyDescent="0.25">
      <c r="A49" t="s">
        <v>162</v>
      </c>
      <c r="B49">
        <f xml:space="preserve"> -0.169655921018</f>
        <v>-0.16965592101800001</v>
      </c>
      <c r="G49" t="s">
        <v>225</v>
      </c>
      <c r="H49" s="22" t="s">
        <v>231</v>
      </c>
    </row>
    <row r="50" spans="1:8" x14ac:dyDescent="0.25">
      <c r="A50" t="s">
        <v>163</v>
      </c>
      <c r="B50">
        <f xml:space="preserve"> 11.4617321238</f>
        <v>11.461732123799999</v>
      </c>
      <c r="G50" t="s">
        <v>226</v>
      </c>
      <c r="H50" s="22" t="s">
        <v>236</v>
      </c>
    </row>
    <row r="51" spans="1:8" x14ac:dyDescent="0.25">
      <c r="A51" t="s">
        <v>164</v>
      </c>
      <c r="B51">
        <f xml:space="preserve"> 1.63829519048</f>
        <v>1.6382951904800001</v>
      </c>
    </row>
    <row r="52" spans="1:8" x14ac:dyDescent="0.25">
      <c r="A52" t="s">
        <v>165</v>
      </c>
      <c r="B52">
        <f xml:space="preserve"> -2.53697992502</f>
        <v>-2.5369799250199998</v>
      </c>
    </row>
    <row r="53" spans="1:8" x14ac:dyDescent="0.25">
      <c r="A53" t="s">
        <v>166</v>
      </c>
      <c r="B53">
        <f xml:space="preserve"> -66.5141097005</f>
        <v>-66.514109700500001</v>
      </c>
    </row>
    <row r="54" spans="1:8" x14ac:dyDescent="0.25">
      <c r="A54" t="s">
        <v>167</v>
      </c>
      <c r="B54">
        <f xml:space="preserve"> 5.73936676522</f>
        <v>5.7393667652199998</v>
      </c>
    </row>
    <row r="55" spans="1:8" x14ac:dyDescent="0.25">
      <c r="A55" t="s">
        <v>168</v>
      </c>
      <c r="B55">
        <f xml:space="preserve"> -31.7211539446</f>
        <v>-31.721153944600001</v>
      </c>
    </row>
    <row r="56" spans="1:8" x14ac:dyDescent="0.25">
      <c r="A56" t="s">
        <v>169</v>
      </c>
      <c r="B56">
        <f xml:space="preserve"> 3.88603523737</f>
        <v>3.8860352373699998</v>
      </c>
    </row>
    <row r="57" spans="1:8" x14ac:dyDescent="0.25">
      <c r="A57" t="s">
        <v>170</v>
      </c>
      <c r="B57">
        <f xml:space="preserve"> -19.3076656908</f>
        <v>-19.3076656908</v>
      </c>
    </row>
    <row r="58" spans="1:8" x14ac:dyDescent="0.25">
      <c r="A58" t="s">
        <v>171</v>
      </c>
      <c r="B58">
        <f xml:space="preserve"> 3.30704345582</f>
        <v>3.3070434558200001</v>
      </c>
    </row>
    <row r="59" spans="1:8" x14ac:dyDescent="0.25">
      <c r="A59" t="s">
        <v>172</v>
      </c>
      <c r="B59">
        <f xml:space="preserve"> -13.8006492627</f>
        <v>-13.8006492627</v>
      </c>
    </row>
    <row r="60" spans="1:8" x14ac:dyDescent="0.25">
      <c r="A60" t="s">
        <v>173</v>
      </c>
      <c r="B60">
        <f xml:space="preserve"> 8.79930569353</f>
        <v>8.79930569353</v>
      </c>
    </row>
    <row r="61" spans="1:8" x14ac:dyDescent="0.25">
      <c r="A61" t="s">
        <v>174</v>
      </c>
      <c r="B61">
        <f xml:space="preserve"> 20.9085459261</f>
        <v>20.9085459261</v>
      </c>
    </row>
    <row r="62" spans="1:8" x14ac:dyDescent="0.25">
      <c r="A62" t="s">
        <v>175</v>
      </c>
      <c r="B62" t="s">
        <v>176</v>
      </c>
    </row>
    <row r="63" spans="1:8" x14ac:dyDescent="0.25">
      <c r="A63" t="s">
        <v>177</v>
      </c>
      <c r="B63">
        <f xml:space="preserve"> -0.00342339123055</f>
        <v>-3.4233912305500001E-3</v>
      </c>
    </row>
    <row r="64" spans="1:8" x14ac:dyDescent="0.25">
      <c r="A64" t="s">
        <v>178</v>
      </c>
      <c r="B64">
        <f xml:space="preserve"> 2047.00000057</f>
        <v>2047.0000005700001</v>
      </c>
    </row>
    <row r="65" spans="1:2" x14ac:dyDescent="0.25">
      <c r="A65" t="s">
        <v>179</v>
      </c>
      <c r="B65">
        <f xml:space="preserve"> -0.362197544035</f>
        <v>-0.36219754403499999</v>
      </c>
    </row>
    <row r="66" spans="1:2" x14ac:dyDescent="0.25">
      <c r="A66" t="s">
        <v>180</v>
      </c>
      <c r="B66">
        <f xml:space="preserve"> 2.64478903024</f>
        <v>2.6447890302400001</v>
      </c>
    </row>
    <row r="67" spans="1:2" x14ac:dyDescent="0.25">
      <c r="A67" t="s">
        <v>181</v>
      </c>
      <c r="B67">
        <f xml:space="preserve"> 5.82888488855</f>
        <v>5.8288848885500002</v>
      </c>
    </row>
    <row r="68" spans="1:2" x14ac:dyDescent="0.25">
      <c r="A68" t="s">
        <v>182</v>
      </c>
      <c r="B68">
        <f xml:space="preserve"> -0.440578782092</f>
        <v>-0.44057878209200002</v>
      </c>
    </row>
    <row r="69" spans="1:2" x14ac:dyDescent="0.25">
      <c r="A69" t="s">
        <v>183</v>
      </c>
      <c r="B69">
        <f xml:space="preserve"> -36.8759192293</f>
        <v>-36.875919229300003</v>
      </c>
    </row>
    <row r="70" spans="1:2" x14ac:dyDescent="0.25">
      <c r="A70" t="s">
        <v>184</v>
      </c>
      <c r="B70">
        <f xml:space="preserve"> -0.736542745914</f>
        <v>-0.73654274591400004</v>
      </c>
    </row>
    <row r="71" spans="1:2" x14ac:dyDescent="0.25">
      <c r="A71" t="s">
        <v>185</v>
      </c>
      <c r="B71">
        <f xml:space="preserve"> -24.3066477617</f>
        <v>-24.306647761699999</v>
      </c>
    </row>
    <row r="72" spans="1:2" x14ac:dyDescent="0.25">
      <c r="A72" t="s">
        <v>186</v>
      </c>
      <c r="B72">
        <f xml:space="preserve"> 8.45909335992</f>
        <v>8.4590933599200007</v>
      </c>
    </row>
    <row r="73" spans="1:2" x14ac:dyDescent="0.25">
      <c r="A73" t="s">
        <v>187</v>
      </c>
      <c r="B73">
        <f xml:space="preserve"> -14.8689505404</f>
        <v>-14.8689505404</v>
      </c>
    </row>
    <row r="74" spans="1:2" x14ac:dyDescent="0.25">
      <c r="A74" t="s">
        <v>188</v>
      </c>
      <c r="B74">
        <f xml:space="preserve"> -15.8793354855</f>
        <v>-15.8793354855</v>
      </c>
    </row>
    <row r="75" spans="1:2" x14ac:dyDescent="0.25">
      <c r="A75" t="s">
        <v>189</v>
      </c>
      <c r="B75">
        <f xml:space="preserve"> 9.4708176831</f>
        <v>9.4708176830999999</v>
      </c>
    </row>
    <row r="76" spans="1:2" x14ac:dyDescent="0.25">
      <c r="A76" t="s">
        <v>190</v>
      </c>
      <c r="B76">
        <f xml:space="preserve"> 0.81005660939</f>
        <v>0.81005660939000002</v>
      </c>
    </row>
    <row r="77" spans="1:2" x14ac:dyDescent="0.25">
      <c r="A77" t="s">
        <v>149</v>
      </c>
      <c r="B77" t="s">
        <v>191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C31E-4F42-400C-BEC0-B0667CD91B69}">
  <dimension ref="A5:Z62"/>
  <sheetViews>
    <sheetView workbookViewId="0">
      <selection activeCell="D31" sqref="D31"/>
    </sheetView>
  </sheetViews>
  <sheetFormatPr defaultRowHeight="15.75" x14ac:dyDescent="0.25"/>
  <cols>
    <col min="1" max="1" width="22.625" customWidth="1"/>
    <col min="2" max="3" width="12" customWidth="1"/>
    <col min="4" max="4" width="3.875" customWidth="1"/>
    <col min="6" max="6" width="14" customWidth="1"/>
    <col min="7" max="7" width="3.375" customWidth="1"/>
    <col min="10" max="10" width="3.625" customWidth="1"/>
    <col min="11" max="12" width="10.5" customWidth="1"/>
    <col min="13" max="13" width="3.125" customWidth="1"/>
    <col min="14" max="15" width="9.875" style="36" customWidth="1"/>
    <col min="16" max="16" width="3.625" customWidth="1"/>
    <col min="17" max="18" width="8.375" customWidth="1"/>
    <col min="19" max="19" width="4" customWidth="1"/>
    <col min="22" max="22" width="3.875" customWidth="1"/>
    <col min="25" max="25" width="3.125" customWidth="1"/>
    <col min="26" max="26" width="11.5" style="39" customWidth="1"/>
  </cols>
  <sheetData>
    <row r="5" spans="1:26" ht="16.5" thickBot="1" x14ac:dyDescent="0.3">
      <c r="A5" t="s">
        <v>249</v>
      </c>
      <c r="E5" s="26" t="s">
        <v>250</v>
      </c>
      <c r="F5" s="23" t="s">
        <v>261</v>
      </c>
      <c r="L5" s="26" t="s">
        <v>265</v>
      </c>
    </row>
    <row r="6" spans="1:26" x14ac:dyDescent="0.25">
      <c r="A6" s="26" t="s">
        <v>251</v>
      </c>
      <c r="B6" s="42">
        <v>260.63474837299998</v>
      </c>
      <c r="C6" s="42">
        <v>260.63474837299998</v>
      </c>
      <c r="E6" s="26" t="s">
        <v>251</v>
      </c>
      <c r="F6" s="31">
        <v>260.63459999999998</v>
      </c>
      <c r="G6" t="s">
        <v>266</v>
      </c>
    </row>
    <row r="7" spans="1:26" x14ac:dyDescent="0.25">
      <c r="A7" s="26" t="s">
        <v>252</v>
      </c>
      <c r="B7" s="42">
        <v>1536</v>
      </c>
      <c r="C7" s="42">
        <v>1536</v>
      </c>
      <c r="E7" s="32" t="s">
        <v>252</v>
      </c>
      <c r="F7" s="33">
        <v>1537</v>
      </c>
      <c r="G7" t="s">
        <v>267</v>
      </c>
    </row>
    <row r="8" spans="1:26" x14ac:dyDescent="0.25">
      <c r="A8" s="26" t="s">
        <v>253</v>
      </c>
      <c r="B8" s="42">
        <v>-9.8525277248599998</v>
      </c>
      <c r="C8" s="42">
        <v>-9.8525277248599998</v>
      </c>
      <c r="E8" s="26" t="s">
        <v>253</v>
      </c>
      <c r="F8" s="30">
        <v>-9.8526699999999998</v>
      </c>
      <c r="G8" t="s">
        <v>266</v>
      </c>
      <c r="K8" s="26" t="s">
        <v>255</v>
      </c>
      <c r="L8" s="27">
        <v>0</v>
      </c>
    </row>
    <row r="9" spans="1:26" x14ac:dyDescent="0.25">
      <c r="A9" s="26" t="s">
        <v>254</v>
      </c>
      <c r="B9" s="42">
        <v>1023.5</v>
      </c>
      <c r="C9" s="42">
        <v>1023.5</v>
      </c>
      <c r="E9" s="32" t="s">
        <v>254</v>
      </c>
      <c r="F9" s="33">
        <v>1024</v>
      </c>
      <c r="G9" t="s">
        <v>267</v>
      </c>
      <c r="K9" s="26" t="s">
        <v>256</v>
      </c>
      <c r="L9" s="27">
        <v>0</v>
      </c>
    </row>
    <row r="10" spans="1:26" x14ac:dyDescent="0.25">
      <c r="A10" s="26" t="s">
        <v>245</v>
      </c>
      <c r="B10" s="42">
        <v>-1.8900540345797261E-4</v>
      </c>
      <c r="C10" s="42">
        <v>-1.89629989363E-4</v>
      </c>
      <c r="E10" t="s">
        <v>286</v>
      </c>
      <c r="F10" s="41">
        <v>0</v>
      </c>
      <c r="G10" t="s">
        <v>266</v>
      </c>
      <c r="H10" t="s">
        <v>277</v>
      </c>
      <c r="K10" s="26" t="s">
        <v>257</v>
      </c>
      <c r="L10" s="27">
        <v>0</v>
      </c>
    </row>
    <row r="11" spans="1:26" ht="16.5" thickBot="1" x14ac:dyDescent="0.3">
      <c r="A11" s="26" t="s">
        <v>246</v>
      </c>
      <c r="B11" s="42">
        <v>3.6746386470999999E-6</v>
      </c>
      <c r="C11" s="42">
        <v>3.6746386470999999E-6</v>
      </c>
      <c r="E11" s="34" t="s">
        <v>264</v>
      </c>
      <c r="F11" s="35">
        <v>0</v>
      </c>
      <c r="G11" t="s">
        <v>267</v>
      </c>
      <c r="K11" s="26" t="s">
        <v>258</v>
      </c>
      <c r="L11" s="27">
        <v>0</v>
      </c>
    </row>
    <row r="12" spans="1:26" x14ac:dyDescent="0.25">
      <c r="A12" s="26" t="s">
        <v>247</v>
      </c>
      <c r="B12" s="42">
        <v>-3.6757417935400001E-6</v>
      </c>
      <c r="C12" s="42">
        <v>-3.6757417935400001E-6</v>
      </c>
      <c r="E12" t="s">
        <v>279</v>
      </c>
      <c r="F12">
        <f>-1/3600</f>
        <v>-2.7777777777777778E-4</v>
      </c>
      <c r="H12">
        <f>F12*3600</f>
        <v>-1</v>
      </c>
      <c r="K12" s="26" t="s">
        <v>259</v>
      </c>
      <c r="L12" s="27">
        <v>0</v>
      </c>
      <c r="Z12" s="39" t="s">
        <v>276</v>
      </c>
    </row>
    <row r="13" spans="1:26" ht="16.5" thickBot="1" x14ac:dyDescent="0.3">
      <c r="A13" s="26" t="s">
        <v>248</v>
      </c>
      <c r="B13" s="42">
        <v>-1.8925632491502864E-4</v>
      </c>
      <c r="C13" s="42">
        <v>-1.8957307849700001E-4</v>
      </c>
      <c r="E13" t="s">
        <v>280</v>
      </c>
      <c r="F13">
        <f>-1/3600</f>
        <v>-2.7777777777777778E-4</v>
      </c>
      <c r="H13">
        <f>F13*3600</f>
        <v>-1</v>
      </c>
      <c r="K13" s="26" t="s">
        <v>260</v>
      </c>
      <c r="L13" s="28">
        <v>0</v>
      </c>
      <c r="Z13" s="39">
        <f>SUM($Z$18:$Z$44)</f>
        <v>17.11612001473533</v>
      </c>
    </row>
    <row r="14" spans="1:26" x14ac:dyDescent="0.25">
      <c r="C14" t="s">
        <v>281</v>
      </c>
    </row>
    <row r="16" spans="1:26" ht="16.5" thickBot="1" x14ac:dyDescent="0.3">
      <c r="A16" s="24" t="s">
        <v>244</v>
      </c>
      <c r="B16" s="24" t="s">
        <v>242</v>
      </c>
      <c r="C16" s="24"/>
      <c r="E16" s="24" t="s">
        <v>283</v>
      </c>
      <c r="F16" s="24"/>
      <c r="H16" s="24" t="s">
        <v>243</v>
      </c>
      <c r="I16" s="24"/>
      <c r="K16" s="24" t="s">
        <v>268</v>
      </c>
      <c r="L16" s="24"/>
      <c r="N16" s="37" t="s">
        <v>270</v>
      </c>
      <c r="O16" s="37"/>
      <c r="Q16" s="24" t="s">
        <v>284</v>
      </c>
      <c r="R16" s="24"/>
      <c r="T16" s="24" t="s">
        <v>285</v>
      </c>
      <c r="U16" s="24"/>
      <c r="V16" s="43"/>
      <c r="W16" s="24" t="s">
        <v>282</v>
      </c>
      <c r="X16" s="24"/>
      <c r="Z16" s="40" t="s">
        <v>275</v>
      </c>
    </row>
    <row r="17" spans="1:26" x14ac:dyDescent="0.25">
      <c r="A17" s="7">
        <v>20200808</v>
      </c>
      <c r="B17" s="7" t="s">
        <v>221</v>
      </c>
      <c r="C17" s="7" t="s">
        <v>222</v>
      </c>
      <c r="D17" s="7"/>
      <c r="E17" s="7" t="s">
        <v>271</v>
      </c>
      <c r="F17" s="7" t="s">
        <v>87</v>
      </c>
      <c r="H17" s="7" t="s">
        <v>271</v>
      </c>
      <c r="I17" s="7" t="s">
        <v>87</v>
      </c>
      <c r="K17" s="7" t="s">
        <v>271</v>
      </c>
      <c r="L17" s="7" t="s">
        <v>87</v>
      </c>
      <c r="N17" s="38" t="s">
        <v>272</v>
      </c>
      <c r="O17" s="38" t="s">
        <v>273</v>
      </c>
      <c r="Q17" s="38" t="s">
        <v>272</v>
      </c>
      <c r="R17" s="38" t="s">
        <v>273</v>
      </c>
      <c r="T17" s="38" t="s">
        <v>272</v>
      </c>
      <c r="U17" s="38" t="s">
        <v>273</v>
      </c>
      <c r="V17" s="38"/>
      <c r="W17" s="38" t="s">
        <v>272</v>
      </c>
      <c r="X17" s="38" t="s">
        <v>273</v>
      </c>
      <c r="Z17" s="39" t="s">
        <v>274</v>
      </c>
    </row>
    <row r="18" spans="1:26" x14ac:dyDescent="0.25">
      <c r="A18" t="s">
        <v>240</v>
      </c>
      <c r="B18">
        <v>260.36417999999998</v>
      </c>
      <c r="C18">
        <v>-9.8164300000000004</v>
      </c>
      <c r="D18" t="s">
        <v>241</v>
      </c>
      <c r="E18">
        <v>2936.7310000000002</v>
      </c>
      <c r="F18">
        <v>804.88499999999999</v>
      </c>
      <c r="H18">
        <v>2941.85</v>
      </c>
      <c r="I18">
        <v>804.5</v>
      </c>
      <c r="K18" s="29">
        <f>H18-$F$7</f>
        <v>1404.85</v>
      </c>
      <c r="L18" s="29">
        <f>I18-$F$9</f>
        <v>-219.5</v>
      </c>
      <c r="N18" s="36">
        <f>$F$6+($B$10*K18+$B$11*L18)/COS(O18*PI()/180)</f>
        <v>260.36431201353867</v>
      </c>
      <c r="O18" s="36">
        <f>$F$8+$B$12*K18+$B$13*L18</f>
        <v>-9.8162921025398067</v>
      </c>
      <c r="Q18">
        <f>($F$10/3600)*(K18/1024)^4</f>
        <v>0</v>
      </c>
      <c r="R18">
        <f>($F$10/3600)*(L18/1024)^4</f>
        <v>0</v>
      </c>
      <c r="T18" s="36">
        <f>N18+Q18+$F$12</f>
        <v>260.36403423576087</v>
      </c>
      <c r="U18" s="36">
        <f>O18+R18+$F$13</f>
        <v>-9.8165698803175836</v>
      </c>
      <c r="V18" s="36"/>
      <c r="W18" s="36">
        <f>3600*(B18-T18)</f>
        <v>0.5247512607866156</v>
      </c>
      <c r="X18" s="36">
        <f>3600*(C18-U18)</f>
        <v>0.50356914329938718</v>
      </c>
      <c r="Z18" s="39">
        <f>W18^2+X18^2</f>
        <v>0.52894576778042146</v>
      </c>
    </row>
    <row r="19" spans="1:26" x14ac:dyDescent="0.25">
      <c r="A19" t="s">
        <v>240</v>
      </c>
      <c r="B19">
        <v>260.37542000000002</v>
      </c>
      <c r="C19">
        <v>-9.8685700000000001</v>
      </c>
      <c r="D19" t="s">
        <v>241</v>
      </c>
      <c r="E19">
        <v>2883.4720000000002</v>
      </c>
      <c r="F19">
        <v>1080.979</v>
      </c>
      <c r="H19">
        <v>2887.63</v>
      </c>
      <c r="I19">
        <v>1081.32</v>
      </c>
      <c r="K19" s="29">
        <f t="shared" ref="K19:K44" si="0">H19-$F$7</f>
        <v>1350.63</v>
      </c>
      <c r="L19" s="29">
        <f t="shared" ref="L19:L44" si="1">I19-$F$9</f>
        <v>57.319999999999936</v>
      </c>
      <c r="N19" s="36">
        <f t="shared" ref="N19:N44" si="2">$F$6+($B$10*K19+$B$11*L19)/COS(O19*PI()/180)</f>
        <v>260.37570356634035</v>
      </c>
      <c r="O19" s="36">
        <f t="shared" ref="O19:O44" si="3">$F$8+$B$12*K19+$B$13*L19</f>
        <v>-9.8684827396827384</v>
      </c>
      <c r="Q19">
        <f t="shared" ref="Q19:Q44" si="4">($F$10/3600)*(K19/1024)^4</f>
        <v>0</v>
      </c>
      <c r="R19">
        <f t="shared" ref="R19:R44" si="5">($F$10/3600)*(L19/1024)^4</f>
        <v>0</v>
      </c>
      <c r="T19" s="36">
        <f t="shared" ref="T19:T44" si="6">N19+Q19+$F$12</f>
        <v>260.37542578856255</v>
      </c>
      <c r="U19" s="36">
        <f t="shared" ref="U19:U44" si="7">O19+R19+$F$13</f>
        <v>-9.8687605174605153</v>
      </c>
      <c r="V19" s="36"/>
      <c r="W19" s="36">
        <f t="shared" ref="W19:W44" si="8">3600*(B19-T19)</f>
        <v>-2.083882511669799E-2</v>
      </c>
      <c r="X19" s="36">
        <f t="shared" ref="X19:X44" si="9">3600*(C19-U19)</f>
        <v>0.68586285785485757</v>
      </c>
      <c r="Z19" s="39">
        <f t="shared" ref="Z19:Z44" si="10">W19^2+X19^2</f>
        <v>0.47084211641707691</v>
      </c>
    </row>
    <row r="20" spans="1:26" x14ac:dyDescent="0.25">
      <c r="A20" t="s">
        <v>240</v>
      </c>
      <c r="B20">
        <v>260.40165000000002</v>
      </c>
      <c r="C20">
        <v>-9.9108099999999997</v>
      </c>
      <c r="D20" t="s">
        <v>241</v>
      </c>
      <c r="E20">
        <v>2751.3620000000001</v>
      </c>
      <c r="F20">
        <v>1306.3409999999999</v>
      </c>
      <c r="H20">
        <v>2754.34</v>
      </c>
      <c r="I20">
        <v>1307.21</v>
      </c>
      <c r="K20" s="29">
        <f t="shared" si="0"/>
        <v>1217.3400000000001</v>
      </c>
      <c r="L20" s="29">
        <f t="shared" si="1"/>
        <v>283.21000000000004</v>
      </c>
      <c r="N20" s="36">
        <f t="shared" si="2"/>
        <v>260.40208708240272</v>
      </c>
      <c r="O20" s="36">
        <f t="shared" si="3"/>
        <v>-9.9107439112941336</v>
      </c>
      <c r="Q20">
        <f t="shared" si="4"/>
        <v>0</v>
      </c>
      <c r="R20">
        <f t="shared" si="5"/>
        <v>0</v>
      </c>
      <c r="T20" s="36">
        <f t="shared" si="6"/>
        <v>260.40180930462492</v>
      </c>
      <c r="U20" s="36">
        <f t="shared" si="7"/>
        <v>-9.9110216890719105</v>
      </c>
      <c r="V20" s="36"/>
      <c r="W20" s="36">
        <f t="shared" si="8"/>
        <v>-0.57349664964476688</v>
      </c>
      <c r="X20" s="36">
        <f t="shared" si="9"/>
        <v>0.76208065887897192</v>
      </c>
      <c r="Z20" s="39">
        <f t="shared" si="10"/>
        <v>0.90966533779118042</v>
      </c>
    </row>
    <row r="21" spans="1:26" x14ac:dyDescent="0.25">
      <c r="A21" t="s">
        <v>240</v>
      </c>
      <c r="B21">
        <v>260.46395000000001</v>
      </c>
      <c r="C21">
        <v>-9.7434399999999997</v>
      </c>
      <c r="D21" t="s">
        <v>241</v>
      </c>
      <c r="E21">
        <v>2411.1999999999998</v>
      </c>
      <c r="F21">
        <v>430.08499999999998</v>
      </c>
      <c r="H21">
        <v>2413.15</v>
      </c>
      <c r="I21">
        <v>428.82</v>
      </c>
      <c r="K21" s="29">
        <f t="shared" si="0"/>
        <v>876.15000000000009</v>
      </c>
      <c r="L21" s="29">
        <f t="shared" si="1"/>
        <v>-595.18000000000006</v>
      </c>
      <c r="N21" s="36">
        <f t="shared" si="2"/>
        <v>260.4643603081077</v>
      </c>
      <c r="O21" s="36">
        <f t="shared" si="3"/>
        <v>-9.7432489217094833</v>
      </c>
      <c r="Q21">
        <f t="shared" si="4"/>
        <v>0</v>
      </c>
      <c r="R21">
        <f t="shared" si="5"/>
        <v>0</v>
      </c>
      <c r="T21" s="36">
        <f t="shared" si="6"/>
        <v>260.4640825303299</v>
      </c>
      <c r="U21" s="36">
        <f t="shared" si="7"/>
        <v>-9.7435266994872602</v>
      </c>
      <c r="V21" s="36"/>
      <c r="W21" s="36">
        <f t="shared" si="8"/>
        <v>-0.47710918761367793</v>
      </c>
      <c r="X21" s="36">
        <f t="shared" si="9"/>
        <v>0.31211815413811905</v>
      </c>
      <c r="Z21" s="39">
        <f t="shared" si="10"/>
        <v>0.32505091904797034</v>
      </c>
    </row>
    <row r="22" spans="1:26" x14ac:dyDescent="0.25">
      <c r="A22" t="s">
        <v>240</v>
      </c>
      <c r="B22">
        <v>260.52674999999999</v>
      </c>
      <c r="C22">
        <v>-9.8178800000000006</v>
      </c>
      <c r="D22" t="s">
        <v>241</v>
      </c>
      <c r="E22">
        <v>2092.404</v>
      </c>
      <c r="F22">
        <v>828.91600000000005</v>
      </c>
      <c r="H22">
        <v>2092.85</v>
      </c>
      <c r="I22">
        <v>828.89</v>
      </c>
      <c r="K22" s="29">
        <f t="shared" si="0"/>
        <v>555.84999999999991</v>
      </c>
      <c r="L22" s="29">
        <f t="shared" si="1"/>
        <v>-195.11</v>
      </c>
      <c r="N22" s="36">
        <f t="shared" si="2"/>
        <v>260.52725228145556</v>
      </c>
      <c r="O22" s="36">
        <f t="shared" si="3"/>
        <v>-9.817787359521768</v>
      </c>
      <c r="Q22">
        <f t="shared" si="4"/>
        <v>0</v>
      </c>
      <c r="R22">
        <f t="shared" si="5"/>
        <v>0</v>
      </c>
      <c r="T22" s="36">
        <f t="shared" si="6"/>
        <v>260.52697450367776</v>
      </c>
      <c r="U22" s="36">
        <f t="shared" si="7"/>
        <v>-9.8180651372995449</v>
      </c>
      <c r="V22" s="36"/>
      <c r="W22" s="36">
        <f t="shared" si="8"/>
        <v>-0.80821323997497529</v>
      </c>
      <c r="X22" s="36">
        <f t="shared" si="9"/>
        <v>0.66649427835940855</v>
      </c>
      <c r="Z22" s="39">
        <f t="shared" si="10"/>
        <v>1.0974232643566757</v>
      </c>
    </row>
    <row r="23" spans="1:26" x14ac:dyDescent="0.25">
      <c r="A23" t="s">
        <v>240</v>
      </c>
      <c r="B23">
        <v>260.56175000000002</v>
      </c>
      <c r="C23">
        <v>-10.019259999999999</v>
      </c>
      <c r="D23" t="s">
        <v>241</v>
      </c>
      <c r="E23">
        <v>1930.9839999999999</v>
      </c>
      <c r="F23">
        <v>1894.317</v>
      </c>
      <c r="H23">
        <v>1931.47</v>
      </c>
      <c r="I23">
        <v>1895.04</v>
      </c>
      <c r="K23" s="29">
        <f t="shared" si="0"/>
        <v>394.47</v>
      </c>
      <c r="L23" s="29">
        <f t="shared" si="1"/>
        <v>871.04</v>
      </c>
      <c r="N23" s="36">
        <f t="shared" si="2"/>
        <v>260.56213877706961</v>
      </c>
      <c r="O23" s="36">
        <f t="shared" si="3"/>
        <v>-10.018969799119285</v>
      </c>
      <c r="Q23">
        <f t="shared" si="4"/>
        <v>0</v>
      </c>
      <c r="R23">
        <f t="shared" si="5"/>
        <v>0</v>
      </c>
      <c r="T23" s="36">
        <f t="shared" si="6"/>
        <v>260.56186099929181</v>
      </c>
      <c r="U23" s="36">
        <f t="shared" si="7"/>
        <v>-10.019247576897062</v>
      </c>
      <c r="V23" s="36"/>
      <c r="W23" s="36">
        <f t="shared" si="8"/>
        <v>-0.39959745045052841</v>
      </c>
      <c r="X23" s="36">
        <f t="shared" si="9"/>
        <v>-4.4723170574911819E-2</v>
      </c>
      <c r="Z23" s="39">
        <f t="shared" si="10"/>
        <v>0.16167828439283516</v>
      </c>
    </row>
    <row r="24" spans="1:26" x14ac:dyDescent="0.25">
      <c r="A24" t="s">
        <v>240</v>
      </c>
      <c r="B24">
        <v>260.56893000000002</v>
      </c>
      <c r="C24">
        <v>-9.7740500000000008</v>
      </c>
      <c r="D24" t="s">
        <v>241</v>
      </c>
      <c r="E24">
        <v>1868.9079999999999</v>
      </c>
      <c r="F24">
        <v>602.07899999999995</v>
      </c>
      <c r="H24">
        <v>1869.12</v>
      </c>
      <c r="I24">
        <v>601.84</v>
      </c>
      <c r="K24" s="29">
        <f t="shared" si="0"/>
        <v>332.11999999999989</v>
      </c>
      <c r="L24" s="29">
        <f t="shared" si="1"/>
        <v>-422.15999999999997</v>
      </c>
      <c r="N24" s="36">
        <f t="shared" si="2"/>
        <v>260.56932883237579</v>
      </c>
      <c r="O24" s="36">
        <f t="shared" si="3"/>
        <v>-9.7739943372383422</v>
      </c>
      <c r="Q24">
        <f t="shared" si="4"/>
        <v>0</v>
      </c>
      <c r="R24">
        <f t="shared" si="5"/>
        <v>0</v>
      </c>
      <c r="T24" s="36">
        <f t="shared" si="6"/>
        <v>260.56905105459799</v>
      </c>
      <c r="U24" s="36">
        <f t="shared" si="7"/>
        <v>-9.7742721150161191</v>
      </c>
      <c r="V24" s="36"/>
      <c r="W24" s="36">
        <f t="shared" si="8"/>
        <v>-0.43579655268786155</v>
      </c>
      <c r="X24" s="36">
        <f t="shared" si="9"/>
        <v>0.79961405802606578</v>
      </c>
      <c r="Z24" s="39">
        <f t="shared" si="10"/>
        <v>0.82930127712753654</v>
      </c>
    </row>
    <row r="25" spans="1:26" x14ac:dyDescent="0.25">
      <c r="A25" t="s">
        <v>240</v>
      </c>
      <c r="B25">
        <v>260.57107999999999</v>
      </c>
      <c r="C25">
        <v>-10.02032</v>
      </c>
      <c r="D25" t="s">
        <v>241</v>
      </c>
      <c r="E25">
        <v>1882.6679999999999</v>
      </c>
      <c r="F25">
        <v>1900.847</v>
      </c>
      <c r="H25">
        <v>1882.9</v>
      </c>
      <c r="I25">
        <v>1901.29</v>
      </c>
      <c r="K25" s="29">
        <f t="shared" si="0"/>
        <v>345.90000000000009</v>
      </c>
      <c r="L25" s="29">
        <f t="shared" si="1"/>
        <v>877.29</v>
      </c>
      <c r="N25" s="36">
        <f t="shared" si="2"/>
        <v>260.57148405711212</v>
      </c>
      <c r="O25" s="36">
        <f t="shared" si="3"/>
        <v>-10.01997412037109</v>
      </c>
      <c r="Q25">
        <f t="shared" si="4"/>
        <v>0</v>
      </c>
      <c r="R25">
        <f t="shared" si="5"/>
        <v>0</v>
      </c>
      <c r="T25" s="36">
        <f t="shared" si="6"/>
        <v>260.57120627933432</v>
      </c>
      <c r="U25" s="36">
        <f t="shared" si="7"/>
        <v>-10.020251898148867</v>
      </c>
      <c r="V25" s="36"/>
      <c r="W25" s="36">
        <f t="shared" si="8"/>
        <v>-0.45460560356787028</v>
      </c>
      <c r="X25" s="36">
        <f t="shared" si="9"/>
        <v>-0.24516666407734533</v>
      </c>
      <c r="Z25" s="39">
        <f t="shared" si="10"/>
        <v>0.26677294797012152</v>
      </c>
    </row>
    <row r="26" spans="1:26" x14ac:dyDescent="0.25">
      <c r="A26" t="s">
        <v>240</v>
      </c>
      <c r="B26">
        <v>260.58170000000001</v>
      </c>
      <c r="C26">
        <v>-9.8675899999999999</v>
      </c>
      <c r="D26" t="s">
        <v>241</v>
      </c>
      <c r="E26">
        <v>1812.0540000000001</v>
      </c>
      <c r="F26">
        <v>1096.57</v>
      </c>
      <c r="H26">
        <v>1812.16</v>
      </c>
      <c r="I26">
        <v>1095.3499999999999</v>
      </c>
      <c r="K26" s="29">
        <f t="shared" si="0"/>
        <v>275.16000000000008</v>
      </c>
      <c r="L26" s="29">
        <f t="shared" si="1"/>
        <v>71.349999999999909</v>
      </c>
      <c r="N26" s="36">
        <f t="shared" si="2"/>
        <v>260.58207854201902</v>
      </c>
      <c r="O26" s="36">
        <f t="shared" si="3"/>
        <v>-9.8671848558945978</v>
      </c>
      <c r="Q26">
        <f t="shared" si="4"/>
        <v>0</v>
      </c>
      <c r="R26">
        <f t="shared" si="5"/>
        <v>0</v>
      </c>
      <c r="T26" s="36">
        <f t="shared" si="6"/>
        <v>260.58180076424122</v>
      </c>
      <c r="U26" s="36">
        <f t="shared" si="7"/>
        <v>-9.8674626336723747</v>
      </c>
      <c r="V26" s="36"/>
      <c r="W26" s="36">
        <f t="shared" si="8"/>
        <v>-0.36275126835789706</v>
      </c>
      <c r="X26" s="36">
        <f t="shared" si="9"/>
        <v>-0.45851877945040087</v>
      </c>
      <c r="Z26" s="39">
        <f t="shared" si="10"/>
        <v>0.34182795380394837</v>
      </c>
    </row>
    <row r="27" spans="1:26" x14ac:dyDescent="0.25">
      <c r="A27" t="s">
        <v>240</v>
      </c>
      <c r="B27">
        <v>260.63011999999998</v>
      </c>
      <c r="C27">
        <v>-9.7885799999999996</v>
      </c>
      <c r="D27" t="s">
        <v>241</v>
      </c>
      <c r="E27">
        <v>1552.518</v>
      </c>
      <c r="F27">
        <v>684.827</v>
      </c>
      <c r="H27">
        <v>1552.72</v>
      </c>
      <c r="I27">
        <v>684.56</v>
      </c>
      <c r="K27" s="29">
        <f t="shared" si="0"/>
        <v>15.720000000000027</v>
      </c>
      <c r="L27" s="29">
        <f t="shared" si="1"/>
        <v>-339.44000000000005</v>
      </c>
      <c r="N27" s="36">
        <f t="shared" si="2"/>
        <v>260.63031919612166</v>
      </c>
      <c r="O27" s="36">
        <f t="shared" si="3"/>
        <v>-9.788486615731836</v>
      </c>
      <c r="Q27">
        <f t="shared" si="4"/>
        <v>0</v>
      </c>
      <c r="R27">
        <f t="shared" si="5"/>
        <v>0</v>
      </c>
      <c r="T27" s="36">
        <f t="shared" si="6"/>
        <v>260.63004141834386</v>
      </c>
      <c r="U27" s="36">
        <f t="shared" si="7"/>
        <v>-9.7887643935096129</v>
      </c>
      <c r="V27" s="36"/>
      <c r="W27" s="36">
        <f t="shared" si="8"/>
        <v>0.28289396200307237</v>
      </c>
      <c r="X27" s="36">
        <f t="shared" si="9"/>
        <v>0.66381663460788332</v>
      </c>
      <c r="Z27" s="39">
        <f t="shared" si="10"/>
        <v>0.5206815181199318</v>
      </c>
    </row>
    <row r="28" spans="1:26" x14ac:dyDescent="0.25">
      <c r="A28" t="s">
        <v>240</v>
      </c>
      <c r="B28">
        <v>260.65708999999998</v>
      </c>
      <c r="C28">
        <v>-9.7440499999999997</v>
      </c>
      <c r="D28" t="s">
        <v>241</v>
      </c>
      <c r="E28">
        <v>1407.848</v>
      </c>
      <c r="F28">
        <v>452.755</v>
      </c>
      <c r="H28">
        <v>1407.56</v>
      </c>
      <c r="I28">
        <v>452.07</v>
      </c>
      <c r="K28" s="29">
        <f t="shared" si="0"/>
        <v>-129.44000000000005</v>
      </c>
      <c r="L28" s="29">
        <f t="shared" si="1"/>
        <v>-571.93000000000006</v>
      </c>
      <c r="N28" s="36">
        <f t="shared" si="2"/>
        <v>260.65729055899828</v>
      </c>
      <c r="O28" s="36">
        <f t="shared" si="3"/>
        <v>-9.7439528420735915</v>
      </c>
      <c r="Q28">
        <f t="shared" si="4"/>
        <v>0</v>
      </c>
      <c r="R28">
        <f t="shared" si="5"/>
        <v>0</v>
      </c>
      <c r="T28" s="36">
        <f t="shared" si="6"/>
        <v>260.65701278122049</v>
      </c>
      <c r="U28" s="36">
        <f t="shared" si="7"/>
        <v>-9.7442306198513684</v>
      </c>
      <c r="V28" s="36"/>
      <c r="W28" s="36">
        <f t="shared" si="8"/>
        <v>0.2779876061822506</v>
      </c>
      <c r="X28" s="36">
        <f t="shared" si="9"/>
        <v>0.65023146492748651</v>
      </c>
      <c r="Z28" s="39">
        <f t="shared" si="10"/>
        <v>0.50007806717268322</v>
      </c>
    </row>
    <row r="29" spans="1:26" x14ac:dyDescent="0.25">
      <c r="A29" t="s">
        <v>240</v>
      </c>
      <c r="B29">
        <v>260.68651</v>
      </c>
      <c r="C29">
        <v>-9.9067100000000003</v>
      </c>
      <c r="D29" t="s">
        <v>241</v>
      </c>
      <c r="E29">
        <v>1271.7260000000001</v>
      </c>
      <c r="F29">
        <v>1313.412</v>
      </c>
      <c r="H29">
        <v>1271.76</v>
      </c>
      <c r="I29">
        <v>1313.3</v>
      </c>
      <c r="K29" s="29">
        <f t="shared" si="0"/>
        <v>-265.24</v>
      </c>
      <c r="L29" s="29">
        <f t="shared" si="1"/>
        <v>289.29999999999995</v>
      </c>
      <c r="N29" s="36">
        <f t="shared" si="2"/>
        <v>260.68656973626588</v>
      </c>
      <c r="O29" s="36">
        <f t="shared" si="3"/>
        <v>-9.9064469010445979</v>
      </c>
      <c r="Q29">
        <f t="shared" si="4"/>
        <v>0</v>
      </c>
      <c r="R29">
        <f t="shared" si="5"/>
        <v>0</v>
      </c>
      <c r="T29" s="36">
        <f t="shared" si="6"/>
        <v>260.68629195848808</v>
      </c>
      <c r="U29" s="36">
        <f t="shared" si="7"/>
        <v>-9.9067246788223748</v>
      </c>
      <c r="V29" s="36"/>
      <c r="W29" s="36">
        <f t="shared" si="8"/>
        <v>0.78494944289104751</v>
      </c>
      <c r="X29" s="36">
        <f t="shared" si="9"/>
        <v>5.2843760548171304E-2</v>
      </c>
      <c r="Z29" s="39">
        <f t="shared" si="10"/>
        <v>0.61893809092383834</v>
      </c>
    </row>
    <row r="30" spans="1:26" x14ac:dyDescent="0.25">
      <c r="A30" t="s">
        <v>240</v>
      </c>
      <c r="B30">
        <v>260.70353999999998</v>
      </c>
      <c r="C30">
        <v>-10.03209</v>
      </c>
      <c r="D30" t="s">
        <v>241</v>
      </c>
      <c r="E30">
        <v>1196.2840000000001</v>
      </c>
      <c r="F30">
        <v>1976.2750000000001</v>
      </c>
      <c r="H30">
        <v>1195.4100000000001</v>
      </c>
      <c r="I30">
        <v>1977.1</v>
      </c>
      <c r="K30" s="29">
        <f t="shared" si="0"/>
        <v>-341.58999999999992</v>
      </c>
      <c r="L30" s="29">
        <f t="shared" si="1"/>
        <v>953.09999999999991</v>
      </c>
      <c r="N30" s="36">
        <f t="shared" si="2"/>
        <v>260.70372143485963</v>
      </c>
      <c r="O30" s="36">
        <f t="shared" si="3"/>
        <v>-10.031794606637257</v>
      </c>
      <c r="Q30">
        <f t="shared" si="4"/>
        <v>0</v>
      </c>
      <c r="R30">
        <f t="shared" si="5"/>
        <v>0</v>
      </c>
      <c r="T30" s="36">
        <f t="shared" si="6"/>
        <v>260.70344365708183</v>
      </c>
      <c r="U30" s="36">
        <f t="shared" si="7"/>
        <v>-10.032072384415034</v>
      </c>
      <c r="V30" s="36"/>
      <c r="W30" s="36">
        <f t="shared" si="8"/>
        <v>0.3468345053079247</v>
      </c>
      <c r="X30" s="36">
        <f t="shared" si="9"/>
        <v>-6.3416105876967777E-2</v>
      </c>
      <c r="Z30" s="39">
        <f t="shared" si="10"/>
        <v>0.12431577655679164</v>
      </c>
    </row>
    <row r="31" spans="1:26" x14ac:dyDescent="0.25">
      <c r="A31" t="s">
        <v>240</v>
      </c>
      <c r="B31">
        <v>260.72012999999998</v>
      </c>
      <c r="C31">
        <v>-10.039</v>
      </c>
      <c r="D31" t="s">
        <v>241</v>
      </c>
      <c r="E31">
        <v>1110.8520000000001</v>
      </c>
      <c r="F31">
        <v>2014.373</v>
      </c>
      <c r="H31">
        <v>1109.49</v>
      </c>
      <c r="I31">
        <v>2015.82</v>
      </c>
      <c r="K31" s="29">
        <f t="shared" si="0"/>
        <v>-427.51</v>
      </c>
      <c r="L31" s="29">
        <f t="shared" si="1"/>
        <v>991.81999999999994</v>
      </c>
      <c r="N31" s="36">
        <f t="shared" si="2"/>
        <v>260.72035926179746</v>
      </c>
      <c r="O31" s="36">
        <f t="shared" si="3"/>
        <v>-10.038806791803067</v>
      </c>
      <c r="Q31">
        <f t="shared" si="4"/>
        <v>0</v>
      </c>
      <c r="R31">
        <f t="shared" si="5"/>
        <v>0</v>
      </c>
      <c r="T31" s="36">
        <f t="shared" si="6"/>
        <v>260.72008148401966</v>
      </c>
      <c r="U31" s="36">
        <f t="shared" si="7"/>
        <v>-10.039084569580844</v>
      </c>
      <c r="V31" s="36"/>
      <c r="W31" s="36">
        <f t="shared" si="8"/>
        <v>0.1746575291690533</v>
      </c>
      <c r="X31" s="36">
        <f t="shared" si="9"/>
        <v>0.304450491038466</v>
      </c>
      <c r="Z31" s="39">
        <f t="shared" si="10"/>
        <v>0.12319535398900178</v>
      </c>
    </row>
    <row r="32" spans="1:26" x14ac:dyDescent="0.25">
      <c r="A32" t="s">
        <v>240</v>
      </c>
      <c r="B32">
        <v>260.72833000000003</v>
      </c>
      <c r="C32">
        <v>-9.8445699999999992</v>
      </c>
      <c r="D32" t="s">
        <v>241</v>
      </c>
      <c r="E32">
        <v>1048.1579999999999</v>
      </c>
      <c r="F32">
        <v>989.96699999999998</v>
      </c>
      <c r="H32">
        <v>1047.9100000000001</v>
      </c>
      <c r="I32">
        <v>989.91</v>
      </c>
      <c r="K32" s="29">
        <f t="shared" si="0"/>
        <v>-489.08999999999992</v>
      </c>
      <c r="L32" s="29">
        <f t="shared" si="1"/>
        <v>-34.090000000000032</v>
      </c>
      <c r="N32" s="36">
        <f t="shared" si="2"/>
        <v>260.72829498284398</v>
      </c>
      <c r="O32" s="36">
        <f t="shared" si="3"/>
        <v>-9.844420483329845</v>
      </c>
      <c r="Q32">
        <f t="shared" si="4"/>
        <v>0</v>
      </c>
      <c r="R32">
        <f t="shared" si="5"/>
        <v>0</v>
      </c>
      <c r="T32" s="36">
        <f t="shared" si="6"/>
        <v>260.72801720506618</v>
      </c>
      <c r="U32" s="36">
        <f t="shared" si="7"/>
        <v>-9.8446982611076219</v>
      </c>
      <c r="V32" s="36"/>
      <c r="W32" s="36">
        <f t="shared" si="8"/>
        <v>1.1260617618518154</v>
      </c>
      <c r="X32" s="36">
        <f t="shared" si="9"/>
        <v>0.46173998744194478</v>
      </c>
      <c r="Z32" s="39">
        <f t="shared" si="10"/>
        <v>1.4812189075077018</v>
      </c>
    </row>
    <row r="33" spans="1:26" x14ac:dyDescent="0.25">
      <c r="A33" t="s">
        <v>240</v>
      </c>
      <c r="B33">
        <v>260.76693</v>
      </c>
      <c r="C33">
        <v>-9.7455200000000008</v>
      </c>
      <c r="D33" t="s">
        <v>241</v>
      </c>
      <c r="E33">
        <v>837.34299999999996</v>
      </c>
      <c r="F33">
        <v>471.57</v>
      </c>
      <c r="H33">
        <v>835.44</v>
      </c>
      <c r="I33">
        <v>470.17</v>
      </c>
      <c r="K33" s="29">
        <f t="shared" si="0"/>
        <v>-701.56</v>
      </c>
      <c r="L33" s="29">
        <f t="shared" si="1"/>
        <v>-553.82999999999993</v>
      </c>
      <c r="N33" s="36">
        <f t="shared" si="2"/>
        <v>260.76707511902077</v>
      </c>
      <c r="O33" s="36">
        <f t="shared" si="3"/>
        <v>-9.7452754161596342</v>
      </c>
      <c r="Q33">
        <f t="shared" si="4"/>
        <v>0</v>
      </c>
      <c r="R33">
        <f t="shared" si="5"/>
        <v>0</v>
      </c>
      <c r="T33" s="36">
        <f t="shared" si="6"/>
        <v>260.76679734124298</v>
      </c>
      <c r="U33" s="36">
        <f t="shared" si="7"/>
        <v>-9.7455531939374112</v>
      </c>
      <c r="V33" s="36"/>
      <c r="W33" s="36">
        <f t="shared" si="8"/>
        <v>0.47757152528902225</v>
      </c>
      <c r="X33" s="36">
        <f t="shared" si="9"/>
        <v>0.11949817467709067</v>
      </c>
      <c r="Z33" s="39">
        <f t="shared" si="10"/>
        <v>0.24235437551803968</v>
      </c>
    </row>
    <row r="34" spans="1:26" x14ac:dyDescent="0.25">
      <c r="A34" t="s">
        <v>240</v>
      </c>
      <c r="B34">
        <v>260.77845000000002</v>
      </c>
      <c r="C34">
        <v>-9.7998899999999995</v>
      </c>
      <c r="D34" t="s">
        <v>241</v>
      </c>
      <c r="E34">
        <v>783.15</v>
      </c>
      <c r="F34">
        <v>759.428</v>
      </c>
      <c r="H34">
        <v>781.51</v>
      </c>
      <c r="I34">
        <v>758.98</v>
      </c>
      <c r="J34" t="s">
        <v>263</v>
      </c>
      <c r="K34" s="29">
        <f t="shared" si="0"/>
        <v>-755.49</v>
      </c>
      <c r="L34" s="29">
        <f t="shared" si="1"/>
        <v>-265.02</v>
      </c>
      <c r="N34" s="36">
        <f t="shared" si="2"/>
        <v>260.77851778978334</v>
      </c>
      <c r="O34" s="36">
        <f t="shared" si="3"/>
        <v>-9.7997363026034172</v>
      </c>
      <c r="Q34">
        <f t="shared" si="4"/>
        <v>0</v>
      </c>
      <c r="R34">
        <f t="shared" si="5"/>
        <v>0</v>
      </c>
      <c r="T34" s="36">
        <f t="shared" si="6"/>
        <v>260.77824001200554</v>
      </c>
      <c r="U34" s="36">
        <f t="shared" si="7"/>
        <v>-9.8000140803811941</v>
      </c>
      <c r="V34" s="36"/>
      <c r="W34" s="36">
        <f t="shared" si="8"/>
        <v>0.75595678013087308</v>
      </c>
      <c r="X34" s="36">
        <f t="shared" si="9"/>
        <v>0.44668937230056827</v>
      </c>
      <c r="Z34" s="39">
        <f t="shared" si="10"/>
        <v>0.77100204875211276</v>
      </c>
    </row>
    <row r="35" spans="1:26" x14ac:dyDescent="0.25">
      <c r="A35" t="s">
        <v>240</v>
      </c>
      <c r="B35">
        <v>260.79955999999999</v>
      </c>
      <c r="C35">
        <v>-9.8952100000000005</v>
      </c>
      <c r="D35" t="s">
        <v>241</v>
      </c>
      <c r="E35">
        <v>683.48800000000006</v>
      </c>
      <c r="F35">
        <v>1264.181</v>
      </c>
      <c r="H35">
        <v>681.79</v>
      </c>
      <c r="I35">
        <v>1264.1400000000001</v>
      </c>
      <c r="K35" s="29">
        <f t="shared" si="0"/>
        <v>-855.21</v>
      </c>
      <c r="L35" s="29">
        <f t="shared" si="1"/>
        <v>240.1400000000001</v>
      </c>
      <c r="N35" s="36">
        <f t="shared" si="2"/>
        <v>260.79957585319204</v>
      </c>
      <c r="O35" s="36">
        <f t="shared" si="3"/>
        <v>-9.894974482725841</v>
      </c>
      <c r="Q35">
        <f t="shared" si="4"/>
        <v>0</v>
      </c>
      <c r="R35">
        <f t="shared" si="5"/>
        <v>0</v>
      </c>
      <c r="T35" s="36">
        <f t="shared" si="6"/>
        <v>260.79929807541424</v>
      </c>
      <c r="U35" s="36">
        <f t="shared" si="7"/>
        <v>-9.8952522605036179</v>
      </c>
      <c r="V35" s="36"/>
      <c r="W35" s="36">
        <f t="shared" si="8"/>
        <v>0.94292850867532252</v>
      </c>
      <c r="X35" s="36">
        <f t="shared" si="9"/>
        <v>0.15213781302279017</v>
      </c>
      <c r="Z35" s="39">
        <f t="shared" si="10"/>
        <v>0.91226008662402525</v>
      </c>
    </row>
    <row r="36" spans="1:26" x14ac:dyDescent="0.25">
      <c r="A36" t="s">
        <v>240</v>
      </c>
      <c r="B36">
        <v>260.80234000000002</v>
      </c>
      <c r="C36">
        <v>-9.9872099999999993</v>
      </c>
      <c r="D36" t="s">
        <v>241</v>
      </c>
      <c r="E36">
        <v>678.69399999999996</v>
      </c>
      <c r="F36">
        <v>1749.5350000000001</v>
      </c>
      <c r="H36">
        <v>676.29</v>
      </c>
      <c r="I36">
        <v>1750.72</v>
      </c>
      <c r="K36" s="29">
        <f t="shared" si="0"/>
        <v>-860.71</v>
      </c>
      <c r="L36" s="29">
        <f t="shared" si="1"/>
        <v>726.72</v>
      </c>
      <c r="N36" s="36">
        <f t="shared" si="2"/>
        <v>260.80249336263159</v>
      </c>
      <c r="O36" s="36">
        <f t="shared" si="3"/>
        <v>-9.9870426087231312</v>
      </c>
      <c r="Q36">
        <f t="shared" si="4"/>
        <v>0</v>
      </c>
      <c r="R36">
        <f t="shared" si="5"/>
        <v>0</v>
      </c>
      <c r="T36" s="36">
        <f t="shared" si="6"/>
        <v>260.8022155848538</v>
      </c>
      <c r="U36" s="36">
        <f t="shared" si="7"/>
        <v>-9.9873203865009081</v>
      </c>
      <c r="V36" s="36"/>
      <c r="W36" s="36">
        <f t="shared" si="8"/>
        <v>0.44789452638269722</v>
      </c>
      <c r="X36" s="36">
        <f t="shared" si="9"/>
        <v>0.39739140327199607</v>
      </c>
      <c r="Z36" s="39">
        <f t="shared" si="10"/>
        <v>0.35852943415806687</v>
      </c>
    </row>
    <row r="37" spans="1:26" x14ac:dyDescent="0.25">
      <c r="A37" t="s">
        <v>240</v>
      </c>
      <c r="B37">
        <v>260.81855000000002</v>
      </c>
      <c r="C37">
        <v>-9.9887999999999995</v>
      </c>
      <c r="D37" t="s">
        <v>241</v>
      </c>
      <c r="E37">
        <v>594.68899999999996</v>
      </c>
      <c r="F37">
        <v>1759.578</v>
      </c>
      <c r="H37">
        <v>591.61</v>
      </c>
      <c r="I37">
        <v>1760.79</v>
      </c>
      <c r="K37" s="29">
        <f t="shared" si="0"/>
        <v>-945.39</v>
      </c>
      <c r="L37" s="29">
        <f t="shared" si="1"/>
        <v>736.79</v>
      </c>
      <c r="N37" s="36">
        <f t="shared" si="2"/>
        <v>260.81878307080603</v>
      </c>
      <c r="O37" s="36">
        <f t="shared" si="3"/>
        <v>-9.988637158099948</v>
      </c>
      <c r="Q37">
        <f t="shared" si="4"/>
        <v>0</v>
      </c>
      <c r="R37">
        <f t="shared" si="5"/>
        <v>0</v>
      </c>
      <c r="T37" s="36">
        <f t="shared" si="6"/>
        <v>260.81850529302824</v>
      </c>
      <c r="U37" s="36">
        <f t="shared" si="7"/>
        <v>-9.9889149358777249</v>
      </c>
      <c r="V37" s="36"/>
      <c r="W37" s="36">
        <f t="shared" si="8"/>
        <v>0.1609450984005889</v>
      </c>
      <c r="X37" s="36">
        <f t="shared" si="9"/>
        <v>0.41376915981174989</v>
      </c>
      <c r="Z37" s="39">
        <f t="shared" si="10"/>
        <v>0.19710824231049667</v>
      </c>
    </row>
    <row r="38" spans="1:26" x14ac:dyDescent="0.25">
      <c r="A38" t="s">
        <v>240</v>
      </c>
      <c r="B38">
        <v>260.83715999999998</v>
      </c>
      <c r="C38">
        <v>-9.7297600000000006</v>
      </c>
      <c r="D38" t="s">
        <v>241</v>
      </c>
      <c r="E38">
        <v>470.81</v>
      </c>
      <c r="F38">
        <v>395.512</v>
      </c>
      <c r="H38">
        <v>466.15</v>
      </c>
      <c r="I38">
        <v>392.89</v>
      </c>
      <c r="K38" s="29">
        <f t="shared" si="0"/>
        <v>-1070.8499999999999</v>
      </c>
      <c r="L38" s="29">
        <f t="shared" si="1"/>
        <v>-631.11</v>
      </c>
      <c r="N38" s="36">
        <f t="shared" si="2"/>
        <v>260.83759700021892</v>
      </c>
      <c r="O38" s="36">
        <f t="shared" si="3"/>
        <v>-9.7292922726832636</v>
      </c>
      <c r="Q38">
        <f t="shared" si="4"/>
        <v>0</v>
      </c>
      <c r="R38">
        <f t="shared" si="5"/>
        <v>0</v>
      </c>
      <c r="T38" s="36">
        <f t="shared" si="6"/>
        <v>260.83731922244112</v>
      </c>
      <c r="U38" s="36">
        <f t="shared" si="7"/>
        <v>-9.7295700504610405</v>
      </c>
      <c r="V38" s="36"/>
      <c r="W38" s="36">
        <f t="shared" si="8"/>
        <v>-0.5732007881078971</v>
      </c>
      <c r="X38" s="36">
        <f t="shared" si="9"/>
        <v>-0.68381834025643684</v>
      </c>
      <c r="Z38" s="39">
        <f t="shared" si="10"/>
        <v>0.79616666595858243</v>
      </c>
    </row>
    <row r="39" spans="1:26" x14ac:dyDescent="0.25">
      <c r="A39" t="s">
        <v>240</v>
      </c>
      <c r="B39">
        <v>260.84836000000001</v>
      </c>
      <c r="C39">
        <v>-9.9461399999999998</v>
      </c>
      <c r="D39" t="s">
        <v>241</v>
      </c>
      <c r="E39">
        <v>435.44400000000002</v>
      </c>
      <c r="F39">
        <v>1537.65</v>
      </c>
      <c r="H39">
        <v>431.79</v>
      </c>
      <c r="I39">
        <v>1538.8</v>
      </c>
      <c r="K39" s="29">
        <f t="shared" si="0"/>
        <v>-1105.21</v>
      </c>
      <c r="L39" s="29">
        <f t="shared" si="1"/>
        <v>514.79999999999995</v>
      </c>
      <c r="N39" s="36">
        <f t="shared" si="2"/>
        <v>260.84859857956906</v>
      </c>
      <c r="O39" s="36">
        <f t="shared" si="3"/>
        <v>-9.9460366894786176</v>
      </c>
      <c r="Q39">
        <f t="shared" si="4"/>
        <v>0</v>
      </c>
      <c r="R39">
        <f t="shared" si="5"/>
        <v>0</v>
      </c>
      <c r="T39" s="36">
        <f t="shared" si="6"/>
        <v>260.84832080179126</v>
      </c>
      <c r="U39" s="36">
        <f t="shared" si="7"/>
        <v>-9.9463144672563946</v>
      </c>
      <c r="V39" s="36"/>
      <c r="W39" s="36">
        <f t="shared" si="8"/>
        <v>0.14111355151271709</v>
      </c>
      <c r="X39" s="36">
        <f t="shared" si="9"/>
        <v>0.62808212302130073</v>
      </c>
      <c r="Z39" s="39">
        <f t="shared" si="10"/>
        <v>0.41440018767947662</v>
      </c>
    </row>
    <row r="40" spans="1:26" x14ac:dyDescent="0.25">
      <c r="A40" t="s">
        <v>240</v>
      </c>
      <c r="B40">
        <v>260.86709000000002</v>
      </c>
      <c r="C40">
        <v>-9.7630400000000002</v>
      </c>
      <c r="D40" t="s">
        <v>241</v>
      </c>
      <c r="E40">
        <v>318.82299999999998</v>
      </c>
      <c r="F40">
        <v>574.02300000000002</v>
      </c>
      <c r="H40">
        <v>313.26</v>
      </c>
      <c r="I40">
        <v>571.70000000000005</v>
      </c>
      <c r="K40" s="29">
        <f t="shared" si="0"/>
        <v>-1223.74</v>
      </c>
      <c r="L40" s="29">
        <f t="shared" si="1"/>
        <v>-452.29999999999995</v>
      </c>
      <c r="N40" s="36">
        <f t="shared" si="2"/>
        <v>260.86760561599743</v>
      </c>
      <c r="O40" s="36">
        <f t="shared" si="3"/>
        <v>-9.7625712119785053</v>
      </c>
      <c r="Q40">
        <f t="shared" si="4"/>
        <v>0</v>
      </c>
      <c r="R40">
        <f t="shared" si="5"/>
        <v>0</v>
      </c>
      <c r="T40" s="36">
        <f t="shared" si="6"/>
        <v>260.86732783821964</v>
      </c>
      <c r="U40" s="36">
        <f t="shared" si="7"/>
        <v>-9.7628489897562822</v>
      </c>
      <c r="V40" s="36"/>
      <c r="W40" s="36">
        <f t="shared" si="8"/>
        <v>-0.85621759062632918</v>
      </c>
      <c r="X40" s="36">
        <f t="shared" si="9"/>
        <v>-0.68763687738453427</v>
      </c>
      <c r="Z40" s="39">
        <f t="shared" si="10"/>
        <v>1.2059530376371093</v>
      </c>
    </row>
    <row r="41" spans="1:26" x14ac:dyDescent="0.25">
      <c r="A41" t="s">
        <v>240</v>
      </c>
      <c r="B41">
        <v>260.88781999999998</v>
      </c>
      <c r="C41">
        <v>-10.036429999999999</v>
      </c>
      <c r="D41" t="s">
        <v>241</v>
      </c>
      <c r="E41">
        <v>240.13300000000001</v>
      </c>
      <c r="F41">
        <v>2017.68</v>
      </c>
      <c r="H41">
        <v>232.09</v>
      </c>
      <c r="I41">
        <v>2022.58</v>
      </c>
      <c r="J41" t="s">
        <v>263</v>
      </c>
      <c r="K41" s="29">
        <f t="shared" si="0"/>
        <v>-1304.9100000000001</v>
      </c>
      <c r="L41" s="29">
        <f t="shared" si="1"/>
        <v>998.57999999999993</v>
      </c>
      <c r="N41" s="36">
        <f t="shared" si="2"/>
        <v>260.88879469977684</v>
      </c>
      <c r="O41" s="36">
        <f t="shared" si="3"/>
        <v>-10.03686106870984</v>
      </c>
      <c r="Q41">
        <f t="shared" si="4"/>
        <v>0</v>
      </c>
      <c r="R41">
        <f t="shared" si="5"/>
        <v>0</v>
      </c>
      <c r="T41" s="36">
        <f t="shared" si="6"/>
        <v>260.88851692199904</v>
      </c>
      <c r="U41" s="36">
        <f t="shared" si="7"/>
        <v>-10.037138846487617</v>
      </c>
      <c r="V41" s="36"/>
      <c r="W41" s="36">
        <f t="shared" si="8"/>
        <v>-2.5089191966344515</v>
      </c>
      <c r="X41" s="36">
        <f t="shared" si="9"/>
        <v>2.5518473554221544</v>
      </c>
      <c r="Z41" s="44">
        <v>0</v>
      </c>
    </row>
    <row r="42" spans="1:26" x14ac:dyDescent="0.25">
      <c r="A42" t="s">
        <v>240</v>
      </c>
      <c r="B42">
        <v>260.90051999999997</v>
      </c>
      <c r="C42">
        <v>-9.6741799999999998</v>
      </c>
      <c r="D42" t="s">
        <v>241</v>
      </c>
      <c r="E42">
        <v>135.68899999999999</v>
      </c>
      <c r="F42">
        <v>108.834</v>
      </c>
      <c r="H42">
        <v>125.25</v>
      </c>
      <c r="I42">
        <v>102.21</v>
      </c>
      <c r="K42" s="29">
        <f t="shared" si="0"/>
        <v>-1411.75</v>
      </c>
      <c r="L42" s="29">
        <f t="shared" si="1"/>
        <v>-921.79</v>
      </c>
      <c r="N42" s="36">
        <f t="shared" si="2"/>
        <v>260.90184057755278</v>
      </c>
      <c r="O42" s="36">
        <f t="shared" si="3"/>
        <v>-9.6730261837795446</v>
      </c>
      <c r="Q42">
        <f t="shared" si="4"/>
        <v>0</v>
      </c>
      <c r="R42">
        <f t="shared" si="5"/>
        <v>0</v>
      </c>
      <c r="T42" s="36">
        <f t="shared" si="6"/>
        <v>260.90156279977498</v>
      </c>
      <c r="U42" s="36">
        <f t="shared" si="7"/>
        <v>-9.6733039615573215</v>
      </c>
      <c r="V42" s="36"/>
      <c r="W42" s="36">
        <f t="shared" si="8"/>
        <v>-3.7540791900255499</v>
      </c>
      <c r="X42" s="36">
        <f t="shared" si="9"/>
        <v>-3.1537383936417029</v>
      </c>
      <c r="Z42" s="44">
        <v>0</v>
      </c>
    </row>
    <row r="43" spans="1:26" x14ac:dyDescent="0.25">
      <c r="A43" t="s">
        <v>240</v>
      </c>
      <c r="B43">
        <v>260.90525000000002</v>
      </c>
      <c r="C43">
        <v>-9.8685200000000002</v>
      </c>
      <c r="D43" t="s">
        <v>241</v>
      </c>
      <c r="E43">
        <v>131.81800000000001</v>
      </c>
      <c r="F43">
        <v>1134.085</v>
      </c>
      <c r="H43">
        <v>124.95</v>
      </c>
      <c r="I43">
        <v>1134.06</v>
      </c>
      <c r="K43" s="29">
        <f t="shared" si="0"/>
        <v>-1412.05</v>
      </c>
      <c r="L43" s="29">
        <f t="shared" si="1"/>
        <v>110.05999999999995</v>
      </c>
      <c r="N43" s="36">
        <f t="shared" si="2"/>
        <v>260.90590364593072</v>
      </c>
      <c r="O43" s="36">
        <f t="shared" si="3"/>
        <v>-9.8683092199205795</v>
      </c>
      <c r="Q43">
        <f t="shared" si="4"/>
        <v>0</v>
      </c>
      <c r="R43">
        <f t="shared" si="5"/>
        <v>0</v>
      </c>
      <c r="T43" s="36">
        <f t="shared" si="6"/>
        <v>260.90562586815292</v>
      </c>
      <c r="U43" s="36">
        <f t="shared" si="7"/>
        <v>-9.8685869976983565</v>
      </c>
      <c r="V43" s="36"/>
      <c r="W43" s="36">
        <f t="shared" si="8"/>
        <v>-1.3531253504424967</v>
      </c>
      <c r="X43" s="36">
        <f t="shared" si="9"/>
        <v>0.24119171408258921</v>
      </c>
      <c r="Z43" s="39">
        <f t="shared" si="10"/>
        <v>1.8891216569522271</v>
      </c>
    </row>
    <row r="44" spans="1:26" x14ac:dyDescent="0.25">
      <c r="A44" t="s">
        <v>240</v>
      </c>
      <c r="B44">
        <v>260.90768000000003</v>
      </c>
      <c r="C44">
        <v>-9.85473</v>
      </c>
      <c r="D44" t="s">
        <v>241</v>
      </c>
      <c r="E44">
        <v>117.69199999999999</v>
      </c>
      <c r="F44">
        <v>1061.5840000000001</v>
      </c>
      <c r="H44">
        <v>110.72</v>
      </c>
      <c r="I44">
        <v>1061.355</v>
      </c>
      <c r="K44" s="29">
        <f t="shared" si="0"/>
        <v>-1426.28</v>
      </c>
      <c r="L44" s="29">
        <f t="shared" si="1"/>
        <v>37.355000000000018</v>
      </c>
      <c r="N44" s="36">
        <f t="shared" si="2"/>
        <v>260.90835093539386</v>
      </c>
      <c r="O44" s="36">
        <f t="shared" si="3"/>
        <v>-9.8544970330119099</v>
      </c>
      <c r="Q44">
        <f t="shared" si="4"/>
        <v>0</v>
      </c>
      <c r="R44">
        <f t="shared" si="5"/>
        <v>0</v>
      </c>
      <c r="T44" s="36">
        <f t="shared" si="6"/>
        <v>260.90807315761606</v>
      </c>
      <c r="U44" s="36">
        <f t="shared" si="7"/>
        <v>-9.8547748107896869</v>
      </c>
      <c r="V44" s="36"/>
      <c r="W44" s="36">
        <f t="shared" si="8"/>
        <v>-1.4153674177123321</v>
      </c>
      <c r="X44" s="36">
        <f t="shared" si="9"/>
        <v>0.16131884287275966</v>
      </c>
      <c r="Z44" s="39">
        <f t="shared" si="10"/>
        <v>2.0292886961874812</v>
      </c>
    </row>
    <row r="47" spans="1:26" x14ac:dyDescent="0.25">
      <c r="A47" t="s">
        <v>269</v>
      </c>
    </row>
    <row r="48" spans="1:26" x14ac:dyDescent="0.25">
      <c r="A48" t="s">
        <v>240</v>
      </c>
      <c r="B48">
        <v>260.41151000000002</v>
      </c>
      <c r="C48">
        <v>-9.6616800000000005</v>
      </c>
      <c r="D48" t="s">
        <v>241</v>
      </c>
      <c r="E48">
        <v>2675.6210000000001</v>
      </c>
      <c r="F48">
        <v>-6.3179999999999996</v>
      </c>
      <c r="H48" t="s">
        <v>262</v>
      </c>
    </row>
    <row r="49" spans="1:15" x14ac:dyDescent="0.25">
      <c r="A49" t="s">
        <v>240</v>
      </c>
      <c r="B49">
        <v>260.49734000000001</v>
      </c>
      <c r="C49">
        <v>-10.046609999999999</v>
      </c>
      <c r="D49" t="s">
        <v>241</v>
      </c>
      <c r="E49">
        <v>2268.076</v>
      </c>
      <c r="F49">
        <v>2032.056</v>
      </c>
      <c r="H49" t="s">
        <v>262</v>
      </c>
    </row>
    <row r="50" spans="1:15" x14ac:dyDescent="0.25">
      <c r="A50" t="s">
        <v>240</v>
      </c>
      <c r="B50">
        <v>260.49943000000002</v>
      </c>
      <c r="C50">
        <v>-9.6644299999999994</v>
      </c>
      <c r="D50" t="s">
        <v>241</v>
      </c>
      <c r="E50">
        <v>2218.9679999999998</v>
      </c>
      <c r="F50">
        <v>17.015000000000001</v>
      </c>
      <c r="H50" t="s">
        <v>262</v>
      </c>
    </row>
    <row r="51" spans="1:15" x14ac:dyDescent="0.25">
      <c r="A51" t="s">
        <v>240</v>
      </c>
      <c r="B51">
        <v>260.68236000000002</v>
      </c>
      <c r="C51">
        <v>-10.063750000000001</v>
      </c>
      <c r="D51" t="s">
        <v>241</v>
      </c>
      <c r="E51">
        <v>1309.4469999999999</v>
      </c>
      <c r="F51">
        <v>2141.0810000000001</v>
      </c>
      <c r="H51" t="s">
        <v>262</v>
      </c>
    </row>
    <row r="52" spans="1:15" x14ac:dyDescent="0.25">
      <c r="A52" t="s">
        <v>240</v>
      </c>
      <c r="B52">
        <v>260.6979</v>
      </c>
      <c r="C52">
        <v>-10.04453</v>
      </c>
      <c r="D52" t="s">
        <v>241</v>
      </c>
      <c r="E52">
        <v>1226.8009999999999</v>
      </c>
      <c r="F52">
        <v>2041.271</v>
      </c>
      <c r="H52" t="s">
        <v>262</v>
      </c>
    </row>
    <row r="53" spans="1:15" x14ac:dyDescent="0.25">
      <c r="A53" t="s">
        <v>240</v>
      </c>
      <c r="B53">
        <v>260.73136</v>
      </c>
      <c r="C53">
        <v>-10.05012</v>
      </c>
      <c r="D53" t="s">
        <v>241</v>
      </c>
      <c r="E53">
        <v>1053.7380000000001</v>
      </c>
      <c r="F53">
        <v>2074.1350000000002</v>
      </c>
      <c r="H53" t="s">
        <v>262</v>
      </c>
    </row>
    <row r="54" spans="1:15" x14ac:dyDescent="0.25">
      <c r="A54" t="s">
        <v>240</v>
      </c>
      <c r="B54">
        <v>260.92653999999999</v>
      </c>
      <c r="C54">
        <v>-9.7332300000000007</v>
      </c>
      <c r="D54" t="s">
        <v>241</v>
      </c>
      <c r="E54">
        <v>6.766</v>
      </c>
      <c r="F54">
        <v>422.839</v>
      </c>
      <c r="H54" t="s">
        <v>262</v>
      </c>
      <c r="N54" t="s">
        <v>249</v>
      </c>
      <c r="O54"/>
    </row>
    <row r="55" spans="1:15" x14ac:dyDescent="0.25">
      <c r="N55" s="26" t="s">
        <v>251</v>
      </c>
      <c r="O55" s="25">
        <v>260.63474837299998</v>
      </c>
    </row>
    <row r="56" spans="1:15" x14ac:dyDescent="0.25">
      <c r="N56" s="26" t="s">
        <v>252</v>
      </c>
      <c r="O56" s="25">
        <v>1536</v>
      </c>
    </row>
    <row r="57" spans="1:15" x14ac:dyDescent="0.25">
      <c r="N57" s="26" t="s">
        <v>253</v>
      </c>
      <c r="O57" s="25">
        <v>-9.8525277248599998</v>
      </c>
    </row>
    <row r="58" spans="1:15" x14ac:dyDescent="0.25">
      <c r="N58" s="26" t="s">
        <v>254</v>
      </c>
      <c r="O58" s="25">
        <v>1023.5</v>
      </c>
    </row>
    <row r="59" spans="1:15" x14ac:dyDescent="0.25">
      <c r="N59" s="26" t="s">
        <v>245</v>
      </c>
      <c r="O59" s="25">
        <v>-1.89629989363E-4</v>
      </c>
    </row>
    <row r="60" spans="1:15" x14ac:dyDescent="0.25">
      <c r="N60" s="26" t="s">
        <v>246</v>
      </c>
      <c r="O60" s="25">
        <v>3.6746386470999999E-6</v>
      </c>
    </row>
    <row r="61" spans="1:15" x14ac:dyDescent="0.25">
      <c r="N61" s="26" t="s">
        <v>247</v>
      </c>
      <c r="O61" s="25">
        <v>-3.6757417935400001E-6</v>
      </c>
    </row>
    <row r="62" spans="1:15" x14ac:dyDescent="0.25">
      <c r="N62" s="26" t="s">
        <v>248</v>
      </c>
      <c r="O62" s="25">
        <v>-1.8957307849700001E-4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6A1B-2759-48F8-81BA-A10523DA61B5}">
  <dimension ref="A7:A21"/>
  <sheetViews>
    <sheetView workbookViewId="0">
      <selection activeCell="A11" sqref="A11"/>
    </sheetView>
  </sheetViews>
  <sheetFormatPr defaultRowHeight="15.75" x14ac:dyDescent="0.25"/>
  <cols>
    <col min="1" max="1" width="87.875" customWidth="1"/>
  </cols>
  <sheetData>
    <row r="7" spans="1:1" x14ac:dyDescent="0.25">
      <c r="A7" t="s">
        <v>105</v>
      </c>
    </row>
    <row r="8" spans="1:1" x14ac:dyDescent="0.25">
      <c r="A8" s="21" t="s">
        <v>106</v>
      </c>
    </row>
    <row r="9" spans="1:1" x14ac:dyDescent="0.25">
      <c r="A9" s="19" t="s">
        <v>114</v>
      </c>
    </row>
    <row r="10" spans="1:1" x14ac:dyDescent="0.25">
      <c r="A10" s="19" t="s">
        <v>115</v>
      </c>
    </row>
    <row r="11" spans="1:1" x14ac:dyDescent="0.25">
      <c r="A11" s="20" t="s">
        <v>109</v>
      </c>
    </row>
    <row r="12" spans="1:1" x14ac:dyDescent="0.25">
      <c r="A12" s="20" t="s">
        <v>110</v>
      </c>
    </row>
    <row r="13" spans="1:1" x14ac:dyDescent="0.25">
      <c r="A13" s="20" t="s">
        <v>111</v>
      </c>
    </row>
    <row r="14" spans="1:1" x14ac:dyDescent="0.25">
      <c r="A14" s="20" t="s">
        <v>112</v>
      </c>
    </row>
    <row r="15" spans="1:1" x14ac:dyDescent="0.25">
      <c r="A15" s="20" t="s">
        <v>113</v>
      </c>
    </row>
    <row r="20" spans="1:1" x14ac:dyDescent="0.25">
      <c r="A20" t="s">
        <v>107</v>
      </c>
    </row>
    <row r="21" spans="1:1" x14ac:dyDescent="0.25">
      <c r="A21" s="19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4AB4-EA12-4151-A0A0-3D4216B8FCD5}">
  <dimension ref="A1:B19"/>
  <sheetViews>
    <sheetView zoomScale="130" zoomScaleNormal="130" workbookViewId="0">
      <selection activeCell="B13" sqref="B13"/>
    </sheetView>
  </sheetViews>
  <sheetFormatPr defaultRowHeight="12.75" x14ac:dyDescent="0.2"/>
  <cols>
    <col min="1" max="1" width="25.125" style="4" customWidth="1"/>
    <col min="2" max="2" width="60.375" style="4" customWidth="1"/>
    <col min="3" max="16384" width="9" style="4"/>
  </cols>
  <sheetData>
    <row r="1" spans="1:2" x14ac:dyDescent="0.2">
      <c r="A1" s="1" t="s">
        <v>60</v>
      </c>
    </row>
    <row r="2" spans="1:2" x14ac:dyDescent="0.2">
      <c r="A2" s="4" t="s">
        <v>59</v>
      </c>
    </row>
    <row r="3" spans="1:2" x14ac:dyDescent="0.2">
      <c r="A3" s="4" t="s">
        <v>61</v>
      </c>
    </row>
    <row r="4" spans="1:2" x14ac:dyDescent="0.2">
      <c r="A4" s="1"/>
    </row>
    <row r="6" spans="1:2" x14ac:dyDescent="0.2">
      <c r="A6" s="6" t="s">
        <v>62</v>
      </c>
    </row>
    <row r="7" spans="1:2" x14ac:dyDescent="0.2">
      <c r="A7" s="11" t="s">
        <v>63</v>
      </c>
      <c r="B7" s="4" t="s">
        <v>64</v>
      </c>
    </row>
    <row r="8" spans="1:2" x14ac:dyDescent="0.2">
      <c r="A8" s="11" t="s">
        <v>65</v>
      </c>
      <c r="B8" s="4" t="s">
        <v>66</v>
      </c>
    </row>
    <row r="9" spans="1:2" x14ac:dyDescent="0.2">
      <c r="A9" s="11" t="s">
        <v>67</v>
      </c>
      <c r="B9" s="4" t="s">
        <v>69</v>
      </c>
    </row>
    <row r="10" spans="1:2" x14ac:dyDescent="0.2">
      <c r="A10" s="11" t="s">
        <v>68</v>
      </c>
      <c r="B10" s="4" t="s">
        <v>70</v>
      </c>
    </row>
    <row r="11" spans="1:2" x14ac:dyDescent="0.2">
      <c r="A11" s="11" t="s">
        <v>71</v>
      </c>
      <c r="B11" s="4" t="s">
        <v>72</v>
      </c>
    </row>
    <row r="12" spans="1:2" x14ac:dyDescent="0.2">
      <c r="A12" s="11" t="s">
        <v>73</v>
      </c>
      <c r="B12" s="4" t="s">
        <v>74</v>
      </c>
    </row>
    <row r="13" spans="1:2" x14ac:dyDescent="0.2">
      <c r="A13" s="11"/>
    </row>
    <row r="14" spans="1:2" x14ac:dyDescent="0.2">
      <c r="A14" s="11"/>
      <c r="B14" s="5"/>
    </row>
    <row r="15" spans="1:2" x14ac:dyDescent="0.2">
      <c r="A15" s="11"/>
      <c r="B15" s="5"/>
    </row>
    <row r="16" spans="1:2" x14ac:dyDescent="0.2">
      <c r="A16" s="5"/>
    </row>
    <row r="17" spans="1:1" x14ac:dyDescent="0.2">
      <c r="A17" s="5"/>
    </row>
    <row r="19" spans="1:1" x14ac:dyDescent="0.2">
      <c r="A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workflow</vt:lpstr>
      <vt:lpstr>file formats</vt:lpstr>
      <vt:lpstr>get xy Astrometrica soln</vt:lpstr>
      <vt:lpstr>get xy PinPoint soln plate scal</vt:lpstr>
      <vt:lpstr>get xy PinPoint soln</vt:lpstr>
      <vt:lpstr>Plate solver comparison</vt:lpstr>
      <vt:lpstr>trial SIP</vt:lpstr>
      <vt:lpstr>Questions</vt:lpstr>
      <vt:lpstr>modules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Dose</dc:creator>
  <cp:lastModifiedBy>Eric Dose</cp:lastModifiedBy>
  <cp:lastPrinted>2020-08-11T00:44:27Z</cp:lastPrinted>
  <dcterms:created xsi:type="dcterms:W3CDTF">2020-08-01T18:59:43Z</dcterms:created>
  <dcterms:modified xsi:type="dcterms:W3CDTF">2020-09-01T06:09:14Z</dcterms:modified>
</cp:coreProperties>
</file>