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DS\S2302 eQuest Automation\S2302.3 ML_eQuest_Automation\Test ML eQUEST\04 Modify &amp; Scale INPs\database\"/>
    </mc:Choice>
  </mc:AlternateContent>
  <xr:revisionPtr revIDLastSave="0" documentId="13_ncr:1_{D0E73376-190F-4F3C-B314-DB06306BC92D}" xr6:coauthVersionLast="47" xr6:coauthVersionMax="47" xr10:uidLastSave="{00000000-0000-0000-0000-000000000000}"/>
  <bookViews>
    <workbookView xWindow="11424" yWindow="0" windowWidth="11712" windowHeight="12336" xr2:uid="{1D408159-3FA8-4DF8-B951-9183D198CE82}"/>
  </bookViews>
  <sheets>
    <sheet name="AssemblyCompiler" sheetId="1" r:id="rId1"/>
    <sheet name="Working DB" sheetId="2" r:id="rId2"/>
    <sheet name="Cost" sheetId="10" r:id="rId3"/>
    <sheet name="NatDat" sheetId="3" r:id="rId4"/>
    <sheet name="ENS 2018" sheetId="4" r:id="rId5"/>
    <sheet name="LHP &amp; DHP Technologies" sheetId="5" r:id="rId6"/>
    <sheet name="Glazing (Cold)" sheetId="9" r:id="rId7"/>
    <sheet name="Glazing" sheetId="6" r:id="rId8"/>
    <sheet name="WWR" sheetId="7" r:id="rId9"/>
    <sheet name="Overhang" sheetId="8" r:id="rId10"/>
  </sheets>
  <definedNames>
    <definedName name="MaterialList" localSheetId="6">WorkingDB[Material]</definedName>
    <definedName name="MaterialList">WorkingDB[Material]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0" l="1"/>
  <c r="K17" i="10"/>
  <c r="I17" i="10"/>
  <c r="D15" i="10"/>
  <c r="B11" i="10"/>
  <c r="D11" i="10" s="1"/>
  <c r="G43" i="2" s="1"/>
  <c r="E4" i="10"/>
  <c r="E5" i="10"/>
  <c r="E14" i="10"/>
  <c r="E13" i="10"/>
  <c r="B14" i="10"/>
  <c r="D14" i="10" s="1"/>
  <c r="B13" i="10"/>
  <c r="D13" i="10" s="1"/>
  <c r="B12" i="10"/>
  <c r="D12" i="10" s="1"/>
  <c r="G45" i="2" s="1"/>
  <c r="AB49" i="1" s="1"/>
  <c r="H45" i="2"/>
  <c r="B10" i="10"/>
  <c r="D10" i="10" s="1"/>
  <c r="G5" i="2" s="1"/>
  <c r="T61" i="1" s="1"/>
  <c r="D9" i="10"/>
  <c r="G33" i="2" s="1"/>
  <c r="AJ59" i="1" s="1"/>
  <c r="D8" i="10"/>
  <c r="G44" i="2"/>
  <c r="T42" i="1" s="1"/>
  <c r="H44" i="2"/>
  <c r="D7" i="10"/>
  <c r="B6" i="10"/>
  <c r="D6" i="10" s="1"/>
  <c r="G10" i="2" s="1"/>
  <c r="L29" i="1" s="1"/>
  <c r="B5" i="10"/>
  <c r="D5" i="10" s="1"/>
  <c r="G41" i="2" s="1"/>
  <c r="G3" i="2"/>
  <c r="G40" i="2"/>
  <c r="G39" i="2"/>
  <c r="G36" i="2"/>
  <c r="G35" i="2"/>
  <c r="G34" i="2"/>
  <c r="G31" i="2"/>
  <c r="G30" i="2"/>
  <c r="AZ29" i="1" s="1"/>
  <c r="G29" i="2"/>
  <c r="G27" i="2"/>
  <c r="G22" i="2"/>
  <c r="G21" i="2"/>
  <c r="G20" i="2"/>
  <c r="G19" i="2"/>
  <c r="G18" i="2"/>
  <c r="G17" i="2"/>
  <c r="G15" i="2"/>
  <c r="G13" i="2"/>
  <c r="G12" i="2"/>
  <c r="G11" i="2"/>
  <c r="G8" i="2"/>
  <c r="G6" i="2"/>
  <c r="B4" i="10"/>
  <c r="D4" i="10" s="1"/>
  <c r="G42" i="2" s="1"/>
  <c r="T35" i="1" s="1"/>
  <c r="D3" i="10"/>
  <c r="G4" i="2" s="1"/>
  <c r="D2" i="10"/>
  <c r="G2" i="2" s="1"/>
  <c r="AB4" i="1" s="1"/>
  <c r="V60" i="1"/>
  <c r="V59" i="1"/>
  <c r="V58" i="1"/>
  <c r="V57" i="1"/>
  <c r="V56" i="1"/>
  <c r="V54" i="1"/>
  <c r="V55" i="1"/>
  <c r="V53" i="1"/>
  <c r="AY14" i="1"/>
  <c r="AX14" i="1"/>
  <c r="AW14" i="1"/>
  <c r="AV14" i="1"/>
  <c r="AU14" i="1"/>
  <c r="CC14" i="1" s="1"/>
  <c r="AQ14" i="1"/>
  <c r="AP14" i="1"/>
  <c r="AO14" i="1"/>
  <c r="AN14" i="1"/>
  <c r="AM14" i="1"/>
  <c r="CB14" i="1" s="1"/>
  <c r="AI14" i="1"/>
  <c r="AH14" i="1"/>
  <c r="AG14" i="1"/>
  <c r="AF14" i="1"/>
  <c r="AE14" i="1"/>
  <c r="CA14" i="1" s="1"/>
  <c r="AA14" i="1"/>
  <c r="Z14" i="1"/>
  <c r="Y14" i="1"/>
  <c r="X14" i="1"/>
  <c r="W14" i="1"/>
  <c r="BZ14" i="1" s="1"/>
  <c r="S14" i="1"/>
  <c r="R14" i="1"/>
  <c r="Q14" i="1"/>
  <c r="P14" i="1"/>
  <c r="O14" i="1"/>
  <c r="BY14" i="1" s="1"/>
  <c r="K14" i="1"/>
  <c r="J14" i="1"/>
  <c r="I14" i="1"/>
  <c r="H14" i="1"/>
  <c r="G14" i="1"/>
  <c r="BX14" i="1" s="1"/>
  <c r="F14" i="1"/>
  <c r="AY60" i="1"/>
  <c r="AX60" i="1"/>
  <c r="AW60" i="1"/>
  <c r="AV60" i="1"/>
  <c r="AU60" i="1"/>
  <c r="CC60" i="1" s="1"/>
  <c r="AQ60" i="1"/>
  <c r="AP60" i="1"/>
  <c r="AO60" i="1"/>
  <c r="AN60" i="1"/>
  <c r="AM60" i="1"/>
  <c r="CB60" i="1" s="1"/>
  <c r="AL60" i="1"/>
  <c r="AI60" i="1"/>
  <c r="AH60" i="1"/>
  <c r="AG60" i="1"/>
  <c r="AF60" i="1"/>
  <c r="AE60" i="1"/>
  <c r="CA60" i="1" s="1"/>
  <c r="AA60" i="1"/>
  <c r="Z60" i="1"/>
  <c r="Y60" i="1"/>
  <c r="X60" i="1"/>
  <c r="W60" i="1"/>
  <c r="BZ60" i="1" s="1"/>
  <c r="S60" i="1"/>
  <c r="R60" i="1"/>
  <c r="Q60" i="1"/>
  <c r="P60" i="1"/>
  <c r="O60" i="1"/>
  <c r="BY60" i="1" s="1"/>
  <c r="K60" i="1"/>
  <c r="J60" i="1"/>
  <c r="I60" i="1"/>
  <c r="H60" i="1"/>
  <c r="G60" i="1"/>
  <c r="BX60" i="1" s="1"/>
  <c r="F60" i="1"/>
  <c r="AY59" i="1"/>
  <c r="AX59" i="1"/>
  <c r="AW59" i="1"/>
  <c r="AV59" i="1"/>
  <c r="AU59" i="1"/>
  <c r="CC59" i="1" s="1"/>
  <c r="AQ59" i="1"/>
  <c r="AP59" i="1"/>
  <c r="AO59" i="1"/>
  <c r="AN59" i="1"/>
  <c r="AM59" i="1"/>
  <c r="CB59" i="1" s="1"/>
  <c r="AL59" i="1"/>
  <c r="AI59" i="1"/>
  <c r="AH59" i="1"/>
  <c r="AG59" i="1"/>
  <c r="AF59" i="1"/>
  <c r="AE59" i="1"/>
  <c r="CA59" i="1" s="1"/>
  <c r="AA59" i="1"/>
  <c r="Z59" i="1"/>
  <c r="Y59" i="1"/>
  <c r="X59" i="1"/>
  <c r="W59" i="1"/>
  <c r="BZ59" i="1" s="1"/>
  <c r="S59" i="1"/>
  <c r="R59" i="1"/>
  <c r="Q59" i="1"/>
  <c r="P59" i="1"/>
  <c r="O59" i="1"/>
  <c r="BY59" i="1" s="1"/>
  <c r="K59" i="1"/>
  <c r="J59" i="1"/>
  <c r="I59" i="1"/>
  <c r="H59" i="1"/>
  <c r="G59" i="1"/>
  <c r="BX59" i="1" s="1"/>
  <c r="F59" i="1"/>
  <c r="AY58" i="1"/>
  <c r="AX58" i="1"/>
  <c r="AW58" i="1"/>
  <c r="AV58" i="1"/>
  <c r="AU58" i="1"/>
  <c r="CC58" i="1" s="1"/>
  <c r="AQ58" i="1"/>
  <c r="AP58" i="1"/>
  <c r="AO58" i="1"/>
  <c r="AN58" i="1"/>
  <c r="AM58" i="1"/>
  <c r="CB58" i="1" s="1"/>
  <c r="AL58" i="1"/>
  <c r="AI58" i="1"/>
  <c r="AH58" i="1"/>
  <c r="AG58" i="1"/>
  <c r="AF58" i="1"/>
  <c r="AE58" i="1"/>
  <c r="CA58" i="1" s="1"/>
  <c r="AA58" i="1"/>
  <c r="Z58" i="1"/>
  <c r="Y58" i="1"/>
  <c r="X58" i="1"/>
  <c r="W58" i="1"/>
  <c r="BZ58" i="1" s="1"/>
  <c r="S58" i="1"/>
  <c r="R58" i="1"/>
  <c r="Q58" i="1"/>
  <c r="P58" i="1"/>
  <c r="O58" i="1"/>
  <c r="BY58" i="1" s="1"/>
  <c r="K58" i="1"/>
  <c r="J58" i="1"/>
  <c r="I58" i="1"/>
  <c r="H58" i="1"/>
  <c r="G58" i="1"/>
  <c r="BX58" i="1" s="1"/>
  <c r="F58" i="1"/>
  <c r="BB58" i="1" s="1"/>
  <c r="AY57" i="1"/>
  <c r="AX57" i="1"/>
  <c r="AW57" i="1"/>
  <c r="AV57" i="1"/>
  <c r="AU57" i="1"/>
  <c r="CC57" i="1" s="1"/>
  <c r="AQ57" i="1"/>
  <c r="AP57" i="1"/>
  <c r="AO57" i="1"/>
  <c r="AN57" i="1"/>
  <c r="AM57" i="1"/>
  <c r="CB57" i="1" s="1"/>
  <c r="AL57" i="1"/>
  <c r="AI57" i="1"/>
  <c r="AH57" i="1"/>
  <c r="AG57" i="1"/>
  <c r="AF57" i="1"/>
  <c r="AE57" i="1"/>
  <c r="CA57" i="1" s="1"/>
  <c r="AA57" i="1"/>
  <c r="Z57" i="1"/>
  <c r="Y57" i="1"/>
  <c r="X57" i="1"/>
  <c r="W57" i="1"/>
  <c r="BZ57" i="1" s="1"/>
  <c r="S57" i="1"/>
  <c r="R57" i="1"/>
  <c r="Q57" i="1"/>
  <c r="P57" i="1"/>
  <c r="O57" i="1"/>
  <c r="BY57" i="1" s="1"/>
  <c r="K57" i="1"/>
  <c r="J57" i="1"/>
  <c r="I57" i="1"/>
  <c r="H57" i="1"/>
  <c r="G57" i="1"/>
  <c r="BX57" i="1" s="1"/>
  <c r="F57" i="1"/>
  <c r="AY56" i="1"/>
  <c r="AX56" i="1"/>
  <c r="AW56" i="1"/>
  <c r="AV56" i="1"/>
  <c r="AU56" i="1"/>
  <c r="CC56" i="1" s="1"/>
  <c r="AQ56" i="1"/>
  <c r="AP56" i="1"/>
  <c r="AO56" i="1"/>
  <c r="AN56" i="1"/>
  <c r="AM56" i="1"/>
  <c r="CB56" i="1" s="1"/>
  <c r="AL56" i="1"/>
  <c r="AI56" i="1"/>
  <c r="AH56" i="1"/>
  <c r="AG56" i="1"/>
  <c r="AF56" i="1"/>
  <c r="AE56" i="1"/>
  <c r="CA56" i="1" s="1"/>
  <c r="AA56" i="1"/>
  <c r="Z56" i="1"/>
  <c r="Y56" i="1"/>
  <c r="X56" i="1"/>
  <c r="W56" i="1"/>
  <c r="BZ56" i="1" s="1"/>
  <c r="S56" i="1"/>
  <c r="R56" i="1"/>
  <c r="Q56" i="1"/>
  <c r="P56" i="1"/>
  <c r="O56" i="1"/>
  <c r="BY56" i="1" s="1"/>
  <c r="K56" i="1"/>
  <c r="J56" i="1"/>
  <c r="I56" i="1"/>
  <c r="H56" i="1"/>
  <c r="G56" i="1"/>
  <c r="BX56" i="1" s="1"/>
  <c r="F56" i="1"/>
  <c r="AY55" i="1"/>
  <c r="AX55" i="1"/>
  <c r="AW55" i="1"/>
  <c r="AV55" i="1"/>
  <c r="AU55" i="1"/>
  <c r="CC55" i="1" s="1"/>
  <c r="AQ55" i="1"/>
  <c r="AP55" i="1"/>
  <c r="AO55" i="1"/>
  <c r="AN55" i="1"/>
  <c r="AM55" i="1"/>
  <c r="CB55" i="1" s="1"/>
  <c r="AL55" i="1"/>
  <c r="AI55" i="1"/>
  <c r="AH55" i="1"/>
  <c r="AG55" i="1"/>
  <c r="AF55" i="1"/>
  <c r="AE55" i="1"/>
  <c r="CA55" i="1" s="1"/>
  <c r="AA55" i="1"/>
  <c r="Z55" i="1"/>
  <c r="Y55" i="1"/>
  <c r="X55" i="1"/>
  <c r="W55" i="1"/>
  <c r="BZ55" i="1" s="1"/>
  <c r="S55" i="1"/>
  <c r="R55" i="1"/>
  <c r="Q55" i="1"/>
  <c r="P55" i="1"/>
  <c r="O55" i="1"/>
  <c r="BY55" i="1" s="1"/>
  <c r="K55" i="1"/>
  <c r="J55" i="1"/>
  <c r="I55" i="1"/>
  <c r="H55" i="1"/>
  <c r="G55" i="1"/>
  <c r="BX55" i="1" s="1"/>
  <c r="F55" i="1"/>
  <c r="AY54" i="1"/>
  <c r="AX54" i="1"/>
  <c r="AW54" i="1"/>
  <c r="AV54" i="1"/>
  <c r="AU54" i="1"/>
  <c r="CC54" i="1" s="1"/>
  <c r="AQ54" i="1"/>
  <c r="AP54" i="1"/>
  <c r="AO54" i="1"/>
  <c r="AN54" i="1"/>
  <c r="AM54" i="1"/>
  <c r="CB54" i="1" s="1"/>
  <c r="AL54" i="1"/>
  <c r="AI54" i="1"/>
  <c r="AH54" i="1"/>
  <c r="AG54" i="1"/>
  <c r="AF54" i="1"/>
  <c r="AE54" i="1"/>
  <c r="CA54" i="1" s="1"/>
  <c r="AA54" i="1"/>
  <c r="Z54" i="1"/>
  <c r="Y54" i="1"/>
  <c r="X54" i="1"/>
  <c r="W54" i="1"/>
  <c r="BZ54" i="1" s="1"/>
  <c r="S54" i="1"/>
  <c r="R54" i="1"/>
  <c r="Q54" i="1"/>
  <c r="P54" i="1"/>
  <c r="O54" i="1"/>
  <c r="BY54" i="1" s="1"/>
  <c r="K54" i="1"/>
  <c r="J54" i="1"/>
  <c r="I54" i="1"/>
  <c r="H54" i="1"/>
  <c r="G54" i="1"/>
  <c r="BX54" i="1" s="1"/>
  <c r="F54" i="1"/>
  <c r="AY53" i="1"/>
  <c r="AX53" i="1"/>
  <c r="AW53" i="1"/>
  <c r="AV53" i="1"/>
  <c r="AU53" i="1"/>
  <c r="CC53" i="1" s="1"/>
  <c r="AQ53" i="1"/>
  <c r="AP53" i="1"/>
  <c r="AO53" i="1"/>
  <c r="AN53" i="1"/>
  <c r="AM53" i="1"/>
  <c r="CB53" i="1" s="1"/>
  <c r="AL53" i="1"/>
  <c r="AI53" i="1"/>
  <c r="AH53" i="1"/>
  <c r="AG53" i="1"/>
  <c r="AF53" i="1"/>
  <c r="AE53" i="1"/>
  <c r="CA53" i="1" s="1"/>
  <c r="AA53" i="1"/>
  <c r="Z53" i="1"/>
  <c r="Y53" i="1"/>
  <c r="X53" i="1"/>
  <c r="W53" i="1"/>
  <c r="BZ53" i="1" s="1"/>
  <c r="S53" i="1"/>
  <c r="R53" i="1"/>
  <c r="Q53" i="1"/>
  <c r="P53" i="1"/>
  <c r="O53" i="1"/>
  <c r="BY53" i="1" s="1"/>
  <c r="K53" i="1"/>
  <c r="J53" i="1"/>
  <c r="I53" i="1"/>
  <c r="H53" i="1"/>
  <c r="G53" i="1"/>
  <c r="BX53" i="1" s="1"/>
  <c r="F53" i="1"/>
  <c r="N35" i="1"/>
  <c r="N34" i="1"/>
  <c r="AY35" i="1"/>
  <c r="AX35" i="1"/>
  <c r="AW35" i="1"/>
  <c r="AV35" i="1"/>
  <c r="AU35" i="1"/>
  <c r="CC35" i="1" s="1"/>
  <c r="AQ35" i="1"/>
  <c r="AP35" i="1"/>
  <c r="AO35" i="1"/>
  <c r="AN35" i="1"/>
  <c r="AM35" i="1"/>
  <c r="CB35" i="1" s="1"/>
  <c r="AI35" i="1"/>
  <c r="AH35" i="1"/>
  <c r="AG35" i="1"/>
  <c r="AF35" i="1"/>
  <c r="AE35" i="1"/>
  <c r="CA35" i="1" s="1"/>
  <c r="AD35" i="1"/>
  <c r="AA35" i="1"/>
  <c r="Z35" i="1"/>
  <c r="Y35" i="1"/>
  <c r="X35" i="1"/>
  <c r="W35" i="1"/>
  <c r="BZ35" i="1" s="1"/>
  <c r="S35" i="1"/>
  <c r="R35" i="1"/>
  <c r="Q35" i="1"/>
  <c r="P35" i="1"/>
  <c r="O35" i="1"/>
  <c r="BY35" i="1" s="1"/>
  <c r="K35" i="1"/>
  <c r="J35" i="1"/>
  <c r="I35" i="1"/>
  <c r="H35" i="1"/>
  <c r="G35" i="1"/>
  <c r="BX35" i="1" s="1"/>
  <c r="F35" i="1"/>
  <c r="AY34" i="1"/>
  <c r="AX34" i="1"/>
  <c r="AW34" i="1"/>
  <c r="AV34" i="1"/>
  <c r="AU34" i="1"/>
  <c r="CC34" i="1" s="1"/>
  <c r="AQ34" i="1"/>
  <c r="AP34" i="1"/>
  <c r="AO34" i="1"/>
  <c r="AN34" i="1"/>
  <c r="AM34" i="1"/>
  <c r="CB34" i="1" s="1"/>
  <c r="AI34" i="1"/>
  <c r="AH34" i="1"/>
  <c r="AG34" i="1"/>
  <c r="AF34" i="1"/>
  <c r="AE34" i="1"/>
  <c r="CA34" i="1" s="1"/>
  <c r="AD34" i="1"/>
  <c r="AA34" i="1"/>
  <c r="Z34" i="1"/>
  <c r="Y34" i="1"/>
  <c r="X34" i="1"/>
  <c r="W34" i="1"/>
  <c r="BZ34" i="1" s="1"/>
  <c r="S34" i="1"/>
  <c r="R34" i="1"/>
  <c r="Q34" i="1"/>
  <c r="P34" i="1"/>
  <c r="O34" i="1"/>
  <c r="BY34" i="1" s="1"/>
  <c r="K34" i="1"/>
  <c r="J34" i="1"/>
  <c r="I34" i="1"/>
  <c r="H34" i="1"/>
  <c r="G34" i="1"/>
  <c r="BX34" i="1" s="1"/>
  <c r="F34" i="1"/>
  <c r="N33" i="1"/>
  <c r="N32" i="1"/>
  <c r="N31" i="1"/>
  <c r="N30" i="1"/>
  <c r="AY33" i="1"/>
  <c r="AX33" i="1"/>
  <c r="AW33" i="1"/>
  <c r="AV33" i="1"/>
  <c r="AU33" i="1"/>
  <c r="CC33" i="1" s="1"/>
  <c r="AQ33" i="1"/>
  <c r="AP33" i="1"/>
  <c r="AO33" i="1"/>
  <c r="AN33" i="1"/>
  <c r="AM33" i="1"/>
  <c r="CB33" i="1" s="1"/>
  <c r="AI33" i="1"/>
  <c r="AH33" i="1"/>
  <c r="AG33" i="1"/>
  <c r="AF33" i="1"/>
  <c r="AE33" i="1"/>
  <c r="CA33" i="1" s="1"/>
  <c r="AD33" i="1"/>
  <c r="AA33" i="1"/>
  <c r="Z33" i="1"/>
  <c r="Y33" i="1"/>
  <c r="X33" i="1"/>
  <c r="W33" i="1"/>
  <c r="BZ33" i="1" s="1"/>
  <c r="S33" i="1"/>
  <c r="R33" i="1"/>
  <c r="Q33" i="1"/>
  <c r="P33" i="1"/>
  <c r="O33" i="1"/>
  <c r="BY33" i="1" s="1"/>
  <c r="K33" i="1"/>
  <c r="J33" i="1"/>
  <c r="I33" i="1"/>
  <c r="H33" i="1"/>
  <c r="G33" i="1"/>
  <c r="BX33" i="1" s="1"/>
  <c r="F33" i="1"/>
  <c r="AY32" i="1"/>
  <c r="AX32" i="1"/>
  <c r="AW32" i="1"/>
  <c r="AV32" i="1"/>
  <c r="AU32" i="1"/>
  <c r="CC32" i="1" s="1"/>
  <c r="AQ32" i="1"/>
  <c r="AP32" i="1"/>
  <c r="AO32" i="1"/>
  <c r="AN32" i="1"/>
  <c r="AM32" i="1"/>
  <c r="CB32" i="1" s="1"/>
  <c r="AI32" i="1"/>
  <c r="AH32" i="1"/>
  <c r="AG32" i="1"/>
  <c r="AF32" i="1"/>
  <c r="AE32" i="1"/>
  <c r="CA32" i="1" s="1"/>
  <c r="AD32" i="1"/>
  <c r="AA32" i="1"/>
  <c r="Z32" i="1"/>
  <c r="Y32" i="1"/>
  <c r="X32" i="1"/>
  <c r="W32" i="1"/>
  <c r="BZ32" i="1" s="1"/>
  <c r="S32" i="1"/>
  <c r="R32" i="1"/>
  <c r="Q32" i="1"/>
  <c r="P32" i="1"/>
  <c r="O32" i="1"/>
  <c r="BY32" i="1" s="1"/>
  <c r="K32" i="1"/>
  <c r="J32" i="1"/>
  <c r="I32" i="1"/>
  <c r="H32" i="1"/>
  <c r="G32" i="1"/>
  <c r="BX32" i="1" s="1"/>
  <c r="F32" i="1"/>
  <c r="AY31" i="1"/>
  <c r="AX31" i="1"/>
  <c r="AW31" i="1"/>
  <c r="AV31" i="1"/>
  <c r="AU31" i="1"/>
  <c r="CC31" i="1" s="1"/>
  <c r="AQ31" i="1"/>
  <c r="AP31" i="1"/>
  <c r="AO31" i="1"/>
  <c r="AN31" i="1"/>
  <c r="AM31" i="1"/>
  <c r="CB31" i="1" s="1"/>
  <c r="AI31" i="1"/>
  <c r="AH31" i="1"/>
  <c r="AG31" i="1"/>
  <c r="AF31" i="1"/>
  <c r="AE31" i="1"/>
  <c r="CA31" i="1" s="1"/>
  <c r="AD31" i="1"/>
  <c r="AA31" i="1"/>
  <c r="Z31" i="1"/>
  <c r="Y31" i="1"/>
  <c r="X31" i="1"/>
  <c r="W31" i="1"/>
  <c r="BZ31" i="1" s="1"/>
  <c r="S31" i="1"/>
  <c r="R31" i="1"/>
  <c r="Q31" i="1"/>
  <c r="P31" i="1"/>
  <c r="O31" i="1"/>
  <c r="BY31" i="1" s="1"/>
  <c r="K31" i="1"/>
  <c r="J31" i="1"/>
  <c r="I31" i="1"/>
  <c r="H31" i="1"/>
  <c r="G31" i="1"/>
  <c r="BX31" i="1" s="1"/>
  <c r="F31" i="1"/>
  <c r="AY30" i="1"/>
  <c r="AX30" i="1"/>
  <c r="AW30" i="1"/>
  <c r="AV30" i="1"/>
  <c r="AU30" i="1"/>
  <c r="CC30" i="1" s="1"/>
  <c r="AQ30" i="1"/>
  <c r="AP30" i="1"/>
  <c r="AO30" i="1"/>
  <c r="AN30" i="1"/>
  <c r="AM30" i="1"/>
  <c r="CB30" i="1" s="1"/>
  <c r="AI30" i="1"/>
  <c r="AH30" i="1"/>
  <c r="AG30" i="1"/>
  <c r="AF30" i="1"/>
  <c r="AE30" i="1"/>
  <c r="CA30" i="1" s="1"/>
  <c r="AD30" i="1"/>
  <c r="AA30" i="1"/>
  <c r="Z30" i="1"/>
  <c r="Y30" i="1"/>
  <c r="X30" i="1"/>
  <c r="W30" i="1"/>
  <c r="BZ30" i="1" s="1"/>
  <c r="S30" i="1"/>
  <c r="R30" i="1"/>
  <c r="Q30" i="1"/>
  <c r="P30" i="1"/>
  <c r="O30" i="1"/>
  <c r="BY30" i="1" s="1"/>
  <c r="K30" i="1"/>
  <c r="J30" i="1"/>
  <c r="I30" i="1"/>
  <c r="H30" i="1"/>
  <c r="G30" i="1"/>
  <c r="BX30" i="1" s="1"/>
  <c r="F30" i="1"/>
  <c r="AY9" i="1"/>
  <c r="AX9" i="1"/>
  <c r="AW9" i="1"/>
  <c r="AV9" i="1"/>
  <c r="AU9" i="1"/>
  <c r="CC9" i="1" s="1"/>
  <c r="AQ9" i="1"/>
  <c r="AP9" i="1"/>
  <c r="AO9" i="1"/>
  <c r="AN9" i="1"/>
  <c r="AM9" i="1"/>
  <c r="CB9" i="1" s="1"/>
  <c r="AI9" i="1"/>
  <c r="AH9" i="1"/>
  <c r="AG9" i="1"/>
  <c r="AF9" i="1"/>
  <c r="AE9" i="1"/>
  <c r="CA9" i="1" s="1"/>
  <c r="AD9" i="1"/>
  <c r="AA9" i="1"/>
  <c r="Z9" i="1"/>
  <c r="Y9" i="1"/>
  <c r="X9" i="1"/>
  <c r="W9" i="1"/>
  <c r="BZ9" i="1" s="1"/>
  <c r="S9" i="1"/>
  <c r="R9" i="1"/>
  <c r="Q9" i="1"/>
  <c r="P9" i="1"/>
  <c r="O9" i="1"/>
  <c r="BY9" i="1" s="1"/>
  <c r="N9" i="1"/>
  <c r="K9" i="1"/>
  <c r="J9" i="1"/>
  <c r="I9" i="1"/>
  <c r="H9" i="1"/>
  <c r="G9" i="1"/>
  <c r="BX9" i="1" s="1"/>
  <c r="F9" i="1"/>
  <c r="AY8" i="1"/>
  <c r="AX8" i="1"/>
  <c r="AW8" i="1"/>
  <c r="AV8" i="1"/>
  <c r="AU8" i="1"/>
  <c r="CC8" i="1" s="1"/>
  <c r="AQ8" i="1"/>
  <c r="AP8" i="1"/>
  <c r="AO8" i="1"/>
  <c r="AN8" i="1"/>
  <c r="AM8" i="1"/>
  <c r="CB8" i="1" s="1"/>
  <c r="AI8" i="1"/>
  <c r="AH8" i="1"/>
  <c r="AG8" i="1"/>
  <c r="AF8" i="1"/>
  <c r="AE8" i="1"/>
  <c r="CA8" i="1" s="1"/>
  <c r="AD8" i="1"/>
  <c r="AA8" i="1"/>
  <c r="Z8" i="1"/>
  <c r="Y8" i="1"/>
  <c r="X8" i="1"/>
  <c r="W8" i="1"/>
  <c r="BZ8" i="1" s="1"/>
  <c r="S8" i="1"/>
  <c r="R8" i="1"/>
  <c r="Q8" i="1"/>
  <c r="P8" i="1"/>
  <c r="O8" i="1"/>
  <c r="BY8" i="1" s="1"/>
  <c r="N8" i="1"/>
  <c r="K8" i="1"/>
  <c r="J8" i="1"/>
  <c r="I8" i="1"/>
  <c r="H8" i="1"/>
  <c r="G8" i="1"/>
  <c r="BX8" i="1" s="1"/>
  <c r="F8" i="1"/>
  <c r="N5" i="1"/>
  <c r="N4" i="1"/>
  <c r="AY5" i="1"/>
  <c r="AX5" i="1"/>
  <c r="AW5" i="1"/>
  <c r="AV5" i="1"/>
  <c r="AU5" i="1"/>
  <c r="CC5" i="1" s="1"/>
  <c r="AQ5" i="1"/>
  <c r="AP5" i="1"/>
  <c r="AO5" i="1"/>
  <c r="AN5" i="1"/>
  <c r="AM5" i="1"/>
  <c r="CB5" i="1" s="1"/>
  <c r="AI5" i="1"/>
  <c r="AH5" i="1"/>
  <c r="AG5" i="1"/>
  <c r="AF5" i="1"/>
  <c r="AE5" i="1"/>
  <c r="CA5" i="1" s="1"/>
  <c r="AD5" i="1"/>
  <c r="AA5" i="1"/>
  <c r="Z5" i="1"/>
  <c r="Y5" i="1"/>
  <c r="X5" i="1"/>
  <c r="W5" i="1"/>
  <c r="BZ5" i="1" s="1"/>
  <c r="S5" i="1"/>
  <c r="R5" i="1"/>
  <c r="Q5" i="1"/>
  <c r="P5" i="1"/>
  <c r="O5" i="1"/>
  <c r="BY5" i="1" s="1"/>
  <c r="K5" i="1"/>
  <c r="J5" i="1"/>
  <c r="I5" i="1"/>
  <c r="H5" i="1"/>
  <c r="G5" i="1"/>
  <c r="BX5" i="1" s="1"/>
  <c r="F5" i="1"/>
  <c r="AY4" i="1"/>
  <c r="AX4" i="1"/>
  <c r="AW4" i="1"/>
  <c r="AV4" i="1"/>
  <c r="AU4" i="1"/>
  <c r="CC4" i="1" s="1"/>
  <c r="AQ4" i="1"/>
  <c r="AP4" i="1"/>
  <c r="AO4" i="1"/>
  <c r="AN4" i="1"/>
  <c r="AM4" i="1"/>
  <c r="CB4" i="1" s="1"/>
  <c r="AI4" i="1"/>
  <c r="AH4" i="1"/>
  <c r="AG4" i="1"/>
  <c r="AF4" i="1"/>
  <c r="AE4" i="1"/>
  <c r="CA4" i="1" s="1"/>
  <c r="AD4" i="1"/>
  <c r="AA4" i="1"/>
  <c r="Z4" i="1"/>
  <c r="Y4" i="1"/>
  <c r="X4" i="1"/>
  <c r="W4" i="1"/>
  <c r="BZ4" i="1" s="1"/>
  <c r="S4" i="1"/>
  <c r="R4" i="1"/>
  <c r="Q4" i="1"/>
  <c r="P4" i="1"/>
  <c r="O4" i="1"/>
  <c r="BY4" i="1" s="1"/>
  <c r="K4" i="1"/>
  <c r="J4" i="1"/>
  <c r="I4" i="1"/>
  <c r="H4" i="1"/>
  <c r="G4" i="1"/>
  <c r="BX4" i="1" s="1"/>
  <c r="F4" i="1"/>
  <c r="AL64" i="1"/>
  <c r="AL63" i="1"/>
  <c r="AL62" i="1"/>
  <c r="AL61" i="1"/>
  <c r="AL52" i="1"/>
  <c r="AL51" i="1"/>
  <c r="AL50" i="1"/>
  <c r="AL49" i="1"/>
  <c r="AL48" i="1"/>
  <c r="AL47" i="1"/>
  <c r="AL46" i="1"/>
  <c r="AL45" i="1"/>
  <c r="F45" i="1"/>
  <c r="G45" i="1"/>
  <c r="BX45" i="1" s="1"/>
  <c r="H45" i="1"/>
  <c r="I45" i="1"/>
  <c r="J45" i="1"/>
  <c r="K45" i="1"/>
  <c r="O45" i="1"/>
  <c r="BY45" i="1" s="1"/>
  <c r="P45" i="1"/>
  <c r="Q45" i="1"/>
  <c r="R45" i="1"/>
  <c r="S45" i="1"/>
  <c r="W45" i="1"/>
  <c r="BZ45" i="1" s="1"/>
  <c r="X45" i="1"/>
  <c r="Y45" i="1"/>
  <c r="Z45" i="1"/>
  <c r="AA45" i="1"/>
  <c r="AE45" i="1"/>
  <c r="CA45" i="1" s="1"/>
  <c r="AF45" i="1"/>
  <c r="AG45" i="1"/>
  <c r="AH45" i="1"/>
  <c r="AI45" i="1"/>
  <c r="AM45" i="1"/>
  <c r="CB45" i="1" s="1"/>
  <c r="AN45" i="1"/>
  <c r="AO45" i="1"/>
  <c r="AP45" i="1"/>
  <c r="AQ45" i="1"/>
  <c r="AU45" i="1"/>
  <c r="CC45" i="1" s="1"/>
  <c r="AV45" i="1"/>
  <c r="AW45" i="1"/>
  <c r="AX45" i="1"/>
  <c r="AY45" i="1"/>
  <c r="F46" i="1"/>
  <c r="G46" i="1"/>
  <c r="BX46" i="1" s="1"/>
  <c r="H46" i="1"/>
  <c r="I46" i="1"/>
  <c r="J46" i="1"/>
  <c r="K46" i="1"/>
  <c r="O46" i="1"/>
  <c r="BY46" i="1" s="1"/>
  <c r="P46" i="1"/>
  <c r="Q46" i="1"/>
  <c r="R46" i="1"/>
  <c r="S46" i="1"/>
  <c r="W46" i="1"/>
  <c r="BZ46" i="1" s="1"/>
  <c r="X46" i="1"/>
  <c r="Y46" i="1"/>
  <c r="Z46" i="1"/>
  <c r="AA46" i="1"/>
  <c r="AE46" i="1"/>
  <c r="CA46" i="1" s="1"/>
  <c r="AF46" i="1"/>
  <c r="AG46" i="1"/>
  <c r="AH46" i="1"/>
  <c r="AI46" i="1"/>
  <c r="AM46" i="1"/>
  <c r="CB46" i="1" s="1"/>
  <c r="AN46" i="1"/>
  <c r="AO46" i="1"/>
  <c r="AP46" i="1"/>
  <c r="AQ46" i="1"/>
  <c r="AU46" i="1"/>
  <c r="CC46" i="1" s="1"/>
  <c r="AV46" i="1"/>
  <c r="AW46" i="1"/>
  <c r="AX46" i="1"/>
  <c r="AY46" i="1"/>
  <c r="F47" i="1"/>
  <c r="G47" i="1"/>
  <c r="BX47" i="1" s="1"/>
  <c r="H47" i="1"/>
  <c r="I47" i="1"/>
  <c r="J47" i="1"/>
  <c r="K47" i="1"/>
  <c r="O47" i="1"/>
  <c r="BY47" i="1" s="1"/>
  <c r="P47" i="1"/>
  <c r="Q47" i="1"/>
  <c r="R47" i="1"/>
  <c r="S47" i="1"/>
  <c r="W47" i="1"/>
  <c r="BZ47" i="1" s="1"/>
  <c r="X47" i="1"/>
  <c r="Y47" i="1"/>
  <c r="Z47" i="1"/>
  <c r="AA47" i="1"/>
  <c r="AE47" i="1"/>
  <c r="CA47" i="1" s="1"/>
  <c r="AF47" i="1"/>
  <c r="AG47" i="1"/>
  <c r="AH47" i="1"/>
  <c r="AI47" i="1"/>
  <c r="AM47" i="1"/>
  <c r="CB47" i="1" s="1"/>
  <c r="AN47" i="1"/>
  <c r="AO47" i="1"/>
  <c r="AP47" i="1"/>
  <c r="AQ47" i="1"/>
  <c r="AU47" i="1"/>
  <c r="CC47" i="1" s="1"/>
  <c r="AV47" i="1"/>
  <c r="AW47" i="1"/>
  <c r="AX47" i="1"/>
  <c r="AY47" i="1"/>
  <c r="F48" i="1"/>
  <c r="G48" i="1"/>
  <c r="BX48" i="1" s="1"/>
  <c r="H48" i="1"/>
  <c r="I48" i="1"/>
  <c r="J48" i="1"/>
  <c r="K48" i="1"/>
  <c r="O48" i="1"/>
  <c r="BY48" i="1" s="1"/>
  <c r="P48" i="1"/>
  <c r="Q48" i="1"/>
  <c r="R48" i="1"/>
  <c r="S48" i="1"/>
  <c r="W48" i="1"/>
  <c r="BZ48" i="1" s="1"/>
  <c r="X48" i="1"/>
  <c r="Y48" i="1"/>
  <c r="Z48" i="1"/>
  <c r="AA48" i="1"/>
  <c r="AE48" i="1"/>
  <c r="CA48" i="1" s="1"/>
  <c r="AF48" i="1"/>
  <c r="AG48" i="1"/>
  <c r="AH48" i="1"/>
  <c r="AI48" i="1"/>
  <c r="AM48" i="1"/>
  <c r="CB48" i="1" s="1"/>
  <c r="AN48" i="1"/>
  <c r="AO48" i="1"/>
  <c r="AP48" i="1"/>
  <c r="AQ48" i="1"/>
  <c r="AU48" i="1"/>
  <c r="CC48" i="1" s="1"/>
  <c r="AV48" i="1"/>
  <c r="AW48" i="1"/>
  <c r="AX48" i="1"/>
  <c r="AY48" i="1"/>
  <c r="F49" i="1"/>
  <c r="G49" i="1"/>
  <c r="BX49" i="1" s="1"/>
  <c r="H49" i="1"/>
  <c r="I49" i="1"/>
  <c r="J49" i="1"/>
  <c r="K49" i="1"/>
  <c r="O49" i="1"/>
  <c r="BY49" i="1" s="1"/>
  <c r="P49" i="1"/>
  <c r="Q49" i="1"/>
  <c r="R49" i="1"/>
  <c r="S49" i="1"/>
  <c r="W49" i="1"/>
  <c r="BZ49" i="1" s="1"/>
  <c r="X49" i="1"/>
  <c r="Y49" i="1"/>
  <c r="Z49" i="1"/>
  <c r="AA49" i="1"/>
  <c r="AE49" i="1"/>
  <c r="CA49" i="1" s="1"/>
  <c r="AF49" i="1"/>
  <c r="AG49" i="1"/>
  <c r="AH49" i="1"/>
  <c r="AI49" i="1"/>
  <c r="AM49" i="1"/>
  <c r="CB49" i="1" s="1"/>
  <c r="AN49" i="1"/>
  <c r="AO49" i="1"/>
  <c r="AP49" i="1"/>
  <c r="AQ49" i="1"/>
  <c r="AU49" i="1"/>
  <c r="CC49" i="1" s="1"/>
  <c r="AV49" i="1"/>
  <c r="AW49" i="1"/>
  <c r="AX49" i="1"/>
  <c r="AY49" i="1"/>
  <c r="F50" i="1"/>
  <c r="G50" i="1"/>
  <c r="BX50" i="1" s="1"/>
  <c r="H50" i="1"/>
  <c r="I50" i="1"/>
  <c r="J50" i="1"/>
  <c r="K50" i="1"/>
  <c r="O50" i="1"/>
  <c r="BY50" i="1" s="1"/>
  <c r="P50" i="1"/>
  <c r="Q50" i="1"/>
  <c r="R50" i="1"/>
  <c r="S50" i="1"/>
  <c r="W50" i="1"/>
  <c r="BZ50" i="1" s="1"/>
  <c r="X50" i="1"/>
  <c r="Y50" i="1"/>
  <c r="Z50" i="1"/>
  <c r="AA50" i="1"/>
  <c r="AE50" i="1"/>
  <c r="CA50" i="1" s="1"/>
  <c r="AF50" i="1"/>
  <c r="AG50" i="1"/>
  <c r="AH50" i="1"/>
  <c r="AI50" i="1"/>
  <c r="AM50" i="1"/>
  <c r="CB50" i="1" s="1"/>
  <c r="AN50" i="1"/>
  <c r="AO50" i="1"/>
  <c r="AP50" i="1"/>
  <c r="AQ50" i="1"/>
  <c r="AU50" i="1"/>
  <c r="CC50" i="1" s="1"/>
  <c r="AV50" i="1"/>
  <c r="AW50" i="1"/>
  <c r="AX50" i="1"/>
  <c r="AY50" i="1"/>
  <c r="F51" i="1"/>
  <c r="G51" i="1"/>
  <c r="BX51" i="1" s="1"/>
  <c r="H51" i="1"/>
  <c r="I51" i="1"/>
  <c r="J51" i="1"/>
  <c r="K51" i="1"/>
  <c r="O51" i="1"/>
  <c r="BY51" i="1" s="1"/>
  <c r="P51" i="1"/>
  <c r="Q51" i="1"/>
  <c r="R51" i="1"/>
  <c r="S51" i="1"/>
  <c r="W51" i="1"/>
  <c r="BZ51" i="1" s="1"/>
  <c r="X51" i="1"/>
  <c r="Y51" i="1"/>
  <c r="Z51" i="1"/>
  <c r="AA51" i="1"/>
  <c r="AE51" i="1"/>
  <c r="CA51" i="1" s="1"/>
  <c r="AF51" i="1"/>
  <c r="AG51" i="1"/>
  <c r="AH51" i="1"/>
  <c r="AI51" i="1"/>
  <c r="AM51" i="1"/>
  <c r="CB51" i="1" s="1"/>
  <c r="AN51" i="1"/>
  <c r="AO51" i="1"/>
  <c r="AP51" i="1"/>
  <c r="AQ51" i="1"/>
  <c r="AU51" i="1"/>
  <c r="CC51" i="1" s="1"/>
  <c r="AV51" i="1"/>
  <c r="AW51" i="1"/>
  <c r="AX51" i="1"/>
  <c r="AY51" i="1"/>
  <c r="F52" i="1"/>
  <c r="G52" i="1"/>
  <c r="BX52" i="1" s="1"/>
  <c r="H52" i="1"/>
  <c r="I52" i="1"/>
  <c r="J52" i="1"/>
  <c r="K52" i="1"/>
  <c r="O52" i="1"/>
  <c r="BY52" i="1" s="1"/>
  <c r="P52" i="1"/>
  <c r="Q52" i="1"/>
  <c r="R52" i="1"/>
  <c r="S52" i="1"/>
  <c r="W52" i="1"/>
  <c r="BZ52" i="1" s="1"/>
  <c r="X52" i="1"/>
  <c r="Y52" i="1"/>
  <c r="Z52" i="1"/>
  <c r="AA52" i="1"/>
  <c r="AE52" i="1"/>
  <c r="CA52" i="1" s="1"/>
  <c r="AF52" i="1"/>
  <c r="AG52" i="1"/>
  <c r="AH52" i="1"/>
  <c r="AI52" i="1"/>
  <c r="AM52" i="1"/>
  <c r="CB52" i="1" s="1"/>
  <c r="AN52" i="1"/>
  <c r="AO52" i="1"/>
  <c r="AP52" i="1"/>
  <c r="AQ52" i="1"/>
  <c r="AU52" i="1"/>
  <c r="CC52" i="1" s="1"/>
  <c r="AV52" i="1"/>
  <c r="AW52" i="1"/>
  <c r="AX52" i="1"/>
  <c r="AY52" i="1"/>
  <c r="F61" i="1"/>
  <c r="G61" i="1"/>
  <c r="BX61" i="1" s="1"/>
  <c r="H61" i="1"/>
  <c r="I61" i="1"/>
  <c r="J61" i="1"/>
  <c r="K61" i="1"/>
  <c r="O61" i="1"/>
  <c r="BY61" i="1" s="1"/>
  <c r="P61" i="1"/>
  <c r="Q61" i="1"/>
  <c r="R61" i="1"/>
  <c r="S61" i="1"/>
  <c r="W61" i="1"/>
  <c r="BZ61" i="1" s="1"/>
  <c r="X61" i="1"/>
  <c r="Y61" i="1"/>
  <c r="Z61" i="1"/>
  <c r="AA61" i="1"/>
  <c r="AE61" i="1"/>
  <c r="CA61" i="1" s="1"/>
  <c r="AF61" i="1"/>
  <c r="AG61" i="1"/>
  <c r="AH61" i="1"/>
  <c r="AI61" i="1"/>
  <c r="AM61" i="1"/>
  <c r="CB61" i="1" s="1"/>
  <c r="AN61" i="1"/>
  <c r="AO61" i="1"/>
  <c r="AP61" i="1"/>
  <c r="AQ61" i="1"/>
  <c r="AU61" i="1"/>
  <c r="CC61" i="1" s="1"/>
  <c r="AV61" i="1"/>
  <c r="AW61" i="1"/>
  <c r="AX61" i="1"/>
  <c r="AY61" i="1"/>
  <c r="F62" i="1"/>
  <c r="G62" i="1"/>
  <c r="BX62" i="1" s="1"/>
  <c r="H62" i="1"/>
  <c r="I62" i="1"/>
  <c r="J62" i="1"/>
  <c r="K62" i="1"/>
  <c r="O62" i="1"/>
  <c r="BY62" i="1" s="1"/>
  <c r="P62" i="1"/>
  <c r="Q62" i="1"/>
  <c r="R62" i="1"/>
  <c r="S62" i="1"/>
  <c r="W62" i="1"/>
  <c r="BZ62" i="1" s="1"/>
  <c r="X62" i="1"/>
  <c r="Y62" i="1"/>
  <c r="Z62" i="1"/>
  <c r="AA62" i="1"/>
  <c r="AE62" i="1"/>
  <c r="CA62" i="1" s="1"/>
  <c r="AF62" i="1"/>
  <c r="AG62" i="1"/>
  <c r="AH62" i="1"/>
  <c r="AI62" i="1"/>
  <c r="AM62" i="1"/>
  <c r="CB62" i="1" s="1"/>
  <c r="AN62" i="1"/>
  <c r="AO62" i="1"/>
  <c r="AP62" i="1"/>
  <c r="AQ62" i="1"/>
  <c r="AU62" i="1"/>
  <c r="CC62" i="1" s="1"/>
  <c r="AV62" i="1"/>
  <c r="AW62" i="1"/>
  <c r="AX62" i="1"/>
  <c r="AY62" i="1"/>
  <c r="F63" i="1"/>
  <c r="G63" i="1"/>
  <c r="BX63" i="1" s="1"/>
  <c r="H63" i="1"/>
  <c r="I63" i="1"/>
  <c r="J63" i="1"/>
  <c r="K63" i="1"/>
  <c r="O63" i="1"/>
  <c r="BY63" i="1" s="1"/>
  <c r="P63" i="1"/>
  <c r="Q63" i="1"/>
  <c r="R63" i="1"/>
  <c r="S63" i="1"/>
  <c r="W63" i="1"/>
  <c r="BZ63" i="1" s="1"/>
  <c r="X63" i="1"/>
  <c r="Y63" i="1"/>
  <c r="Z63" i="1"/>
  <c r="AA63" i="1"/>
  <c r="AE63" i="1"/>
  <c r="CA63" i="1" s="1"/>
  <c r="AF63" i="1"/>
  <c r="AG63" i="1"/>
  <c r="AH63" i="1"/>
  <c r="AI63" i="1"/>
  <c r="AM63" i="1"/>
  <c r="CB63" i="1" s="1"/>
  <c r="AN63" i="1"/>
  <c r="AO63" i="1"/>
  <c r="AP63" i="1"/>
  <c r="AQ63" i="1"/>
  <c r="AU63" i="1"/>
  <c r="CC63" i="1" s="1"/>
  <c r="AV63" i="1"/>
  <c r="AW63" i="1"/>
  <c r="AX63" i="1"/>
  <c r="AY63" i="1"/>
  <c r="F64" i="1"/>
  <c r="G64" i="1"/>
  <c r="BX64" i="1" s="1"/>
  <c r="H64" i="1"/>
  <c r="I64" i="1"/>
  <c r="J64" i="1"/>
  <c r="K64" i="1"/>
  <c r="O64" i="1"/>
  <c r="BY64" i="1" s="1"/>
  <c r="P64" i="1"/>
  <c r="Q64" i="1"/>
  <c r="R64" i="1"/>
  <c r="S64" i="1"/>
  <c r="W64" i="1"/>
  <c r="BZ64" i="1" s="1"/>
  <c r="X64" i="1"/>
  <c r="Y64" i="1"/>
  <c r="Z64" i="1"/>
  <c r="AA64" i="1"/>
  <c r="AE64" i="1"/>
  <c r="CA64" i="1" s="1"/>
  <c r="AF64" i="1"/>
  <c r="AG64" i="1"/>
  <c r="AH64" i="1"/>
  <c r="AI64" i="1"/>
  <c r="AM64" i="1"/>
  <c r="CB64" i="1" s="1"/>
  <c r="AN64" i="1"/>
  <c r="AO64" i="1"/>
  <c r="AP64" i="1"/>
  <c r="AQ64" i="1"/>
  <c r="AU64" i="1"/>
  <c r="CC64" i="1" s="1"/>
  <c r="AV64" i="1"/>
  <c r="AW64" i="1"/>
  <c r="AX64" i="1"/>
  <c r="AY64" i="1"/>
  <c r="AD44" i="1"/>
  <c r="AY44" i="1"/>
  <c r="AX44" i="1"/>
  <c r="AW44" i="1"/>
  <c r="AV44" i="1"/>
  <c r="AU44" i="1"/>
  <c r="CC44" i="1" s="1"/>
  <c r="AQ44" i="1"/>
  <c r="AP44" i="1"/>
  <c r="AO44" i="1"/>
  <c r="AN44" i="1"/>
  <c r="AM44" i="1"/>
  <c r="CB44" i="1" s="1"/>
  <c r="AI44" i="1"/>
  <c r="AH44" i="1"/>
  <c r="AG44" i="1"/>
  <c r="AF44" i="1"/>
  <c r="AE44" i="1"/>
  <c r="CA44" i="1" s="1"/>
  <c r="AA44" i="1"/>
  <c r="Z44" i="1"/>
  <c r="Y44" i="1"/>
  <c r="X44" i="1"/>
  <c r="W44" i="1"/>
  <c r="BZ44" i="1" s="1"/>
  <c r="S44" i="1"/>
  <c r="R44" i="1"/>
  <c r="Q44" i="1"/>
  <c r="P44" i="1"/>
  <c r="O44" i="1"/>
  <c r="BY44" i="1" s="1"/>
  <c r="K44" i="1"/>
  <c r="J44" i="1"/>
  <c r="I44" i="1"/>
  <c r="H44" i="1"/>
  <c r="G44" i="1"/>
  <c r="BX44" i="1" s="1"/>
  <c r="F44" i="1"/>
  <c r="F42" i="1"/>
  <c r="BB42" i="1" s="1"/>
  <c r="G42" i="1"/>
  <c r="BX42" i="1" s="1"/>
  <c r="H42" i="1"/>
  <c r="I42" i="1"/>
  <c r="J42" i="1"/>
  <c r="K42" i="1"/>
  <c r="O42" i="1"/>
  <c r="BY42" i="1" s="1"/>
  <c r="P42" i="1"/>
  <c r="Q42" i="1"/>
  <c r="R42" i="1"/>
  <c r="S42" i="1"/>
  <c r="W42" i="1"/>
  <c r="BZ42" i="1" s="1"/>
  <c r="X42" i="1"/>
  <c r="Y42" i="1"/>
  <c r="Z42" i="1"/>
  <c r="AA42" i="1"/>
  <c r="AE42" i="1"/>
  <c r="CA42" i="1" s="1"/>
  <c r="AF42" i="1"/>
  <c r="AG42" i="1"/>
  <c r="AH42" i="1"/>
  <c r="AI42" i="1"/>
  <c r="AM42" i="1"/>
  <c r="CB42" i="1" s="1"/>
  <c r="AN42" i="1"/>
  <c r="AO42" i="1"/>
  <c r="AP42" i="1"/>
  <c r="AQ42" i="1"/>
  <c r="AU42" i="1"/>
  <c r="CC42" i="1" s="1"/>
  <c r="AV42" i="1"/>
  <c r="AW42" i="1"/>
  <c r="AX42" i="1"/>
  <c r="AY42" i="1"/>
  <c r="N41" i="1"/>
  <c r="N40" i="1"/>
  <c r="N39" i="1"/>
  <c r="N38" i="1"/>
  <c r="N37" i="1"/>
  <c r="N36" i="1"/>
  <c r="AD41" i="1"/>
  <c r="AD40" i="1"/>
  <c r="AD39" i="1"/>
  <c r="AD38" i="1"/>
  <c r="AD37" i="1"/>
  <c r="AD36" i="1"/>
  <c r="AD28" i="1"/>
  <c r="AD27" i="1"/>
  <c r="AD26" i="1"/>
  <c r="AD25" i="1"/>
  <c r="AD24" i="1"/>
  <c r="N28" i="1"/>
  <c r="N27" i="1"/>
  <c r="N26" i="1"/>
  <c r="N25" i="1"/>
  <c r="N24" i="1"/>
  <c r="N23" i="1"/>
  <c r="F41" i="1"/>
  <c r="F40" i="1"/>
  <c r="F39" i="1"/>
  <c r="F38" i="1"/>
  <c r="F37" i="1"/>
  <c r="F36" i="1"/>
  <c r="F29" i="1"/>
  <c r="F28" i="1"/>
  <c r="F27" i="1"/>
  <c r="F26" i="1"/>
  <c r="F25" i="1"/>
  <c r="F24" i="1"/>
  <c r="F23" i="1"/>
  <c r="G24" i="1"/>
  <c r="BX24" i="1" s="1"/>
  <c r="H24" i="1"/>
  <c r="I24" i="1"/>
  <c r="J24" i="1"/>
  <c r="K24" i="1"/>
  <c r="O24" i="1"/>
  <c r="BY24" i="1" s="1"/>
  <c r="P24" i="1"/>
  <c r="Q24" i="1"/>
  <c r="R24" i="1"/>
  <c r="S24" i="1"/>
  <c r="W24" i="1"/>
  <c r="BZ24" i="1" s="1"/>
  <c r="X24" i="1"/>
  <c r="Y24" i="1"/>
  <c r="Z24" i="1"/>
  <c r="AA24" i="1"/>
  <c r="AE24" i="1"/>
  <c r="CA24" i="1" s="1"/>
  <c r="AF24" i="1"/>
  <c r="AG24" i="1"/>
  <c r="AH24" i="1"/>
  <c r="AI24" i="1"/>
  <c r="AM24" i="1"/>
  <c r="CB24" i="1" s="1"/>
  <c r="AN24" i="1"/>
  <c r="AO24" i="1"/>
  <c r="AP24" i="1"/>
  <c r="AQ24" i="1"/>
  <c r="AU24" i="1"/>
  <c r="CC24" i="1" s="1"/>
  <c r="AV24" i="1"/>
  <c r="AW24" i="1"/>
  <c r="AX24" i="1"/>
  <c r="AY24" i="1"/>
  <c r="G25" i="1"/>
  <c r="BX25" i="1" s="1"/>
  <c r="H25" i="1"/>
  <c r="I25" i="1"/>
  <c r="J25" i="1"/>
  <c r="K25" i="1"/>
  <c r="O25" i="1"/>
  <c r="BY25" i="1" s="1"/>
  <c r="P25" i="1"/>
  <c r="Q25" i="1"/>
  <c r="R25" i="1"/>
  <c r="S25" i="1"/>
  <c r="W25" i="1"/>
  <c r="BZ25" i="1" s="1"/>
  <c r="X25" i="1"/>
  <c r="Y25" i="1"/>
  <c r="Z25" i="1"/>
  <c r="AA25" i="1"/>
  <c r="AE25" i="1"/>
  <c r="CA25" i="1" s="1"/>
  <c r="AF25" i="1"/>
  <c r="AG25" i="1"/>
  <c r="AH25" i="1"/>
  <c r="AI25" i="1"/>
  <c r="AM25" i="1"/>
  <c r="CB25" i="1" s="1"/>
  <c r="AN25" i="1"/>
  <c r="AO25" i="1"/>
  <c r="AP25" i="1"/>
  <c r="AQ25" i="1"/>
  <c r="AU25" i="1"/>
  <c r="CC25" i="1" s="1"/>
  <c r="AV25" i="1"/>
  <c r="AW25" i="1"/>
  <c r="AX25" i="1"/>
  <c r="AY25" i="1"/>
  <c r="G26" i="1"/>
  <c r="BX26" i="1" s="1"/>
  <c r="H26" i="1"/>
  <c r="I26" i="1"/>
  <c r="J26" i="1"/>
  <c r="K26" i="1"/>
  <c r="O26" i="1"/>
  <c r="BY26" i="1" s="1"/>
  <c r="P26" i="1"/>
  <c r="Q26" i="1"/>
  <c r="R26" i="1"/>
  <c r="S26" i="1"/>
  <c r="W26" i="1"/>
  <c r="BZ26" i="1" s="1"/>
  <c r="X26" i="1"/>
  <c r="Y26" i="1"/>
  <c r="Z26" i="1"/>
  <c r="AA26" i="1"/>
  <c r="AE26" i="1"/>
  <c r="CA26" i="1" s="1"/>
  <c r="AF26" i="1"/>
  <c r="AG26" i="1"/>
  <c r="AH26" i="1"/>
  <c r="AI26" i="1"/>
  <c r="AM26" i="1"/>
  <c r="CB26" i="1" s="1"/>
  <c r="AN26" i="1"/>
  <c r="AO26" i="1"/>
  <c r="AP26" i="1"/>
  <c r="AQ26" i="1"/>
  <c r="AU26" i="1"/>
  <c r="CC26" i="1" s="1"/>
  <c r="AV26" i="1"/>
  <c r="AW26" i="1"/>
  <c r="AX26" i="1"/>
  <c r="AY26" i="1"/>
  <c r="G27" i="1"/>
  <c r="BX27" i="1" s="1"/>
  <c r="H27" i="1"/>
  <c r="I27" i="1"/>
  <c r="J27" i="1"/>
  <c r="K27" i="1"/>
  <c r="O27" i="1"/>
  <c r="BY27" i="1" s="1"/>
  <c r="P27" i="1"/>
  <c r="Q27" i="1"/>
  <c r="R27" i="1"/>
  <c r="S27" i="1"/>
  <c r="W27" i="1"/>
  <c r="BZ27" i="1" s="1"/>
  <c r="X27" i="1"/>
  <c r="Y27" i="1"/>
  <c r="Z27" i="1"/>
  <c r="AA27" i="1"/>
  <c r="AE27" i="1"/>
  <c r="CA27" i="1" s="1"/>
  <c r="AF27" i="1"/>
  <c r="AG27" i="1"/>
  <c r="AH27" i="1"/>
  <c r="AI27" i="1"/>
  <c r="AM27" i="1"/>
  <c r="CB27" i="1" s="1"/>
  <c r="AN27" i="1"/>
  <c r="AO27" i="1"/>
  <c r="AP27" i="1"/>
  <c r="AQ27" i="1"/>
  <c r="AU27" i="1"/>
  <c r="CC27" i="1" s="1"/>
  <c r="AV27" i="1"/>
  <c r="AW27" i="1"/>
  <c r="AX27" i="1"/>
  <c r="AY27" i="1"/>
  <c r="G28" i="1"/>
  <c r="BX28" i="1" s="1"/>
  <c r="H28" i="1"/>
  <c r="I28" i="1"/>
  <c r="J28" i="1"/>
  <c r="K28" i="1"/>
  <c r="O28" i="1"/>
  <c r="BY28" i="1" s="1"/>
  <c r="P28" i="1"/>
  <c r="Q28" i="1"/>
  <c r="R28" i="1"/>
  <c r="S28" i="1"/>
  <c r="W28" i="1"/>
  <c r="BZ28" i="1" s="1"/>
  <c r="X28" i="1"/>
  <c r="Y28" i="1"/>
  <c r="Z28" i="1"/>
  <c r="AA28" i="1"/>
  <c r="AE28" i="1"/>
  <c r="CA28" i="1" s="1"/>
  <c r="AF28" i="1"/>
  <c r="AG28" i="1"/>
  <c r="AH28" i="1"/>
  <c r="AI28" i="1"/>
  <c r="AM28" i="1"/>
  <c r="CB28" i="1" s="1"/>
  <c r="AN28" i="1"/>
  <c r="AO28" i="1"/>
  <c r="AP28" i="1"/>
  <c r="AQ28" i="1"/>
  <c r="AU28" i="1"/>
  <c r="CC28" i="1" s="1"/>
  <c r="AV28" i="1"/>
  <c r="AW28" i="1"/>
  <c r="AX28" i="1"/>
  <c r="AY28" i="1"/>
  <c r="G29" i="1"/>
  <c r="BX29" i="1" s="1"/>
  <c r="H29" i="1"/>
  <c r="I29" i="1"/>
  <c r="J29" i="1"/>
  <c r="K29" i="1"/>
  <c r="O29" i="1"/>
  <c r="BY29" i="1" s="1"/>
  <c r="P29" i="1"/>
  <c r="Q29" i="1"/>
  <c r="R29" i="1"/>
  <c r="S29" i="1"/>
  <c r="V29" i="1"/>
  <c r="W29" i="1"/>
  <c r="BZ29" i="1" s="1"/>
  <c r="X29" i="1"/>
  <c r="Y29" i="1"/>
  <c r="Z29" i="1"/>
  <c r="AA29" i="1"/>
  <c r="AE29" i="1"/>
  <c r="CA29" i="1" s="1"/>
  <c r="AF29" i="1"/>
  <c r="AG29" i="1"/>
  <c r="AH29" i="1"/>
  <c r="AI29" i="1"/>
  <c r="AM29" i="1"/>
  <c r="CB29" i="1" s="1"/>
  <c r="AN29" i="1"/>
  <c r="AO29" i="1"/>
  <c r="AP29" i="1"/>
  <c r="AQ29" i="1"/>
  <c r="AU29" i="1"/>
  <c r="CC29" i="1" s="1"/>
  <c r="AV29" i="1"/>
  <c r="AW29" i="1"/>
  <c r="AX29" i="1"/>
  <c r="AY29" i="1"/>
  <c r="G36" i="1"/>
  <c r="BX36" i="1" s="1"/>
  <c r="H36" i="1"/>
  <c r="I36" i="1"/>
  <c r="J36" i="1"/>
  <c r="K36" i="1"/>
  <c r="O36" i="1"/>
  <c r="BY36" i="1" s="1"/>
  <c r="P36" i="1"/>
  <c r="Q36" i="1"/>
  <c r="R36" i="1"/>
  <c r="S36" i="1"/>
  <c r="W36" i="1"/>
  <c r="BZ36" i="1" s="1"/>
  <c r="X36" i="1"/>
  <c r="Y36" i="1"/>
  <c r="Z36" i="1"/>
  <c r="AA36" i="1"/>
  <c r="AE36" i="1"/>
  <c r="CA36" i="1" s="1"/>
  <c r="AF36" i="1"/>
  <c r="AG36" i="1"/>
  <c r="AH36" i="1"/>
  <c r="AI36" i="1"/>
  <c r="AM36" i="1"/>
  <c r="CB36" i="1" s="1"/>
  <c r="AN36" i="1"/>
  <c r="AO36" i="1"/>
  <c r="AP36" i="1"/>
  <c r="AQ36" i="1"/>
  <c r="AU36" i="1"/>
  <c r="CC36" i="1" s="1"/>
  <c r="AV36" i="1"/>
  <c r="AW36" i="1"/>
  <c r="AX36" i="1"/>
  <c r="AY36" i="1"/>
  <c r="G37" i="1"/>
  <c r="BX37" i="1" s="1"/>
  <c r="H37" i="1"/>
  <c r="I37" i="1"/>
  <c r="J37" i="1"/>
  <c r="K37" i="1"/>
  <c r="O37" i="1"/>
  <c r="BY37" i="1" s="1"/>
  <c r="P37" i="1"/>
  <c r="Q37" i="1"/>
  <c r="R37" i="1"/>
  <c r="S37" i="1"/>
  <c r="W37" i="1"/>
  <c r="BZ37" i="1" s="1"/>
  <c r="X37" i="1"/>
  <c r="Y37" i="1"/>
  <c r="Z37" i="1"/>
  <c r="AA37" i="1"/>
  <c r="AE37" i="1"/>
  <c r="CA37" i="1" s="1"/>
  <c r="AF37" i="1"/>
  <c r="AG37" i="1"/>
  <c r="AH37" i="1"/>
  <c r="AI37" i="1"/>
  <c r="AM37" i="1"/>
  <c r="CB37" i="1" s="1"/>
  <c r="AN37" i="1"/>
  <c r="AO37" i="1"/>
  <c r="AP37" i="1"/>
  <c r="AQ37" i="1"/>
  <c r="AU37" i="1"/>
  <c r="CC37" i="1" s="1"/>
  <c r="AV37" i="1"/>
  <c r="AW37" i="1"/>
  <c r="AX37" i="1"/>
  <c r="AY37" i="1"/>
  <c r="G38" i="1"/>
  <c r="BX38" i="1" s="1"/>
  <c r="H38" i="1"/>
  <c r="I38" i="1"/>
  <c r="J38" i="1"/>
  <c r="K38" i="1"/>
  <c r="O38" i="1"/>
  <c r="BY38" i="1" s="1"/>
  <c r="P38" i="1"/>
  <c r="Q38" i="1"/>
  <c r="R38" i="1"/>
  <c r="S38" i="1"/>
  <c r="W38" i="1"/>
  <c r="BZ38" i="1" s="1"/>
  <c r="X38" i="1"/>
  <c r="Y38" i="1"/>
  <c r="Z38" i="1"/>
  <c r="AA38" i="1"/>
  <c r="AE38" i="1"/>
  <c r="CA38" i="1" s="1"/>
  <c r="AF38" i="1"/>
  <c r="AG38" i="1"/>
  <c r="AH38" i="1"/>
  <c r="AI38" i="1"/>
  <c r="AM38" i="1"/>
  <c r="CB38" i="1" s="1"/>
  <c r="AN38" i="1"/>
  <c r="AO38" i="1"/>
  <c r="AP38" i="1"/>
  <c r="AQ38" i="1"/>
  <c r="AU38" i="1"/>
  <c r="CC38" i="1" s="1"/>
  <c r="AV38" i="1"/>
  <c r="AW38" i="1"/>
  <c r="AX38" i="1"/>
  <c r="AY38" i="1"/>
  <c r="G39" i="1"/>
  <c r="BX39" i="1" s="1"/>
  <c r="H39" i="1"/>
  <c r="I39" i="1"/>
  <c r="J39" i="1"/>
  <c r="K39" i="1"/>
  <c r="O39" i="1"/>
  <c r="BY39" i="1" s="1"/>
  <c r="P39" i="1"/>
  <c r="Q39" i="1"/>
  <c r="R39" i="1"/>
  <c r="S39" i="1"/>
  <c r="W39" i="1"/>
  <c r="BZ39" i="1" s="1"/>
  <c r="X39" i="1"/>
  <c r="Y39" i="1"/>
  <c r="Z39" i="1"/>
  <c r="AA39" i="1"/>
  <c r="AE39" i="1"/>
  <c r="CA39" i="1" s="1"/>
  <c r="AF39" i="1"/>
  <c r="AG39" i="1"/>
  <c r="AH39" i="1"/>
  <c r="AI39" i="1"/>
  <c r="AM39" i="1"/>
  <c r="CB39" i="1" s="1"/>
  <c r="AN39" i="1"/>
  <c r="AO39" i="1"/>
  <c r="AP39" i="1"/>
  <c r="AQ39" i="1"/>
  <c r="AU39" i="1"/>
  <c r="CC39" i="1" s="1"/>
  <c r="AV39" i="1"/>
  <c r="AW39" i="1"/>
  <c r="AX39" i="1"/>
  <c r="AY39" i="1"/>
  <c r="G40" i="1"/>
  <c r="BX40" i="1" s="1"/>
  <c r="H40" i="1"/>
  <c r="I40" i="1"/>
  <c r="J40" i="1"/>
  <c r="K40" i="1"/>
  <c r="O40" i="1"/>
  <c r="BY40" i="1" s="1"/>
  <c r="P40" i="1"/>
  <c r="Q40" i="1"/>
  <c r="R40" i="1"/>
  <c r="S40" i="1"/>
  <c r="W40" i="1"/>
  <c r="BZ40" i="1" s="1"/>
  <c r="X40" i="1"/>
  <c r="Y40" i="1"/>
  <c r="Z40" i="1"/>
  <c r="AA40" i="1"/>
  <c r="AE40" i="1"/>
  <c r="CA40" i="1" s="1"/>
  <c r="AF40" i="1"/>
  <c r="AG40" i="1"/>
  <c r="AH40" i="1"/>
  <c r="AI40" i="1"/>
  <c r="AM40" i="1"/>
  <c r="CB40" i="1" s="1"/>
  <c r="AN40" i="1"/>
  <c r="AO40" i="1"/>
  <c r="AP40" i="1"/>
  <c r="AQ40" i="1"/>
  <c r="AU40" i="1"/>
  <c r="CC40" i="1" s="1"/>
  <c r="AV40" i="1"/>
  <c r="AW40" i="1"/>
  <c r="AX40" i="1"/>
  <c r="AY40" i="1"/>
  <c r="G41" i="1"/>
  <c r="BX41" i="1" s="1"/>
  <c r="H41" i="1"/>
  <c r="I41" i="1"/>
  <c r="J41" i="1"/>
  <c r="K41" i="1"/>
  <c r="O41" i="1"/>
  <c r="BY41" i="1" s="1"/>
  <c r="P41" i="1"/>
  <c r="Q41" i="1"/>
  <c r="R41" i="1"/>
  <c r="S41" i="1"/>
  <c r="W41" i="1"/>
  <c r="BZ41" i="1" s="1"/>
  <c r="X41" i="1"/>
  <c r="Y41" i="1"/>
  <c r="Z41" i="1"/>
  <c r="AA41" i="1"/>
  <c r="AE41" i="1"/>
  <c r="CA41" i="1" s="1"/>
  <c r="AF41" i="1"/>
  <c r="AG41" i="1"/>
  <c r="AH41" i="1"/>
  <c r="AI41" i="1"/>
  <c r="AM41" i="1"/>
  <c r="CB41" i="1" s="1"/>
  <c r="AN41" i="1"/>
  <c r="AO41" i="1"/>
  <c r="AP41" i="1"/>
  <c r="AQ41" i="1"/>
  <c r="AU41" i="1"/>
  <c r="CC41" i="1" s="1"/>
  <c r="AV41" i="1"/>
  <c r="AW41" i="1"/>
  <c r="AX41" i="1"/>
  <c r="AY41" i="1"/>
  <c r="AD21" i="1"/>
  <c r="AD20" i="1"/>
  <c r="AD19" i="1"/>
  <c r="AD18" i="1"/>
  <c r="AD17" i="1"/>
  <c r="AD16" i="1"/>
  <c r="N16" i="1"/>
  <c r="N17" i="1"/>
  <c r="N18" i="1"/>
  <c r="N19" i="1"/>
  <c r="N20" i="1"/>
  <c r="N21" i="1"/>
  <c r="AD13" i="1"/>
  <c r="AD12" i="1"/>
  <c r="N13" i="1"/>
  <c r="N12" i="1"/>
  <c r="AD11" i="1"/>
  <c r="AD10" i="1"/>
  <c r="N11" i="1"/>
  <c r="N10" i="1"/>
  <c r="AD7" i="1"/>
  <c r="N7" i="1"/>
  <c r="AM6" i="1"/>
  <c r="CB6" i="1" s="1"/>
  <c r="AN6" i="1"/>
  <c r="AO6" i="1"/>
  <c r="AP6" i="1"/>
  <c r="AQ6" i="1"/>
  <c r="AU6" i="1"/>
  <c r="CC6" i="1" s="1"/>
  <c r="AV6" i="1"/>
  <c r="AW6" i="1"/>
  <c r="AX6" i="1"/>
  <c r="AY6" i="1"/>
  <c r="AM7" i="1"/>
  <c r="CB7" i="1" s="1"/>
  <c r="AN7" i="1"/>
  <c r="AO7" i="1"/>
  <c r="AP7" i="1"/>
  <c r="AQ7" i="1"/>
  <c r="AU7" i="1"/>
  <c r="CC7" i="1" s="1"/>
  <c r="AV7" i="1"/>
  <c r="AW7" i="1"/>
  <c r="AX7" i="1"/>
  <c r="AY7" i="1"/>
  <c r="AM10" i="1"/>
  <c r="CB10" i="1" s="1"/>
  <c r="AN10" i="1"/>
  <c r="AO10" i="1"/>
  <c r="AP10" i="1"/>
  <c r="AQ10" i="1"/>
  <c r="AU10" i="1"/>
  <c r="CC10" i="1" s="1"/>
  <c r="AV10" i="1"/>
  <c r="AW10" i="1"/>
  <c r="AX10" i="1"/>
  <c r="AY10" i="1"/>
  <c r="AM11" i="1"/>
  <c r="CB11" i="1" s="1"/>
  <c r="AN11" i="1"/>
  <c r="AO11" i="1"/>
  <c r="AP11" i="1"/>
  <c r="AQ11" i="1"/>
  <c r="AU11" i="1"/>
  <c r="CC11" i="1" s="1"/>
  <c r="AV11" i="1"/>
  <c r="AW11" i="1"/>
  <c r="AX11" i="1"/>
  <c r="AY11" i="1"/>
  <c r="AM12" i="1"/>
  <c r="CB12" i="1" s="1"/>
  <c r="AN12" i="1"/>
  <c r="AO12" i="1"/>
  <c r="AP12" i="1"/>
  <c r="AQ12" i="1"/>
  <c r="AU12" i="1"/>
  <c r="CC12" i="1" s="1"/>
  <c r="AV12" i="1"/>
  <c r="AW12" i="1"/>
  <c r="AX12" i="1"/>
  <c r="AY12" i="1"/>
  <c r="AM13" i="1"/>
  <c r="CB13" i="1" s="1"/>
  <c r="AN13" i="1"/>
  <c r="AO13" i="1"/>
  <c r="AP13" i="1"/>
  <c r="AQ13" i="1"/>
  <c r="AU13" i="1"/>
  <c r="CC13" i="1" s="1"/>
  <c r="AV13" i="1"/>
  <c r="AW13" i="1"/>
  <c r="AX13" i="1"/>
  <c r="AY13" i="1"/>
  <c r="AM15" i="1"/>
  <c r="CB15" i="1" s="1"/>
  <c r="AN15" i="1"/>
  <c r="AO15" i="1"/>
  <c r="AP15" i="1"/>
  <c r="AQ15" i="1"/>
  <c r="AU15" i="1"/>
  <c r="CC15" i="1" s="1"/>
  <c r="AV15" i="1"/>
  <c r="AW15" i="1"/>
  <c r="AX15" i="1"/>
  <c r="AY15" i="1"/>
  <c r="AM16" i="1"/>
  <c r="CB16" i="1" s="1"/>
  <c r="AN16" i="1"/>
  <c r="AO16" i="1"/>
  <c r="AP16" i="1"/>
  <c r="AQ16" i="1"/>
  <c r="AU16" i="1"/>
  <c r="CC16" i="1" s="1"/>
  <c r="AV16" i="1"/>
  <c r="AW16" i="1"/>
  <c r="AX16" i="1"/>
  <c r="AY16" i="1"/>
  <c r="AM17" i="1"/>
  <c r="CB17" i="1" s="1"/>
  <c r="AN17" i="1"/>
  <c r="AO17" i="1"/>
  <c r="AP17" i="1"/>
  <c r="AQ17" i="1"/>
  <c r="AU17" i="1"/>
  <c r="CC17" i="1" s="1"/>
  <c r="AV17" i="1"/>
  <c r="AW17" i="1"/>
  <c r="AX17" i="1"/>
  <c r="AY17" i="1"/>
  <c r="AM18" i="1"/>
  <c r="CB18" i="1" s="1"/>
  <c r="AN18" i="1"/>
  <c r="AO18" i="1"/>
  <c r="AP18" i="1"/>
  <c r="AQ18" i="1"/>
  <c r="AU18" i="1"/>
  <c r="CC18" i="1" s="1"/>
  <c r="AV18" i="1"/>
  <c r="AW18" i="1"/>
  <c r="AX18" i="1"/>
  <c r="AY18" i="1"/>
  <c r="AM19" i="1"/>
  <c r="CB19" i="1" s="1"/>
  <c r="AN19" i="1"/>
  <c r="AO19" i="1"/>
  <c r="AP19" i="1"/>
  <c r="AQ19" i="1"/>
  <c r="AU19" i="1"/>
  <c r="CC19" i="1" s="1"/>
  <c r="AV19" i="1"/>
  <c r="AW19" i="1"/>
  <c r="AX19" i="1"/>
  <c r="AY19" i="1"/>
  <c r="AM20" i="1"/>
  <c r="CB20" i="1" s="1"/>
  <c r="AN20" i="1"/>
  <c r="AO20" i="1"/>
  <c r="AP20" i="1"/>
  <c r="AQ20" i="1"/>
  <c r="AU20" i="1"/>
  <c r="CC20" i="1" s="1"/>
  <c r="AV20" i="1"/>
  <c r="AW20" i="1"/>
  <c r="AX20" i="1"/>
  <c r="AY20" i="1"/>
  <c r="AE6" i="1"/>
  <c r="CA6" i="1" s="1"/>
  <c r="AF6" i="1"/>
  <c r="AG6" i="1"/>
  <c r="AH6" i="1"/>
  <c r="AI6" i="1"/>
  <c r="AE7" i="1"/>
  <c r="CA7" i="1" s="1"/>
  <c r="AF7" i="1"/>
  <c r="AG7" i="1"/>
  <c r="AH7" i="1"/>
  <c r="AI7" i="1"/>
  <c r="AE10" i="1"/>
  <c r="CA10" i="1" s="1"/>
  <c r="AF10" i="1"/>
  <c r="AG10" i="1"/>
  <c r="AH10" i="1"/>
  <c r="AI10" i="1"/>
  <c r="AE11" i="1"/>
  <c r="CA11" i="1" s="1"/>
  <c r="AF11" i="1"/>
  <c r="AG11" i="1"/>
  <c r="AH11" i="1"/>
  <c r="AI11" i="1"/>
  <c r="AE12" i="1"/>
  <c r="CA12" i="1" s="1"/>
  <c r="AF12" i="1"/>
  <c r="AG12" i="1"/>
  <c r="AH12" i="1"/>
  <c r="AI12" i="1"/>
  <c r="AE13" i="1"/>
  <c r="CA13" i="1" s="1"/>
  <c r="AF13" i="1"/>
  <c r="AG13" i="1"/>
  <c r="AH13" i="1"/>
  <c r="AI13" i="1"/>
  <c r="AE15" i="1"/>
  <c r="CA15" i="1" s="1"/>
  <c r="AF15" i="1"/>
  <c r="AG15" i="1"/>
  <c r="AH15" i="1"/>
  <c r="AI15" i="1"/>
  <c r="AE16" i="1"/>
  <c r="CA16" i="1" s="1"/>
  <c r="AF16" i="1"/>
  <c r="AG16" i="1"/>
  <c r="AH16" i="1"/>
  <c r="AI16" i="1"/>
  <c r="AE17" i="1"/>
  <c r="CA17" i="1" s="1"/>
  <c r="AF17" i="1"/>
  <c r="AG17" i="1"/>
  <c r="AH17" i="1"/>
  <c r="AI17" i="1"/>
  <c r="AE18" i="1"/>
  <c r="CA18" i="1" s="1"/>
  <c r="AF18" i="1"/>
  <c r="AG18" i="1"/>
  <c r="AH18" i="1"/>
  <c r="AI18" i="1"/>
  <c r="AE19" i="1"/>
  <c r="CA19" i="1" s="1"/>
  <c r="AF19" i="1"/>
  <c r="AG19" i="1"/>
  <c r="AH19" i="1"/>
  <c r="AI19" i="1"/>
  <c r="AE20" i="1"/>
  <c r="CA20" i="1" s="1"/>
  <c r="AF20" i="1"/>
  <c r="AG20" i="1"/>
  <c r="AH20" i="1"/>
  <c r="AI20" i="1"/>
  <c r="AD6" i="1"/>
  <c r="W6" i="1"/>
  <c r="BZ6" i="1" s="1"/>
  <c r="X6" i="1"/>
  <c r="Y6" i="1"/>
  <c r="Z6" i="1"/>
  <c r="AA6" i="1"/>
  <c r="W7" i="1"/>
  <c r="BZ7" i="1" s="1"/>
  <c r="X7" i="1"/>
  <c r="Y7" i="1"/>
  <c r="Z7" i="1"/>
  <c r="AA7" i="1"/>
  <c r="W10" i="1"/>
  <c r="BZ10" i="1" s="1"/>
  <c r="X10" i="1"/>
  <c r="Y10" i="1"/>
  <c r="Z10" i="1"/>
  <c r="AA10" i="1"/>
  <c r="W11" i="1"/>
  <c r="BZ11" i="1" s="1"/>
  <c r="X11" i="1"/>
  <c r="Y11" i="1"/>
  <c r="Z11" i="1"/>
  <c r="AA11" i="1"/>
  <c r="W12" i="1"/>
  <c r="BZ12" i="1" s="1"/>
  <c r="X12" i="1"/>
  <c r="Y12" i="1"/>
  <c r="Z12" i="1"/>
  <c r="AA12" i="1"/>
  <c r="W13" i="1"/>
  <c r="BZ13" i="1" s="1"/>
  <c r="X13" i="1"/>
  <c r="Y13" i="1"/>
  <c r="Z13" i="1"/>
  <c r="AA13" i="1"/>
  <c r="W15" i="1"/>
  <c r="BZ15" i="1" s="1"/>
  <c r="X15" i="1"/>
  <c r="Y15" i="1"/>
  <c r="Z15" i="1"/>
  <c r="AA15" i="1"/>
  <c r="W16" i="1"/>
  <c r="BZ16" i="1" s="1"/>
  <c r="X16" i="1"/>
  <c r="Y16" i="1"/>
  <c r="Z16" i="1"/>
  <c r="AA16" i="1"/>
  <c r="W17" i="1"/>
  <c r="BZ17" i="1" s="1"/>
  <c r="X17" i="1"/>
  <c r="Y17" i="1"/>
  <c r="Z17" i="1"/>
  <c r="AA17" i="1"/>
  <c r="W18" i="1"/>
  <c r="BZ18" i="1" s="1"/>
  <c r="X18" i="1"/>
  <c r="Y18" i="1"/>
  <c r="Z18" i="1"/>
  <c r="AA18" i="1"/>
  <c r="W19" i="1"/>
  <c r="BZ19" i="1" s="1"/>
  <c r="X19" i="1"/>
  <c r="Y19" i="1"/>
  <c r="Z19" i="1"/>
  <c r="AA19" i="1"/>
  <c r="W20" i="1"/>
  <c r="BZ20" i="1" s="1"/>
  <c r="X20" i="1"/>
  <c r="Y20" i="1"/>
  <c r="Z20" i="1"/>
  <c r="AA20" i="1"/>
  <c r="O6" i="1"/>
  <c r="BY6" i="1" s="1"/>
  <c r="P6" i="1"/>
  <c r="Q6" i="1"/>
  <c r="R6" i="1"/>
  <c r="S6" i="1"/>
  <c r="O7" i="1"/>
  <c r="BY7" i="1" s="1"/>
  <c r="P7" i="1"/>
  <c r="Q7" i="1"/>
  <c r="R7" i="1"/>
  <c r="S7" i="1"/>
  <c r="O10" i="1"/>
  <c r="BY10" i="1" s="1"/>
  <c r="P10" i="1"/>
  <c r="Q10" i="1"/>
  <c r="R10" i="1"/>
  <c r="S10" i="1"/>
  <c r="O11" i="1"/>
  <c r="BY11" i="1" s="1"/>
  <c r="P11" i="1"/>
  <c r="Q11" i="1"/>
  <c r="R11" i="1"/>
  <c r="S11" i="1"/>
  <c r="O12" i="1"/>
  <c r="BY12" i="1" s="1"/>
  <c r="P12" i="1"/>
  <c r="Q12" i="1"/>
  <c r="R12" i="1"/>
  <c r="S12" i="1"/>
  <c r="O13" i="1"/>
  <c r="BY13" i="1" s="1"/>
  <c r="P13" i="1"/>
  <c r="Q13" i="1"/>
  <c r="R13" i="1"/>
  <c r="S13" i="1"/>
  <c r="O15" i="1"/>
  <c r="BY15" i="1" s="1"/>
  <c r="P15" i="1"/>
  <c r="Q15" i="1"/>
  <c r="R15" i="1"/>
  <c r="S15" i="1"/>
  <c r="O16" i="1"/>
  <c r="BY16" i="1" s="1"/>
  <c r="P16" i="1"/>
  <c r="Q16" i="1"/>
  <c r="R16" i="1"/>
  <c r="S16" i="1"/>
  <c r="O17" i="1"/>
  <c r="BY17" i="1" s="1"/>
  <c r="P17" i="1"/>
  <c r="Q17" i="1"/>
  <c r="R17" i="1"/>
  <c r="S17" i="1"/>
  <c r="O18" i="1"/>
  <c r="BY18" i="1" s="1"/>
  <c r="P18" i="1"/>
  <c r="Q18" i="1"/>
  <c r="R18" i="1"/>
  <c r="S18" i="1"/>
  <c r="O19" i="1"/>
  <c r="BY19" i="1" s="1"/>
  <c r="P19" i="1"/>
  <c r="Q19" i="1"/>
  <c r="R19" i="1"/>
  <c r="S19" i="1"/>
  <c r="O20" i="1"/>
  <c r="BY20" i="1" s="1"/>
  <c r="P20" i="1"/>
  <c r="Q20" i="1"/>
  <c r="R20" i="1"/>
  <c r="S20" i="1"/>
  <c r="N6" i="1"/>
  <c r="G6" i="1"/>
  <c r="BX6" i="1" s="1"/>
  <c r="H6" i="1"/>
  <c r="I6" i="1"/>
  <c r="J6" i="1"/>
  <c r="K6" i="1"/>
  <c r="G7" i="1"/>
  <c r="BX7" i="1" s="1"/>
  <c r="H7" i="1"/>
  <c r="I7" i="1"/>
  <c r="J7" i="1"/>
  <c r="K7" i="1"/>
  <c r="G10" i="1"/>
  <c r="BX10" i="1" s="1"/>
  <c r="H10" i="1"/>
  <c r="I10" i="1"/>
  <c r="J10" i="1"/>
  <c r="K10" i="1"/>
  <c r="G11" i="1"/>
  <c r="BX11" i="1" s="1"/>
  <c r="H11" i="1"/>
  <c r="I11" i="1"/>
  <c r="J11" i="1"/>
  <c r="K11" i="1"/>
  <c r="G12" i="1"/>
  <c r="BX12" i="1" s="1"/>
  <c r="H12" i="1"/>
  <c r="I12" i="1"/>
  <c r="J12" i="1"/>
  <c r="K12" i="1"/>
  <c r="G13" i="1"/>
  <c r="BX13" i="1" s="1"/>
  <c r="H13" i="1"/>
  <c r="I13" i="1"/>
  <c r="J13" i="1"/>
  <c r="K13" i="1"/>
  <c r="G15" i="1"/>
  <c r="BX15" i="1" s="1"/>
  <c r="H15" i="1"/>
  <c r="I15" i="1"/>
  <c r="J15" i="1"/>
  <c r="K15" i="1"/>
  <c r="G16" i="1"/>
  <c r="BX16" i="1" s="1"/>
  <c r="H16" i="1"/>
  <c r="I16" i="1"/>
  <c r="J16" i="1"/>
  <c r="K16" i="1"/>
  <c r="G17" i="1"/>
  <c r="BX17" i="1" s="1"/>
  <c r="H17" i="1"/>
  <c r="I17" i="1"/>
  <c r="J17" i="1"/>
  <c r="K17" i="1"/>
  <c r="G18" i="1"/>
  <c r="BX18" i="1" s="1"/>
  <c r="H18" i="1"/>
  <c r="I18" i="1"/>
  <c r="J18" i="1"/>
  <c r="K18" i="1"/>
  <c r="G19" i="1"/>
  <c r="BX19" i="1" s="1"/>
  <c r="H19" i="1"/>
  <c r="I19" i="1"/>
  <c r="J19" i="1"/>
  <c r="K19" i="1"/>
  <c r="G20" i="1"/>
  <c r="BX20" i="1" s="1"/>
  <c r="H20" i="1"/>
  <c r="I20" i="1"/>
  <c r="J20" i="1"/>
  <c r="K20" i="1"/>
  <c r="F7" i="1"/>
  <c r="F10" i="1"/>
  <c r="F11" i="1"/>
  <c r="F12" i="1"/>
  <c r="F13" i="1"/>
  <c r="F15" i="1"/>
  <c r="BB15" i="1" s="1"/>
  <c r="F16" i="1"/>
  <c r="F17" i="1"/>
  <c r="F18" i="1"/>
  <c r="F19" i="1"/>
  <c r="F20" i="1"/>
  <c r="F6" i="1"/>
  <c r="H43" i="2"/>
  <c r="H42" i="2"/>
  <c r="H41" i="2"/>
  <c r="BV48" i="1" l="1"/>
  <c r="BR48" i="1"/>
  <c r="BU47" i="1"/>
  <c r="BT46" i="1"/>
  <c r="BW45" i="1"/>
  <c r="BS45" i="1"/>
  <c r="BS14" i="1"/>
  <c r="BW14" i="1"/>
  <c r="BT4" i="1"/>
  <c r="BW4" i="1"/>
  <c r="BT5" i="1"/>
  <c r="BW5" i="1"/>
  <c r="BR8" i="1"/>
  <c r="BT9" i="1"/>
  <c r="BW9" i="1"/>
  <c r="BT30" i="1"/>
  <c r="BS60" i="1"/>
  <c r="BV60" i="1"/>
  <c r="BS35" i="1"/>
  <c r="BV35" i="1"/>
  <c r="BU53" i="1"/>
  <c r="BU54" i="1"/>
  <c r="BU55" i="1"/>
  <c r="BU56" i="1"/>
  <c r="BU57" i="1"/>
  <c r="BU58" i="1"/>
  <c r="BU59" i="1"/>
  <c r="BU60" i="1"/>
  <c r="BT14" i="1"/>
  <c r="BR19" i="1"/>
  <c r="BR15" i="1"/>
  <c r="BR10" i="1"/>
  <c r="BS20" i="1"/>
  <c r="BS16" i="1"/>
  <c r="BS11" i="1"/>
  <c r="BT20" i="1"/>
  <c r="BT16" i="1"/>
  <c r="BT11" i="1"/>
  <c r="BU17" i="1"/>
  <c r="BU12" i="1"/>
  <c r="BU6" i="1"/>
  <c r="BV19" i="1"/>
  <c r="BV17" i="1"/>
  <c r="BV15" i="1"/>
  <c r="BV12" i="1"/>
  <c r="BV10" i="1"/>
  <c r="BV6" i="1"/>
  <c r="BV41" i="1"/>
  <c r="BR41" i="1"/>
  <c r="BT40" i="1"/>
  <c r="BV39" i="1"/>
  <c r="BR39" i="1"/>
  <c r="BT38" i="1"/>
  <c r="BV37" i="1"/>
  <c r="BR37" i="1"/>
  <c r="BT36" i="1"/>
  <c r="BV29" i="1"/>
  <c r="BS29" i="1"/>
  <c r="BU28" i="1"/>
  <c r="BW27" i="1"/>
  <c r="BS27" i="1"/>
  <c r="BU26" i="1"/>
  <c r="BW25" i="1"/>
  <c r="BS25" i="1"/>
  <c r="BU24" i="1"/>
  <c r="BW42" i="1"/>
  <c r="BS42" i="1"/>
  <c r="BV64" i="1"/>
  <c r="BR64" i="1"/>
  <c r="BU63" i="1"/>
  <c r="BT62" i="1"/>
  <c r="BW61" i="1"/>
  <c r="BS61" i="1"/>
  <c r="BV52" i="1"/>
  <c r="BR52" i="1"/>
  <c r="BU51" i="1"/>
  <c r="BT50" i="1"/>
  <c r="BW49" i="1"/>
  <c r="BS49" i="1"/>
  <c r="BT44" i="1"/>
  <c r="BW30" i="1"/>
  <c r="BT31" i="1"/>
  <c r="BW31" i="1"/>
  <c r="BT32" i="1"/>
  <c r="BV34" i="1"/>
  <c r="BU8" i="1"/>
  <c r="BR9" i="1"/>
  <c r="BS34" i="1"/>
  <c r="BU14" i="1"/>
  <c r="BR20" i="1"/>
  <c r="BS57" i="1"/>
  <c r="BV57" i="1"/>
  <c r="BS58" i="1"/>
  <c r="BV58" i="1"/>
  <c r="BS59" i="1"/>
  <c r="BV59" i="1"/>
  <c r="BR56" i="1"/>
  <c r="BR16" i="1"/>
  <c r="BR11" i="1"/>
  <c r="BU44" i="1"/>
  <c r="BU9" i="1"/>
  <c r="BW32" i="1"/>
  <c r="BT33" i="1"/>
  <c r="BW33" i="1"/>
  <c r="BT34" i="1"/>
  <c r="BW34" i="1"/>
  <c r="BT35" i="1"/>
  <c r="BW35" i="1"/>
  <c r="BR53" i="1"/>
  <c r="BR54" i="1"/>
  <c r="BR55" i="1"/>
  <c r="BR57" i="1"/>
  <c r="BR4" i="1"/>
  <c r="BU4" i="1"/>
  <c r="BR5" i="1"/>
  <c r="BU5" i="1"/>
  <c r="BS8" i="1"/>
  <c r="BR30" i="1"/>
  <c r="BU30" i="1"/>
  <c r="BR31" i="1"/>
  <c r="BU31" i="1"/>
  <c r="BR32" i="1"/>
  <c r="BU32" i="1"/>
  <c r="BR33" i="1"/>
  <c r="BU33" i="1"/>
  <c r="BR34" i="1"/>
  <c r="BU34" i="1"/>
  <c r="BR35" i="1"/>
  <c r="BU35" i="1"/>
  <c r="BS30" i="1"/>
  <c r="BV30" i="1"/>
  <c r="BS31" i="1"/>
  <c r="BV31" i="1"/>
  <c r="BS32" i="1"/>
  <c r="BV32" i="1"/>
  <c r="BS33" i="1"/>
  <c r="BV33" i="1"/>
  <c r="BR58" i="1"/>
  <c r="BR59" i="1"/>
  <c r="BR60" i="1"/>
  <c r="BR14" i="1"/>
  <c r="BS17" i="1"/>
  <c r="BS12" i="1"/>
  <c r="BS6" i="1"/>
  <c r="BT17" i="1"/>
  <c r="BT12" i="1"/>
  <c r="BT6" i="1"/>
  <c r="BU18" i="1"/>
  <c r="BU13" i="1"/>
  <c r="BU7" i="1"/>
  <c r="BW19" i="1"/>
  <c r="BW17" i="1"/>
  <c r="BW15" i="1"/>
  <c r="BW12" i="1"/>
  <c r="BW10" i="1"/>
  <c r="BW6" i="1"/>
  <c r="BW41" i="1"/>
  <c r="BS41" i="1"/>
  <c r="BU40" i="1"/>
  <c r="BW39" i="1"/>
  <c r="BS39" i="1"/>
  <c r="BU38" i="1"/>
  <c r="BW37" i="1"/>
  <c r="BS37" i="1"/>
  <c r="BU36" i="1"/>
  <c r="BW29" i="1"/>
  <c r="BV28" i="1"/>
  <c r="BR28" i="1"/>
  <c r="BT27" i="1"/>
  <c r="BV26" i="1"/>
  <c r="BR26" i="1"/>
  <c r="BT25" i="1"/>
  <c r="BV24" i="1"/>
  <c r="BR24" i="1"/>
  <c r="BT42" i="1"/>
  <c r="BW64" i="1"/>
  <c r="BS64" i="1"/>
  <c r="BV63" i="1"/>
  <c r="BR63" i="1"/>
  <c r="BU62" i="1"/>
  <c r="BS53" i="1"/>
  <c r="BV53" i="1"/>
  <c r="BS54" i="1"/>
  <c r="BV54" i="1"/>
  <c r="BS55" i="1"/>
  <c r="BV55" i="1"/>
  <c r="BS56" i="1"/>
  <c r="BV56" i="1"/>
  <c r="BR44" i="1"/>
  <c r="BR18" i="1"/>
  <c r="BR13" i="1"/>
  <c r="BR7" i="1"/>
  <c r="BS19" i="1"/>
  <c r="BS15" i="1"/>
  <c r="BS10" i="1"/>
  <c r="BT19" i="1"/>
  <c r="BT15" i="1"/>
  <c r="BT10" i="1"/>
  <c r="BU20" i="1"/>
  <c r="BU16" i="1"/>
  <c r="BU11" i="1"/>
  <c r="BW20" i="1"/>
  <c r="BW18" i="1"/>
  <c r="BW16" i="1"/>
  <c r="BW13" i="1"/>
  <c r="BW11" i="1"/>
  <c r="BW7" i="1"/>
  <c r="BU41" i="1"/>
  <c r="BW40" i="1"/>
  <c r="BS40" i="1"/>
  <c r="BU39" i="1"/>
  <c r="BW38" i="1"/>
  <c r="BS38" i="1"/>
  <c r="BU37" i="1"/>
  <c r="BW36" i="1"/>
  <c r="BS36" i="1"/>
  <c r="BU29" i="1"/>
  <c r="BR29" i="1"/>
  <c r="BT28" i="1"/>
  <c r="BV27" i="1"/>
  <c r="BR27" i="1"/>
  <c r="BT26" i="1"/>
  <c r="BV25" i="1"/>
  <c r="BR25" i="1"/>
  <c r="BT24" i="1"/>
  <c r="BV42" i="1"/>
  <c r="BR42" i="1"/>
  <c r="BS44" i="1"/>
  <c r="BW44" i="1"/>
  <c r="BU64" i="1"/>
  <c r="BT63" i="1"/>
  <c r="BW62" i="1"/>
  <c r="BS62" i="1"/>
  <c r="BV61" i="1"/>
  <c r="BR61" i="1"/>
  <c r="BU52" i="1"/>
  <c r="BT51" i="1"/>
  <c r="BW50" i="1"/>
  <c r="BS50" i="1"/>
  <c r="BV49" i="1"/>
  <c r="BR49" i="1"/>
  <c r="BU48" i="1"/>
  <c r="BT47" i="1"/>
  <c r="BW46" i="1"/>
  <c r="BS46" i="1"/>
  <c r="BV45" i="1"/>
  <c r="BV5" i="1"/>
  <c r="BV44" i="1"/>
  <c r="BR17" i="1"/>
  <c r="BR12" i="1"/>
  <c r="BR6" i="1"/>
  <c r="BS18" i="1"/>
  <c r="BS13" i="1"/>
  <c r="BS7" i="1"/>
  <c r="BT18" i="1"/>
  <c r="BT13" i="1"/>
  <c r="BT7" i="1"/>
  <c r="BU19" i="1"/>
  <c r="BU15" i="1"/>
  <c r="BU10" i="1"/>
  <c r="BV20" i="1"/>
  <c r="BV18" i="1"/>
  <c r="BV16" i="1"/>
  <c r="BV13" i="1"/>
  <c r="BV11" i="1"/>
  <c r="BV7" i="1"/>
  <c r="BT41" i="1"/>
  <c r="BV40" i="1"/>
  <c r="BR40" i="1"/>
  <c r="BT39" i="1"/>
  <c r="BV38" i="1"/>
  <c r="BR38" i="1"/>
  <c r="BT37" i="1"/>
  <c r="BV36" i="1"/>
  <c r="BR36" i="1"/>
  <c r="BT29" i="1"/>
  <c r="BW28" i="1"/>
  <c r="BS28" i="1"/>
  <c r="BU27" i="1"/>
  <c r="BW26" i="1"/>
  <c r="BS26" i="1"/>
  <c r="BU25" i="1"/>
  <c r="BW24" i="1"/>
  <c r="BS24" i="1"/>
  <c r="BU42" i="1"/>
  <c r="BT64" i="1"/>
  <c r="BW63" i="1"/>
  <c r="BS63" i="1"/>
  <c r="BV62" i="1"/>
  <c r="BR62" i="1"/>
  <c r="BU61" i="1"/>
  <c r="BT52" i="1"/>
  <c r="BW51" i="1"/>
  <c r="BS51" i="1"/>
  <c r="BV50" i="1"/>
  <c r="BR50" i="1"/>
  <c r="BU49" i="1"/>
  <c r="BT48" i="1"/>
  <c r="BW47" i="1"/>
  <c r="BS47" i="1"/>
  <c r="BV46" i="1"/>
  <c r="BR46" i="1"/>
  <c r="BU45" i="1"/>
  <c r="BT61" i="1"/>
  <c r="BW52" i="1"/>
  <c r="BS52" i="1"/>
  <c r="BV51" i="1"/>
  <c r="BR51" i="1"/>
  <c r="BU50" i="1"/>
  <c r="BT49" i="1"/>
  <c r="BW48" i="1"/>
  <c r="BS48" i="1"/>
  <c r="BV47" i="1"/>
  <c r="BR47" i="1"/>
  <c r="BU46" i="1"/>
  <c r="BT45" i="1"/>
  <c r="BV8" i="1"/>
  <c r="BT53" i="1"/>
  <c r="BW53" i="1"/>
  <c r="BT54" i="1"/>
  <c r="BW54" i="1"/>
  <c r="BT55" i="1"/>
  <c r="BW55" i="1"/>
  <c r="BT56" i="1"/>
  <c r="BW56" i="1"/>
  <c r="BT57" i="1"/>
  <c r="BW57" i="1"/>
  <c r="BT58" i="1"/>
  <c r="BW58" i="1"/>
  <c r="BT59" i="1"/>
  <c r="BW59" i="1"/>
  <c r="BT60" i="1"/>
  <c r="BW60" i="1"/>
  <c r="BR45" i="1"/>
  <c r="BS4" i="1"/>
  <c r="BV4" i="1"/>
  <c r="BS5" i="1"/>
  <c r="BT8" i="1"/>
  <c r="BW8" i="1"/>
  <c r="BS9" i="1"/>
  <c r="BV9" i="1"/>
  <c r="BV14" i="1"/>
  <c r="L3" i="1"/>
  <c r="L50" i="1"/>
  <c r="T46" i="1"/>
  <c r="T54" i="1"/>
  <c r="T62" i="1"/>
  <c r="AB54" i="1"/>
  <c r="AJ47" i="1"/>
  <c r="AJ58" i="1"/>
  <c r="L5" i="1"/>
  <c r="L37" i="1"/>
  <c r="AB44" i="1"/>
  <c r="L54" i="1"/>
  <c r="T47" i="1"/>
  <c r="T55" i="1"/>
  <c r="T63" i="1"/>
  <c r="AB58" i="1"/>
  <c r="AJ50" i="1"/>
  <c r="AR45" i="1"/>
  <c r="L13" i="1"/>
  <c r="T19" i="1"/>
  <c r="T44" i="1"/>
  <c r="L58" i="1"/>
  <c r="T50" i="1"/>
  <c r="T58" i="1"/>
  <c r="AB50" i="1"/>
  <c r="AB62" i="1"/>
  <c r="AJ51" i="1"/>
  <c r="AR53" i="1"/>
  <c r="L21" i="1"/>
  <c r="L46" i="1"/>
  <c r="L62" i="1"/>
  <c r="T51" i="1"/>
  <c r="T59" i="1"/>
  <c r="AB51" i="1"/>
  <c r="AJ46" i="1"/>
  <c r="AJ54" i="1"/>
  <c r="AR61" i="1"/>
  <c r="T37" i="1"/>
  <c r="T17" i="1"/>
  <c r="T5" i="1"/>
  <c r="T36" i="1"/>
  <c r="T24" i="1"/>
  <c r="T16" i="1"/>
  <c r="T4" i="1"/>
  <c r="T30" i="1"/>
  <c r="AB46" i="1"/>
  <c r="AZ20" i="1"/>
  <c r="T33" i="1"/>
  <c r="T25" i="1"/>
  <c r="T9" i="1"/>
  <c r="T32" i="1"/>
  <c r="T8" i="1"/>
  <c r="T38" i="1"/>
  <c r="T34" i="1"/>
  <c r="T26" i="1"/>
  <c r="T18" i="1"/>
  <c r="T10" i="1"/>
  <c r="AJ39" i="1"/>
  <c r="AJ35" i="1"/>
  <c r="AJ31" i="1"/>
  <c r="AJ27" i="1"/>
  <c r="AJ19" i="1"/>
  <c r="AJ11" i="1"/>
  <c r="AJ7" i="1"/>
  <c r="AB42" i="1"/>
  <c r="AB22" i="1"/>
  <c r="AB14" i="1"/>
  <c r="L40" i="1"/>
  <c r="L36" i="1"/>
  <c r="L32" i="1"/>
  <c r="L28" i="1"/>
  <c r="L24" i="1"/>
  <c r="L20" i="1"/>
  <c r="L16" i="1"/>
  <c r="L12" i="1"/>
  <c r="L8" i="1"/>
  <c r="L4" i="1"/>
  <c r="AR64" i="1"/>
  <c r="AR60" i="1"/>
  <c r="AR56" i="1"/>
  <c r="AR52" i="1"/>
  <c r="AR48" i="1"/>
  <c r="AJ38" i="1"/>
  <c r="AJ34" i="1"/>
  <c r="AJ30" i="1"/>
  <c r="AJ26" i="1"/>
  <c r="AJ18" i="1"/>
  <c r="AJ10" i="1"/>
  <c r="AJ6" i="1"/>
  <c r="AB29" i="1"/>
  <c r="L39" i="1"/>
  <c r="L35" i="1"/>
  <c r="L31" i="1"/>
  <c r="L27" i="1"/>
  <c r="L23" i="1"/>
  <c r="L19" i="1"/>
  <c r="L15" i="1"/>
  <c r="L11" i="1"/>
  <c r="L7" i="1"/>
  <c r="AR63" i="1"/>
  <c r="AR59" i="1"/>
  <c r="AR55" i="1"/>
  <c r="AR51" i="1"/>
  <c r="AR47" i="1"/>
  <c r="AJ41" i="1"/>
  <c r="AJ37" i="1"/>
  <c r="AJ33" i="1"/>
  <c r="AJ25" i="1"/>
  <c r="AJ21" i="1"/>
  <c r="AJ17" i="1"/>
  <c r="AJ13" i="1"/>
  <c r="AJ9" i="1"/>
  <c r="AJ5" i="1"/>
  <c r="AJ40" i="1"/>
  <c r="AJ36" i="1"/>
  <c r="AJ32" i="1"/>
  <c r="AJ28" i="1"/>
  <c r="AJ24" i="1"/>
  <c r="AJ20" i="1"/>
  <c r="AJ16" i="1"/>
  <c r="AJ12" i="1"/>
  <c r="AJ8" i="1"/>
  <c r="AJ4" i="1"/>
  <c r="AB15" i="1"/>
  <c r="AB3" i="1"/>
  <c r="AZ44" i="1"/>
  <c r="L47" i="1"/>
  <c r="L51" i="1"/>
  <c r="L55" i="1"/>
  <c r="L59" i="1"/>
  <c r="L63" i="1"/>
  <c r="AB47" i="1"/>
  <c r="AB55" i="1"/>
  <c r="AB59" i="1"/>
  <c r="AB63" i="1"/>
  <c r="AJ55" i="1"/>
  <c r="AR46" i="1"/>
  <c r="AR54" i="1"/>
  <c r="AR62" i="1"/>
  <c r="AZ50" i="1"/>
  <c r="AZ58" i="1"/>
  <c r="AZ5" i="1"/>
  <c r="AZ13" i="1"/>
  <c r="AZ21" i="1"/>
  <c r="AZ37" i="1"/>
  <c r="L6" i="1"/>
  <c r="L14" i="1"/>
  <c r="L22" i="1"/>
  <c r="L30" i="1"/>
  <c r="L38" i="1"/>
  <c r="T7" i="1"/>
  <c r="T23" i="1"/>
  <c r="T39" i="1"/>
  <c r="AB18" i="1"/>
  <c r="AB21" i="1"/>
  <c r="AB17" i="1"/>
  <c r="AB20" i="1"/>
  <c r="AB16" i="1"/>
  <c r="AB19" i="1"/>
  <c r="T14" i="1"/>
  <c r="AR40" i="1"/>
  <c r="AR36" i="1"/>
  <c r="AR32" i="1"/>
  <c r="AR28" i="1"/>
  <c r="AR24" i="1"/>
  <c r="AR20" i="1"/>
  <c r="AR16" i="1"/>
  <c r="AR12" i="1"/>
  <c r="AR8" i="1"/>
  <c r="AR4" i="1"/>
  <c r="AJ23" i="1"/>
  <c r="AJ15" i="1"/>
  <c r="AZ27" i="1"/>
  <c r="AZ31" i="1"/>
  <c r="AZ35" i="1"/>
  <c r="AZ39" i="1"/>
  <c r="AZ23" i="1"/>
  <c r="AZ19" i="1"/>
  <c r="AZ15" i="1"/>
  <c r="AZ11" i="1"/>
  <c r="AZ7" i="1"/>
  <c r="AZ64" i="1"/>
  <c r="AZ60" i="1"/>
  <c r="AZ56" i="1"/>
  <c r="AZ52" i="1"/>
  <c r="AZ48" i="1"/>
  <c r="AR39" i="1"/>
  <c r="AR35" i="1"/>
  <c r="AR31" i="1"/>
  <c r="AR27" i="1"/>
  <c r="AR23" i="1"/>
  <c r="AR19" i="1"/>
  <c r="AR15" i="1"/>
  <c r="AR11" i="1"/>
  <c r="AR7" i="1"/>
  <c r="AJ42" i="1"/>
  <c r="AJ22" i="1"/>
  <c r="AJ14" i="1"/>
  <c r="AZ24" i="1"/>
  <c r="AZ28" i="1"/>
  <c r="AZ32" i="1"/>
  <c r="AZ36" i="1"/>
  <c r="AZ40" i="1"/>
  <c r="AZ22" i="1"/>
  <c r="AZ18" i="1"/>
  <c r="AZ14" i="1"/>
  <c r="AZ10" i="1"/>
  <c r="AZ6" i="1"/>
  <c r="AZ63" i="1"/>
  <c r="AZ59" i="1"/>
  <c r="AZ55" i="1"/>
  <c r="AZ51" i="1"/>
  <c r="AZ47" i="1"/>
  <c r="AR42" i="1"/>
  <c r="AR38" i="1"/>
  <c r="AR34" i="1"/>
  <c r="AR30" i="1"/>
  <c r="AR26" i="1"/>
  <c r="AR22" i="1"/>
  <c r="AR18" i="1"/>
  <c r="AR14" i="1"/>
  <c r="AR10" i="1"/>
  <c r="AR6" i="1"/>
  <c r="AJ29" i="1"/>
  <c r="AR41" i="1"/>
  <c r="AR37" i="1"/>
  <c r="AR33" i="1"/>
  <c r="AR29" i="1"/>
  <c r="AR25" i="1"/>
  <c r="AR21" i="1"/>
  <c r="AR17" i="1"/>
  <c r="AR13" i="1"/>
  <c r="AR9" i="1"/>
  <c r="AR5" i="1"/>
  <c r="AB38" i="1"/>
  <c r="AB34" i="1"/>
  <c r="AB30" i="1"/>
  <c r="T29" i="1"/>
  <c r="AB41" i="1"/>
  <c r="AB37" i="1"/>
  <c r="AB33" i="1"/>
  <c r="AB40" i="1"/>
  <c r="AB36" i="1"/>
  <c r="AB32" i="1"/>
  <c r="AB39" i="1"/>
  <c r="AB35" i="1"/>
  <c r="AB31" i="1"/>
  <c r="T41" i="1"/>
  <c r="T21" i="1"/>
  <c r="T13" i="1"/>
  <c r="T40" i="1"/>
  <c r="T28" i="1"/>
  <c r="T20" i="1"/>
  <c r="T12" i="1"/>
  <c r="AZ3" i="1"/>
  <c r="AZ49" i="1"/>
  <c r="AZ4" i="1"/>
  <c r="AZ30" i="1"/>
  <c r="AB26" i="1"/>
  <c r="AB25" i="1"/>
  <c r="AB28" i="1"/>
  <c r="AB24" i="1"/>
  <c r="AB27" i="1"/>
  <c r="AB23" i="1"/>
  <c r="T22" i="1"/>
  <c r="AJ64" i="1"/>
  <c r="AJ60" i="1"/>
  <c r="AJ63" i="1"/>
  <c r="AJ3" i="1"/>
  <c r="AR44" i="1"/>
  <c r="L44" i="1"/>
  <c r="L48" i="1"/>
  <c r="L52" i="1"/>
  <c r="L56" i="1"/>
  <c r="L60" i="1"/>
  <c r="L64" i="1"/>
  <c r="T48" i="1"/>
  <c r="T52" i="1"/>
  <c r="T56" i="1"/>
  <c r="T60" i="1"/>
  <c r="T64" i="1"/>
  <c r="AB48" i="1"/>
  <c r="AB52" i="1"/>
  <c r="AB56" i="1"/>
  <c r="AB60" i="1"/>
  <c r="AB64" i="1"/>
  <c r="AJ48" i="1"/>
  <c r="AJ52" i="1"/>
  <c r="AJ56" i="1"/>
  <c r="AJ61" i="1"/>
  <c r="AR49" i="1"/>
  <c r="AR57" i="1"/>
  <c r="AZ45" i="1"/>
  <c r="AZ53" i="1"/>
  <c r="AZ61" i="1"/>
  <c r="AZ8" i="1"/>
  <c r="AZ16" i="1"/>
  <c r="AZ42" i="1"/>
  <c r="AZ34" i="1"/>
  <c r="AZ26" i="1"/>
  <c r="L9" i="1"/>
  <c r="L17" i="1"/>
  <c r="L25" i="1"/>
  <c r="L33" i="1"/>
  <c r="L41" i="1"/>
  <c r="T11" i="1"/>
  <c r="T27" i="1"/>
  <c r="AZ57" i="1"/>
  <c r="AZ12" i="1"/>
  <c r="AZ38" i="1"/>
  <c r="T6" i="1"/>
  <c r="AB10" i="1"/>
  <c r="AB6" i="1"/>
  <c r="AB13" i="1"/>
  <c r="AB9" i="1"/>
  <c r="AB5" i="1"/>
  <c r="AB12" i="1"/>
  <c r="AB8" i="1"/>
  <c r="AB11" i="1"/>
  <c r="AB7" i="1"/>
  <c r="T3" i="1"/>
  <c r="AR3" i="1"/>
  <c r="AJ44" i="1"/>
  <c r="L45" i="1"/>
  <c r="L49" i="1"/>
  <c r="L53" i="1"/>
  <c r="L57" i="1"/>
  <c r="L61" i="1"/>
  <c r="T45" i="1"/>
  <c r="T49" i="1"/>
  <c r="T53" i="1"/>
  <c r="T57" i="1"/>
  <c r="AB45" i="1"/>
  <c r="AB53" i="1"/>
  <c r="AB57" i="1"/>
  <c r="AB61" i="1"/>
  <c r="AJ45" i="1"/>
  <c r="AJ49" i="1"/>
  <c r="AJ53" i="1"/>
  <c r="AJ57" i="1"/>
  <c r="AJ62" i="1"/>
  <c r="AR50" i="1"/>
  <c r="AR58" i="1"/>
  <c r="AZ46" i="1"/>
  <c r="AZ54" i="1"/>
  <c r="AZ62" i="1"/>
  <c r="AZ9" i="1"/>
  <c r="AZ17" i="1"/>
  <c r="AZ41" i="1"/>
  <c r="AZ33" i="1"/>
  <c r="AZ25" i="1"/>
  <c r="L10" i="1"/>
  <c r="L18" i="1"/>
  <c r="L26" i="1"/>
  <c r="L34" i="1"/>
  <c r="L42" i="1"/>
  <c r="T15" i="1"/>
  <c r="T31" i="1"/>
  <c r="BG14" i="1"/>
  <c r="BB54" i="1"/>
  <c r="BE14" i="1"/>
  <c r="BG57" i="1"/>
  <c r="BC57" i="1"/>
  <c r="BB14" i="1"/>
  <c r="BC58" i="1"/>
  <c r="BD58" i="1" s="1"/>
  <c r="BC14" i="1"/>
  <c r="BB34" i="1"/>
  <c r="BC59" i="1"/>
  <c r="BC60" i="1"/>
  <c r="BG60" i="1"/>
  <c r="BB51" i="1"/>
  <c r="BE57" i="1"/>
  <c r="BG59" i="1"/>
  <c r="BE58" i="1"/>
  <c r="BF58" i="1" s="1"/>
  <c r="BB59" i="1"/>
  <c r="BG58" i="1"/>
  <c r="BE59" i="1"/>
  <c r="BF59" i="1" s="1"/>
  <c r="BB60" i="1"/>
  <c r="BE60" i="1"/>
  <c r="BB57" i="1"/>
  <c r="BB32" i="1"/>
  <c r="BB16" i="1"/>
  <c r="BE53" i="1"/>
  <c r="BC55" i="1"/>
  <c r="BC53" i="1"/>
  <c r="BG55" i="1"/>
  <c r="BB47" i="1"/>
  <c r="BB56" i="1"/>
  <c r="BB31" i="1"/>
  <c r="BG56" i="1"/>
  <c r="BB45" i="1"/>
  <c r="BC35" i="1"/>
  <c r="BE56" i="1"/>
  <c r="BC56" i="1"/>
  <c r="BC54" i="1"/>
  <c r="BD54" i="1" s="1"/>
  <c r="BB11" i="1"/>
  <c r="BC34" i="1"/>
  <c r="BD34" i="1" s="1"/>
  <c r="BG53" i="1"/>
  <c r="BB62" i="1"/>
  <c r="BG34" i="1"/>
  <c r="BE54" i="1"/>
  <c r="BB55" i="1"/>
  <c r="BG54" i="1"/>
  <c r="BB27" i="1"/>
  <c r="BE55" i="1"/>
  <c r="BB61" i="1"/>
  <c r="BB52" i="1"/>
  <c r="BB53" i="1"/>
  <c r="BG35" i="1"/>
  <c r="BB49" i="1"/>
  <c r="BB29" i="1"/>
  <c r="BB44" i="1"/>
  <c r="BE31" i="1"/>
  <c r="BF31" i="1" s="1"/>
  <c r="BC32" i="1"/>
  <c r="BG32" i="1"/>
  <c r="BB40" i="1"/>
  <c r="BE34" i="1"/>
  <c r="BF34" i="1" s="1"/>
  <c r="BB35" i="1"/>
  <c r="BC31" i="1"/>
  <c r="BD31" i="1" s="1"/>
  <c r="BE35" i="1"/>
  <c r="BG31" i="1"/>
  <c r="BC33" i="1"/>
  <c r="BG33" i="1"/>
  <c r="BC30" i="1"/>
  <c r="BG30" i="1"/>
  <c r="BE32" i="1"/>
  <c r="BB33" i="1"/>
  <c r="BB8" i="1"/>
  <c r="BB39" i="1"/>
  <c r="BB28" i="1"/>
  <c r="BE33" i="1"/>
  <c r="BB20" i="1"/>
  <c r="BB30" i="1"/>
  <c r="BB64" i="1"/>
  <c r="BE30" i="1"/>
  <c r="BG8" i="1"/>
  <c r="BC9" i="1"/>
  <c r="BG9" i="1"/>
  <c r="BC8" i="1"/>
  <c r="BB41" i="1"/>
  <c r="BC51" i="1"/>
  <c r="BD51" i="1" s="1"/>
  <c r="BE8" i="1"/>
  <c r="BF8" i="1" s="1"/>
  <c r="BG64" i="1"/>
  <c r="BB9" i="1"/>
  <c r="BB12" i="1"/>
  <c r="BG4" i="1"/>
  <c r="BE40" i="1"/>
  <c r="BE9" i="1"/>
  <c r="BB63" i="1"/>
  <c r="BB46" i="1"/>
  <c r="BE4" i="1"/>
  <c r="BC4" i="1"/>
  <c r="BB6" i="1"/>
  <c r="BB48" i="1"/>
  <c r="BC5" i="1"/>
  <c r="BG5" i="1"/>
  <c r="BB4" i="1"/>
  <c r="BB5" i="1"/>
  <c r="BE5" i="1"/>
  <c r="BG44" i="1"/>
  <c r="BB13" i="1"/>
  <c r="BC47" i="1"/>
  <c r="BB26" i="1"/>
  <c r="BE51" i="1"/>
  <c r="BF51" i="1" s="1"/>
  <c r="BB17" i="1"/>
  <c r="BB18" i="1"/>
  <c r="BB19" i="1"/>
  <c r="BG41" i="1"/>
  <c r="BB10" i="1"/>
  <c r="BE27" i="1"/>
  <c r="BB50" i="1"/>
  <c r="BC52" i="1"/>
  <c r="BD52" i="1" s="1"/>
  <c r="BE61" i="1"/>
  <c r="BC61" i="1"/>
  <c r="BG46" i="1"/>
  <c r="BC63" i="1"/>
  <c r="BE45" i="1"/>
  <c r="BE46" i="1"/>
  <c r="BE62" i="1"/>
  <c r="BF62" i="1" s="1"/>
  <c r="BG51" i="1"/>
  <c r="BG50" i="1"/>
  <c r="BG61" i="1"/>
  <c r="BG48" i="1"/>
  <c r="BC46" i="1"/>
  <c r="BE50" i="1"/>
  <c r="BC50" i="1"/>
  <c r="BG45" i="1"/>
  <c r="BG52" i="1"/>
  <c r="BG62" i="1"/>
  <c r="BC64" i="1"/>
  <c r="BC62" i="1"/>
  <c r="BE47" i="1"/>
  <c r="BC45" i="1"/>
  <c r="BD45" i="1" s="1"/>
  <c r="BE52" i="1"/>
  <c r="BF52" i="1" s="1"/>
  <c r="BC48" i="1"/>
  <c r="BE64" i="1"/>
  <c r="BE63" i="1"/>
  <c r="BG49" i="1"/>
  <c r="BG63" i="1"/>
  <c r="BE49" i="1"/>
  <c r="BC49" i="1"/>
  <c r="BE48" i="1"/>
  <c r="BG47" i="1"/>
  <c r="BE44" i="1"/>
  <c r="BC44" i="1"/>
  <c r="BD44" i="1" s="1"/>
  <c r="BE42" i="1"/>
  <c r="BF42" i="1" s="1"/>
  <c r="BC42" i="1"/>
  <c r="BD42" i="1" s="1"/>
  <c r="BG42" i="1"/>
  <c r="BB37" i="1"/>
  <c r="BB38" i="1"/>
  <c r="BG36" i="1"/>
  <c r="BB36" i="1"/>
  <c r="BE39" i="1"/>
  <c r="BG40" i="1"/>
  <c r="BE36" i="1"/>
  <c r="BE38" i="1"/>
  <c r="BG29" i="1"/>
  <c r="BE37" i="1"/>
  <c r="BG39" i="1"/>
  <c r="BC24" i="1"/>
  <c r="BE26" i="1"/>
  <c r="BE24" i="1"/>
  <c r="BB24" i="1"/>
  <c r="BG25" i="1"/>
  <c r="BC28" i="1"/>
  <c r="BC36" i="1"/>
  <c r="BE25" i="1"/>
  <c r="BC25" i="1"/>
  <c r="BC26" i="1"/>
  <c r="BC40" i="1"/>
  <c r="BC38" i="1"/>
  <c r="BG37" i="1"/>
  <c r="BC29" i="1"/>
  <c r="BD29" i="1" s="1"/>
  <c r="BE41" i="1"/>
  <c r="BG24" i="1"/>
  <c r="BB25" i="1"/>
  <c r="BE29" i="1"/>
  <c r="BF29" i="1" s="1"/>
  <c r="BG28" i="1"/>
  <c r="BE28" i="1"/>
  <c r="BG27" i="1"/>
  <c r="BG38" i="1"/>
  <c r="BG26" i="1"/>
  <c r="BC27" i="1"/>
  <c r="BE18" i="1"/>
  <c r="BE20" i="1"/>
  <c r="BG19" i="1"/>
  <c r="BE13" i="1"/>
  <c r="BE11" i="1"/>
  <c r="BF11" i="1" s="1"/>
  <c r="BE15" i="1"/>
  <c r="BF15" i="1" s="1"/>
  <c r="BC18" i="1"/>
  <c r="BD18" i="1" s="1"/>
  <c r="BG6" i="1"/>
  <c r="BG20" i="1"/>
  <c r="BC13" i="1"/>
  <c r="BE16" i="1"/>
  <c r="BF16" i="1" s="1"/>
  <c r="BG16" i="1"/>
  <c r="BC16" i="1"/>
  <c r="BD16" i="1" s="1"/>
  <c r="BE12" i="1"/>
  <c r="BG12" i="1"/>
  <c r="BC20" i="1"/>
  <c r="BG15" i="1"/>
  <c r="BE19" i="1"/>
  <c r="BE17" i="1"/>
  <c r="BC11" i="1"/>
  <c r="BD11" i="1" s="1"/>
  <c r="BE6" i="1"/>
  <c r="BF6" i="1" s="1"/>
  <c r="BG11" i="1"/>
  <c r="BE10" i="1"/>
  <c r="BG10" i="1"/>
  <c r="BC19" i="1"/>
  <c r="BD19" i="1" s="1"/>
  <c r="BG13" i="1"/>
  <c r="BC17" i="1"/>
  <c r="BG18" i="1"/>
  <c r="BC6" i="1"/>
  <c r="BD6" i="1" s="1"/>
  <c r="BC15" i="1"/>
  <c r="BD15" i="1" s="1"/>
  <c r="BC12" i="1"/>
  <c r="BC10" i="1"/>
  <c r="BG17" i="1"/>
  <c r="BB7" i="1"/>
  <c r="BE7" i="1"/>
  <c r="BG7" i="1"/>
  <c r="BC7" i="1"/>
  <c r="CD9" i="1" l="1"/>
  <c r="CD58" i="1"/>
  <c r="CD14" i="1"/>
  <c r="CD34" i="1"/>
  <c r="CD32" i="1"/>
  <c r="CD30" i="1"/>
  <c r="CD64" i="1"/>
  <c r="CD55" i="1"/>
  <c r="CD19" i="1"/>
  <c r="CD12" i="1"/>
  <c r="CD44" i="1"/>
  <c r="CD35" i="1"/>
  <c r="CD33" i="1"/>
  <c r="CD4" i="1"/>
  <c r="CD57" i="1"/>
  <c r="CD60" i="1"/>
  <c r="CD25" i="1"/>
  <c r="CD31" i="1"/>
  <c r="CD8" i="1"/>
  <c r="CD45" i="1"/>
  <c r="CD37" i="1"/>
  <c r="CD40" i="1"/>
  <c r="CD7" i="1"/>
  <c r="CD17" i="1"/>
  <c r="CD5" i="1"/>
  <c r="CD63" i="1"/>
  <c r="CD54" i="1"/>
  <c r="CD36" i="1"/>
  <c r="CD41" i="1"/>
  <c r="CD50" i="1"/>
  <c r="CD42" i="1"/>
  <c r="CD20" i="1"/>
  <c r="CD13" i="1"/>
  <c r="CD59" i="1"/>
  <c r="CD48" i="1"/>
  <c r="CD51" i="1"/>
  <c r="CD24" i="1"/>
  <c r="CD29" i="1"/>
  <c r="CD15" i="1"/>
  <c r="CD53" i="1"/>
  <c r="CD46" i="1"/>
  <c r="CD62" i="1"/>
  <c r="CD6" i="1"/>
  <c r="CD27" i="1"/>
  <c r="CD11" i="1"/>
  <c r="CD56" i="1"/>
  <c r="CD47" i="1"/>
  <c r="CD52" i="1"/>
  <c r="CD28" i="1"/>
  <c r="CD39" i="1"/>
  <c r="CD16" i="1"/>
  <c r="CD49" i="1"/>
  <c r="CD38" i="1"/>
  <c r="CD61" i="1"/>
  <c r="CD26" i="1"/>
  <c r="CD18" i="1"/>
  <c r="CD10" i="1"/>
  <c r="BD14" i="1"/>
  <c r="BF14" i="1"/>
  <c r="BL45" i="1"/>
  <c r="BP45" i="1" s="1"/>
  <c r="BL57" i="1"/>
  <c r="BP57" i="1" s="1"/>
  <c r="BL46" i="1"/>
  <c r="BP46" i="1" s="1"/>
  <c r="BL61" i="1"/>
  <c r="BP61" i="1" s="1"/>
  <c r="BL49" i="1"/>
  <c r="BP49" i="1" s="1"/>
  <c r="BL56" i="1"/>
  <c r="BP56" i="1" s="1"/>
  <c r="BL53" i="1"/>
  <c r="BP53" i="1" s="1"/>
  <c r="BL63" i="1"/>
  <c r="BP63" i="1" s="1"/>
  <c r="BL47" i="1"/>
  <c r="BP47" i="1" s="1"/>
  <c r="BL37" i="1"/>
  <c r="BP37" i="1" s="1"/>
  <c r="BL13" i="1"/>
  <c r="BP13" i="1" s="1"/>
  <c r="BL29" i="1"/>
  <c r="BP29" i="1" s="1"/>
  <c r="BL7" i="1"/>
  <c r="BP7" i="1" s="1"/>
  <c r="BL23" i="1"/>
  <c r="BP23" i="1" s="1"/>
  <c r="BL14" i="1"/>
  <c r="BP14" i="1" s="1"/>
  <c r="BL18" i="1"/>
  <c r="BP18" i="1" s="1"/>
  <c r="BL4" i="1"/>
  <c r="BP4" i="1" s="1"/>
  <c r="BL5" i="1"/>
  <c r="BP5" i="1" s="1"/>
  <c r="BL34" i="1"/>
  <c r="BP34" i="1" s="1"/>
  <c r="BL58" i="1"/>
  <c r="BP58" i="1" s="1"/>
  <c r="BL17" i="1"/>
  <c r="BP17" i="1" s="1"/>
  <c r="BL33" i="1"/>
  <c r="BP33" i="1" s="1"/>
  <c r="BL11" i="1"/>
  <c r="BP11" i="1" s="1"/>
  <c r="BL27" i="1"/>
  <c r="BP27" i="1" s="1"/>
  <c r="BL22" i="1"/>
  <c r="BP22" i="1" s="1"/>
  <c r="BL20" i="1"/>
  <c r="BP20" i="1" s="1"/>
  <c r="BL42" i="1"/>
  <c r="BP42" i="1" s="1"/>
  <c r="BL39" i="1"/>
  <c r="BP39" i="1" s="1"/>
  <c r="BL3" i="1"/>
  <c r="BP3" i="1" s="1"/>
  <c r="BL30" i="1"/>
  <c r="BP30" i="1" s="1"/>
  <c r="BL40" i="1"/>
  <c r="BP40" i="1" s="1"/>
  <c r="BL52" i="1"/>
  <c r="BP52" i="1" s="1"/>
  <c r="BL50" i="1"/>
  <c r="BP50" i="1" s="1"/>
  <c r="BL59" i="1"/>
  <c r="BP59" i="1" s="1"/>
  <c r="BL54" i="1"/>
  <c r="BP54" i="1" s="1"/>
  <c r="BL38" i="1"/>
  <c r="BP38" i="1" s="1"/>
  <c r="BL21" i="1"/>
  <c r="BP21" i="1" s="1"/>
  <c r="BL15" i="1"/>
  <c r="BP15" i="1" s="1"/>
  <c r="BL10" i="1"/>
  <c r="BP10" i="1" s="1"/>
  <c r="BL16" i="1"/>
  <c r="BP16" i="1" s="1"/>
  <c r="BL8" i="1"/>
  <c r="BP8" i="1" s="1"/>
  <c r="BL35" i="1"/>
  <c r="BP35" i="1" s="1"/>
  <c r="BL6" i="1"/>
  <c r="BP6" i="1" s="1"/>
  <c r="BL64" i="1"/>
  <c r="BP64" i="1" s="1"/>
  <c r="BL48" i="1"/>
  <c r="BP48" i="1" s="1"/>
  <c r="BL62" i="1"/>
  <c r="BP62" i="1" s="1"/>
  <c r="BL55" i="1"/>
  <c r="BP55" i="1" s="1"/>
  <c r="BL36" i="1"/>
  <c r="BP36" i="1" s="1"/>
  <c r="BL32" i="1"/>
  <c r="BP32" i="1" s="1"/>
  <c r="BL9" i="1"/>
  <c r="BP9" i="1" s="1"/>
  <c r="BL25" i="1"/>
  <c r="BP25" i="1" s="1"/>
  <c r="BL41" i="1"/>
  <c r="BP41" i="1" s="1"/>
  <c r="BL19" i="1"/>
  <c r="BP19" i="1" s="1"/>
  <c r="BL12" i="1"/>
  <c r="BP12" i="1" s="1"/>
  <c r="BL24" i="1"/>
  <c r="BP24" i="1" s="1"/>
  <c r="BL31" i="1"/>
  <c r="BP31" i="1" s="1"/>
  <c r="BL28" i="1"/>
  <c r="BP28" i="1" s="1"/>
  <c r="BL26" i="1"/>
  <c r="BP26" i="1" s="1"/>
  <c r="BL60" i="1"/>
  <c r="BP60" i="1" s="1"/>
  <c r="BL44" i="1"/>
  <c r="BP44" i="1" s="1"/>
  <c r="BL51" i="1"/>
  <c r="BP51" i="1" s="1"/>
  <c r="BH45" i="1"/>
  <c r="BH14" i="1"/>
  <c r="BH57" i="1"/>
  <c r="BD57" i="1"/>
  <c r="BF54" i="1"/>
  <c r="BH54" i="1"/>
  <c r="BD53" i="1"/>
  <c r="BD32" i="1"/>
  <c r="BH55" i="1"/>
  <c r="BD60" i="1"/>
  <c r="BD55" i="1"/>
  <c r="BD56" i="1"/>
  <c r="BD59" i="1"/>
  <c r="BF60" i="1"/>
  <c r="BF47" i="1"/>
  <c r="BD35" i="1"/>
  <c r="BF61" i="1"/>
  <c r="BH58" i="1"/>
  <c r="BI58" i="1" s="1"/>
  <c r="BF57" i="1"/>
  <c r="BF32" i="1"/>
  <c r="BH60" i="1"/>
  <c r="BD47" i="1"/>
  <c r="BH59" i="1"/>
  <c r="BI59" i="1" s="1"/>
  <c r="BH13" i="1"/>
  <c r="BH53" i="1"/>
  <c r="BD49" i="1"/>
  <c r="BF45" i="1"/>
  <c r="BF49" i="1"/>
  <c r="BF41" i="1"/>
  <c r="BD61" i="1"/>
  <c r="BF56" i="1"/>
  <c r="BD27" i="1"/>
  <c r="BF27" i="1"/>
  <c r="BH56" i="1"/>
  <c r="BF53" i="1"/>
  <c r="BF35" i="1"/>
  <c r="BF48" i="1"/>
  <c r="BH27" i="1"/>
  <c r="BF39" i="1"/>
  <c r="BD40" i="1"/>
  <c r="BF40" i="1"/>
  <c r="BH31" i="1"/>
  <c r="BJ31" i="1" s="1"/>
  <c r="BK31" i="1" s="1"/>
  <c r="BH4" i="1"/>
  <c r="BD10" i="1"/>
  <c r="BD5" i="1"/>
  <c r="BF33" i="1"/>
  <c r="BF55" i="1"/>
  <c r="BD62" i="1"/>
  <c r="BH34" i="1"/>
  <c r="BI34" i="1" s="1"/>
  <c r="BD20" i="1"/>
  <c r="BH42" i="1"/>
  <c r="BJ42" i="1" s="1"/>
  <c r="BK42" i="1" s="1"/>
  <c r="BD30" i="1"/>
  <c r="BD64" i="1"/>
  <c r="BD33" i="1"/>
  <c r="BD13" i="1"/>
  <c r="BD28" i="1"/>
  <c r="BH30" i="1"/>
  <c r="BH35" i="1"/>
  <c r="BF13" i="1"/>
  <c r="BD38" i="1"/>
  <c r="BF4" i="1"/>
  <c r="BD17" i="1"/>
  <c r="BF28" i="1"/>
  <c r="BD8" i="1"/>
  <c r="BH32" i="1"/>
  <c r="BF12" i="1"/>
  <c r="BF17" i="1"/>
  <c r="BH33" i="1"/>
  <c r="BF9" i="1"/>
  <c r="BF30" i="1"/>
  <c r="BD12" i="1"/>
  <c r="BF20" i="1"/>
  <c r="BD26" i="1"/>
  <c r="BD48" i="1"/>
  <c r="BD46" i="1"/>
  <c r="BD9" i="1"/>
  <c r="BF37" i="1"/>
  <c r="BF7" i="1"/>
  <c r="BH40" i="1"/>
  <c r="BH44" i="1"/>
  <c r="BH51" i="1"/>
  <c r="BJ51" i="1" s="1"/>
  <c r="BK51" i="1" s="1"/>
  <c r="BF46" i="1"/>
  <c r="BH8" i="1"/>
  <c r="BD63" i="1"/>
  <c r="BF26" i="1"/>
  <c r="BF63" i="1"/>
  <c r="BH9" i="1"/>
  <c r="BF5" i="1"/>
  <c r="BH5" i="1"/>
  <c r="BD4" i="1"/>
  <c r="BF10" i="1"/>
  <c r="BH6" i="1"/>
  <c r="BI6" i="1" s="1"/>
  <c r="BD50" i="1"/>
  <c r="BF50" i="1"/>
  <c r="BF19" i="1"/>
  <c r="BF18" i="1"/>
  <c r="BD7" i="1"/>
  <c r="BH36" i="1"/>
  <c r="BF44" i="1"/>
  <c r="BF38" i="1"/>
  <c r="BF36" i="1"/>
  <c r="BH61" i="1"/>
  <c r="BH46" i="1"/>
  <c r="BH62" i="1"/>
  <c r="BI62" i="1" s="1"/>
  <c r="BH52" i="1"/>
  <c r="BI52" i="1" s="1"/>
  <c r="BH50" i="1"/>
  <c r="BH48" i="1"/>
  <c r="BH47" i="1"/>
  <c r="BH63" i="1"/>
  <c r="BH49" i="1"/>
  <c r="BH64" i="1"/>
  <c r="BF64" i="1"/>
  <c r="BH37" i="1"/>
  <c r="BD36" i="1"/>
  <c r="BH38" i="1"/>
  <c r="BH24" i="1"/>
  <c r="BD24" i="1"/>
  <c r="BF24" i="1"/>
  <c r="BH26" i="1"/>
  <c r="BH39" i="1"/>
  <c r="BH25" i="1"/>
  <c r="BD25" i="1"/>
  <c r="BH41" i="1"/>
  <c r="BH28" i="1"/>
  <c r="BC37" i="1"/>
  <c r="BD37" i="1" s="1"/>
  <c r="BH29" i="1"/>
  <c r="BI29" i="1" s="1"/>
  <c r="BF25" i="1"/>
  <c r="BH17" i="1"/>
  <c r="BH19" i="1"/>
  <c r="BH20" i="1"/>
  <c r="BH18" i="1"/>
  <c r="BH15" i="1"/>
  <c r="BJ15" i="1" s="1"/>
  <c r="BK15" i="1" s="1"/>
  <c r="BH16" i="1"/>
  <c r="BI16" i="1" s="1"/>
  <c r="BH12" i="1"/>
  <c r="BH10" i="1"/>
  <c r="BH11" i="1"/>
  <c r="BJ11" i="1" s="1"/>
  <c r="BK11" i="1" s="1"/>
  <c r="BH7" i="1"/>
  <c r="BJ14" i="1" l="1"/>
  <c r="BK14" i="1" s="1"/>
  <c r="BI14" i="1"/>
  <c r="BI45" i="1"/>
  <c r="BI47" i="1"/>
  <c r="BJ45" i="1"/>
  <c r="BK45" i="1" s="1"/>
  <c r="BJ6" i="1"/>
  <c r="BK6" i="1" s="1"/>
  <c r="BI49" i="1"/>
  <c r="BJ55" i="1"/>
  <c r="BK55" i="1" s="1"/>
  <c r="BI54" i="1"/>
  <c r="BJ54" i="1"/>
  <c r="BK54" i="1" s="1"/>
  <c r="BI32" i="1"/>
  <c r="BI4" i="1"/>
  <c r="BI57" i="1"/>
  <c r="BI56" i="1"/>
  <c r="BI42" i="1"/>
  <c r="BJ56" i="1"/>
  <c r="BK56" i="1" s="1"/>
  <c r="BI53" i="1"/>
  <c r="BI61" i="1"/>
  <c r="BI36" i="1"/>
  <c r="BI60" i="1"/>
  <c r="BJ59" i="1"/>
  <c r="BK59" i="1" s="1"/>
  <c r="BJ53" i="1"/>
  <c r="BK53" i="1" s="1"/>
  <c r="BJ44" i="1"/>
  <c r="BK44" i="1" s="1"/>
  <c r="BI27" i="1"/>
  <c r="BJ58" i="1"/>
  <c r="BK58" i="1" s="1"/>
  <c r="BI13" i="1"/>
  <c r="BJ60" i="1"/>
  <c r="BK60" i="1" s="1"/>
  <c r="BJ57" i="1"/>
  <c r="BK57" i="1" s="1"/>
  <c r="BI12" i="1"/>
  <c r="BI40" i="1"/>
  <c r="BJ32" i="1"/>
  <c r="BK32" i="1" s="1"/>
  <c r="BI48" i="1"/>
  <c r="BI28" i="1"/>
  <c r="BI44" i="1"/>
  <c r="BJ27" i="1"/>
  <c r="BK27" i="1" s="1"/>
  <c r="BI51" i="1"/>
  <c r="BJ40" i="1"/>
  <c r="BK40" i="1" s="1"/>
  <c r="BI31" i="1"/>
  <c r="BI35" i="1"/>
  <c r="BI9" i="1"/>
  <c r="BJ34" i="1"/>
  <c r="BK34" i="1" s="1"/>
  <c r="BJ4" i="1"/>
  <c r="BK4" i="1" s="1"/>
  <c r="BI33" i="1"/>
  <c r="BI55" i="1"/>
  <c r="BJ13" i="1"/>
  <c r="BK13" i="1" s="1"/>
  <c r="BJ18" i="1"/>
  <c r="BK18" i="1" s="1"/>
  <c r="BJ10" i="1"/>
  <c r="BK10" i="1" s="1"/>
  <c r="BI30" i="1"/>
  <c r="BJ7" i="1"/>
  <c r="BK7" i="1" s="1"/>
  <c r="BJ62" i="1"/>
  <c r="BK62" i="1" s="1"/>
  <c r="BI50" i="1"/>
  <c r="BJ35" i="1"/>
  <c r="BK35" i="1" s="1"/>
  <c r="BJ30" i="1"/>
  <c r="BK30" i="1" s="1"/>
  <c r="BI20" i="1"/>
  <c r="BI17" i="1"/>
  <c r="BJ19" i="1"/>
  <c r="BK19" i="1" s="1"/>
  <c r="BI46" i="1"/>
  <c r="BI7" i="1"/>
  <c r="BJ33" i="1"/>
  <c r="BK33" i="1" s="1"/>
  <c r="BJ26" i="1"/>
  <c r="BK26" i="1" s="1"/>
  <c r="BI8" i="1"/>
  <c r="BJ8" i="1"/>
  <c r="BK8" i="1" s="1"/>
  <c r="BJ36" i="1"/>
  <c r="BK36" i="1" s="1"/>
  <c r="BJ37" i="1"/>
  <c r="BK37" i="1" s="1"/>
  <c r="BJ9" i="1"/>
  <c r="BK9" i="1" s="1"/>
  <c r="BI5" i="1"/>
  <c r="BJ5" i="1"/>
  <c r="BK5" i="1" s="1"/>
  <c r="BJ16" i="1"/>
  <c r="BK16" i="1" s="1"/>
  <c r="BJ12" i="1"/>
  <c r="BK12" i="1" s="1"/>
  <c r="BI10" i="1"/>
  <c r="BI19" i="1"/>
  <c r="BJ46" i="1"/>
  <c r="BK46" i="1" s="1"/>
  <c r="BI38" i="1"/>
  <c r="BI11" i="1"/>
  <c r="BJ61" i="1"/>
  <c r="BK61" i="1" s="1"/>
  <c r="BI26" i="1"/>
  <c r="BJ47" i="1"/>
  <c r="BK47" i="1" s="1"/>
  <c r="BJ52" i="1"/>
  <c r="BK52" i="1" s="1"/>
  <c r="BJ38" i="1"/>
  <c r="BK38" i="1" s="1"/>
  <c r="BJ48" i="1"/>
  <c r="BK48" i="1" s="1"/>
  <c r="BJ50" i="1"/>
  <c r="BK50" i="1" s="1"/>
  <c r="BI63" i="1"/>
  <c r="BJ63" i="1"/>
  <c r="BK63" i="1" s="1"/>
  <c r="BJ49" i="1"/>
  <c r="BK49" i="1" s="1"/>
  <c r="BI64" i="1"/>
  <c r="BJ64" i="1"/>
  <c r="BK64" i="1" s="1"/>
  <c r="BJ24" i="1"/>
  <c r="BK24" i="1" s="1"/>
  <c r="BJ29" i="1"/>
  <c r="BK29" i="1" s="1"/>
  <c r="BI24" i="1"/>
  <c r="BJ28" i="1"/>
  <c r="BK28" i="1" s="1"/>
  <c r="BI25" i="1"/>
  <c r="BI37" i="1"/>
  <c r="BC41" i="1"/>
  <c r="BC39" i="1"/>
  <c r="BJ25" i="1"/>
  <c r="BK25" i="1" s="1"/>
  <c r="BJ20" i="1"/>
  <c r="BK20" i="1" s="1"/>
  <c r="BI18" i="1"/>
  <c r="BJ17" i="1"/>
  <c r="BK17" i="1" s="1"/>
  <c r="BI15" i="1"/>
  <c r="BD41" i="1" l="1"/>
  <c r="BJ41" i="1" s="1"/>
  <c r="BK41" i="1" s="1"/>
  <c r="BI41" i="1"/>
  <c r="BD39" i="1"/>
  <c r="BJ39" i="1" s="1"/>
  <c r="BK39" i="1" s="1"/>
  <c r="BI39" i="1"/>
  <c r="AY22" i="1" l="1"/>
  <c r="AX22" i="1"/>
  <c r="AW22" i="1"/>
  <c r="AV22" i="1"/>
  <c r="AU22" i="1"/>
  <c r="CC22" i="1" s="1"/>
  <c r="AQ22" i="1"/>
  <c r="AP22" i="1"/>
  <c r="AO22" i="1"/>
  <c r="AN22" i="1"/>
  <c r="AM22" i="1"/>
  <c r="CB22" i="1" s="1"/>
  <c r="AI22" i="1"/>
  <c r="AH22" i="1"/>
  <c r="AG22" i="1"/>
  <c r="AF22" i="1"/>
  <c r="AE22" i="1"/>
  <c r="CA22" i="1" s="1"/>
  <c r="AA22" i="1"/>
  <c r="Z22" i="1"/>
  <c r="Y22" i="1"/>
  <c r="X22" i="1"/>
  <c r="W22" i="1"/>
  <c r="BZ22" i="1" s="1"/>
  <c r="S22" i="1"/>
  <c r="R22" i="1"/>
  <c r="Q22" i="1"/>
  <c r="P22" i="1"/>
  <c r="O22" i="1"/>
  <c r="BY22" i="1" s="1"/>
  <c r="K22" i="1"/>
  <c r="J22" i="1"/>
  <c r="I22" i="1"/>
  <c r="H22" i="1"/>
  <c r="G22" i="1"/>
  <c r="BX22" i="1" s="1"/>
  <c r="F22" i="1"/>
  <c r="H2" i="2"/>
  <c r="H21" i="2"/>
  <c r="H31" i="2"/>
  <c r="H40" i="2"/>
  <c r="H39" i="2"/>
  <c r="H20" i="2"/>
  <c r="H3" i="2"/>
  <c r="H6" i="2"/>
  <c r="H22" i="2"/>
  <c r="AY23" i="1"/>
  <c r="AX23" i="1"/>
  <c r="AW23" i="1"/>
  <c r="AV23" i="1"/>
  <c r="AU23" i="1"/>
  <c r="CC23" i="1" s="1"/>
  <c r="AQ23" i="1"/>
  <c r="AP23" i="1"/>
  <c r="AO23" i="1"/>
  <c r="AN23" i="1"/>
  <c r="AM23" i="1"/>
  <c r="CB23" i="1" s="1"/>
  <c r="AI23" i="1"/>
  <c r="AH23" i="1"/>
  <c r="AG23" i="1"/>
  <c r="AF23" i="1"/>
  <c r="AE23" i="1"/>
  <c r="CA23" i="1" s="1"/>
  <c r="AA23" i="1"/>
  <c r="Z23" i="1"/>
  <c r="Y23" i="1"/>
  <c r="X23" i="1"/>
  <c r="W23" i="1"/>
  <c r="BZ23" i="1" s="1"/>
  <c r="S23" i="1"/>
  <c r="R23" i="1"/>
  <c r="Q23" i="1"/>
  <c r="O23" i="1"/>
  <c r="BY23" i="1" s="1"/>
  <c r="K23" i="1"/>
  <c r="J23" i="1"/>
  <c r="I23" i="1"/>
  <c r="H23" i="1"/>
  <c r="G23" i="1"/>
  <c r="BX23" i="1" s="1"/>
  <c r="H30" i="2"/>
  <c r="H4" i="2"/>
  <c r="H8" i="2"/>
  <c r="H29" i="2"/>
  <c r="H27" i="2"/>
  <c r="H5" i="2"/>
  <c r="H33" i="2"/>
  <c r="H15" i="2"/>
  <c r="H11" i="2"/>
  <c r="H13" i="2"/>
  <c r="H12" i="2"/>
  <c r="H36" i="2"/>
  <c r="H19" i="2"/>
  <c r="H34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AY21" i="1"/>
  <c r="AX21" i="1"/>
  <c r="AW21" i="1"/>
  <c r="AV21" i="1"/>
  <c r="AU21" i="1"/>
  <c r="CC21" i="1" s="1"/>
  <c r="AQ21" i="1"/>
  <c r="AP21" i="1"/>
  <c r="AO21" i="1"/>
  <c r="AN21" i="1"/>
  <c r="AM21" i="1"/>
  <c r="CB21" i="1" s="1"/>
  <c r="AI21" i="1"/>
  <c r="AH21" i="1"/>
  <c r="AG21" i="1"/>
  <c r="AF21" i="1"/>
  <c r="AE21" i="1"/>
  <c r="CA21" i="1" s="1"/>
  <c r="AA21" i="1"/>
  <c r="Z21" i="1"/>
  <c r="Y21" i="1"/>
  <c r="W21" i="1"/>
  <c r="BZ21" i="1" s="1"/>
  <c r="S21" i="1"/>
  <c r="R21" i="1"/>
  <c r="Q21" i="1"/>
  <c r="P21" i="1"/>
  <c r="O21" i="1"/>
  <c r="BY21" i="1" s="1"/>
  <c r="K21" i="1"/>
  <c r="J21" i="1"/>
  <c r="I21" i="1"/>
  <c r="G21" i="1"/>
  <c r="BX21" i="1" s="1"/>
  <c r="F21" i="1"/>
  <c r="H35" i="2"/>
  <c r="AY3" i="1"/>
  <c r="AX3" i="1"/>
  <c r="AW3" i="1"/>
  <c r="AV3" i="1"/>
  <c r="AU3" i="1"/>
  <c r="CC3" i="1" s="1"/>
  <c r="AQ3" i="1"/>
  <c r="AP3" i="1"/>
  <c r="AO3" i="1"/>
  <c r="AN3" i="1"/>
  <c r="AM3" i="1"/>
  <c r="CB3" i="1" s="1"/>
  <c r="AI3" i="1"/>
  <c r="AH3" i="1"/>
  <c r="AG3" i="1"/>
  <c r="AF3" i="1"/>
  <c r="AE3" i="1"/>
  <c r="CA3" i="1" s="1"/>
  <c r="AA3" i="1"/>
  <c r="Z3" i="1"/>
  <c r="Y3" i="1"/>
  <c r="W3" i="1"/>
  <c r="BZ3" i="1" s="1"/>
  <c r="V3" i="1"/>
  <c r="S3" i="1"/>
  <c r="R3" i="1"/>
  <c r="Q3" i="1"/>
  <c r="P3" i="1"/>
  <c r="O3" i="1"/>
  <c r="BY3" i="1" s="1"/>
  <c r="K3" i="1"/>
  <c r="J3" i="1"/>
  <c r="I3" i="1"/>
  <c r="G3" i="1"/>
  <c r="BX3" i="1" s="1"/>
  <c r="F3" i="1"/>
  <c r="C10" i="2"/>
  <c r="H21" i="1" s="1"/>
  <c r="H17" i="2"/>
  <c r="H18" i="2"/>
  <c r="H16" i="2"/>
  <c r="H23" i="2"/>
  <c r="H25" i="2"/>
  <c r="H9" i="2"/>
  <c r="H14" i="2"/>
  <c r="H24" i="2"/>
  <c r="H26" i="2"/>
  <c r="H7" i="2"/>
  <c r="H28" i="2"/>
  <c r="H32" i="2"/>
  <c r="H38" i="2"/>
  <c r="H37" i="2"/>
  <c r="BS3" i="1" l="1"/>
  <c r="BW3" i="1"/>
  <c r="BU21" i="1"/>
  <c r="BV21" i="1"/>
  <c r="BR22" i="1"/>
  <c r="BV22" i="1"/>
  <c r="BV23" i="1"/>
  <c r="BU23" i="1"/>
  <c r="BR21" i="1"/>
  <c r="BU22" i="1"/>
  <c r="BU3" i="1"/>
  <c r="BR23" i="1"/>
  <c r="BW23" i="1"/>
  <c r="BS22" i="1"/>
  <c r="BW22" i="1"/>
  <c r="BW21" i="1"/>
  <c r="BV3" i="1"/>
  <c r="BS21" i="1"/>
  <c r="BT23" i="1"/>
  <c r="BT22" i="1"/>
  <c r="BC21" i="1"/>
  <c r="BB3" i="1"/>
  <c r="BC22" i="1"/>
  <c r="BB22" i="1"/>
  <c r="BE22" i="1"/>
  <c r="BG22" i="1"/>
  <c r="BB21" i="1"/>
  <c r="P23" i="1"/>
  <c r="BG23" i="1" s="1"/>
  <c r="BC23" i="1"/>
  <c r="BE23" i="1"/>
  <c r="BB23" i="1"/>
  <c r="X21" i="1"/>
  <c r="BG21" i="1" s="1"/>
  <c r="X3" i="1"/>
  <c r="BT3" i="1" s="1"/>
  <c r="H10" i="2"/>
  <c r="H3" i="1"/>
  <c r="BR3" i="1" s="1"/>
  <c r="BE21" i="1"/>
  <c r="BE3" i="1"/>
  <c r="BF3" i="1" s="1"/>
  <c r="BC3" i="1"/>
  <c r="BD3" i="1" s="1"/>
  <c r="CD3" i="1" l="1"/>
  <c r="BT21" i="1"/>
  <c r="CD21" i="1" s="1"/>
  <c r="BS23" i="1"/>
  <c r="CD23" i="1" s="1"/>
  <c r="CD22" i="1"/>
  <c r="BD21" i="1"/>
  <c r="BF22" i="1"/>
  <c r="BH22" i="1"/>
  <c r="BD22" i="1"/>
  <c r="BF21" i="1"/>
  <c r="BD23" i="1"/>
  <c r="BF23" i="1"/>
  <c r="BH23" i="1"/>
  <c r="BG3" i="1"/>
  <c r="BH3" i="1" s="1"/>
  <c r="BI3" i="1" s="1"/>
  <c r="BH21" i="1"/>
  <c r="BI22" i="1" l="1"/>
  <c r="BJ22" i="1"/>
  <c r="BK22" i="1" s="1"/>
  <c r="BI21" i="1"/>
  <c r="BI23" i="1"/>
  <c r="BJ23" i="1"/>
  <c r="BK23" i="1" s="1"/>
  <c r="BJ21" i="1"/>
  <c r="BK21" i="1" s="1"/>
  <c r="BJ3" i="1"/>
  <c r="B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BI2" authorId="0" shapeId="0" xr:uid="{CE3D6F03-3FBC-447B-B011-BA53E6A91763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C is Thermal Cap in KJ/m2K
C= Sp Heat (in KJ/kgK) X Density (kg/m3)
=((BG3/1000)*BE3*BA3*(1/BB3))
Set to Joules instead of KJ and converted to hours after dividing by 3600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12" authorId="0" shapeId="0" xr:uid="{3493C039-7021-4EEE-AACD-E01BBECE0615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sharedStrings.xml><?xml version="1.0" encoding="utf-8"?>
<sst xmlns="http://schemas.openxmlformats.org/spreadsheetml/2006/main" count="1195" uniqueCount="422">
  <si>
    <t>Assembly Name</t>
  </si>
  <si>
    <t>Layer 2</t>
  </si>
  <si>
    <t>Material</t>
  </si>
  <si>
    <t>Thermal Absorptance</t>
  </si>
  <si>
    <t>Solar Absorptance</t>
  </si>
  <si>
    <t>Layer 1 - Outermost</t>
  </si>
  <si>
    <t>Surface type</t>
  </si>
  <si>
    <t>(Wall/Roof)</t>
  </si>
  <si>
    <t>Sp Heat 
(J/kgK)</t>
  </si>
  <si>
    <r>
      <t>Density
(kg/m</t>
    </r>
    <r>
      <rPr>
        <vertAlign val="superscript"/>
        <sz val="11"/>
        <color theme="1"/>
        <rFont val="Arial Narrow"/>
        <family val="2"/>
        <scheme val="minor"/>
      </rPr>
      <t>3</t>
    </r>
    <r>
      <rPr>
        <sz val="11"/>
        <color theme="1"/>
        <rFont val="Arial Narrow"/>
        <family val="2"/>
        <scheme val="minor"/>
      </rPr>
      <t>)</t>
    </r>
  </si>
  <si>
    <t>Wall</t>
  </si>
  <si>
    <t>Polyurethane foam</t>
  </si>
  <si>
    <t>Source</t>
  </si>
  <si>
    <t>Conductivity
(W/mK)</t>
  </si>
  <si>
    <r>
      <t>Thermal Diffusivity
(m</t>
    </r>
    <r>
      <rPr>
        <vertAlign val="superscript"/>
        <sz val="11"/>
        <color theme="1"/>
        <rFont val="Arial Narrow"/>
        <family val="2"/>
        <scheme val="minor"/>
      </rPr>
      <t>2</t>
    </r>
    <r>
      <rPr>
        <sz val="11"/>
        <color theme="1"/>
        <rFont val="Arial Narrow"/>
        <family val="2"/>
        <scheme val="minor"/>
      </rPr>
      <t>/s)</t>
    </r>
  </si>
  <si>
    <t>Mineral fibreboard</t>
  </si>
  <si>
    <t>Cement fibreboard</t>
  </si>
  <si>
    <t>Lightweight masonry</t>
  </si>
  <si>
    <t>Heavyweight masonry</t>
  </si>
  <si>
    <t>Common earth</t>
  </si>
  <si>
    <t>Cement mortar, dry</t>
  </si>
  <si>
    <t>Lightweight concrete block</t>
  </si>
  <si>
    <t>Heavyweight concrete block</t>
  </si>
  <si>
    <t>Dry ceramic tiles</t>
  </si>
  <si>
    <t>Effusivity</t>
  </si>
  <si>
    <t>Solid Glass</t>
  </si>
  <si>
    <t>Steel</t>
  </si>
  <si>
    <t>(Davies, 2004), Table 1.1 of Advancing Building Energy Efficiency in India, Thermal Performance of Walling Material and Wall Technology, Part 1: National Database of Thermophysical Properties of Walling Materials</t>
  </si>
  <si>
    <t>Sample</t>
  </si>
  <si>
    <t>RB01</t>
  </si>
  <si>
    <t>RB02</t>
  </si>
  <si>
    <t>RB03</t>
  </si>
  <si>
    <t>RB04</t>
  </si>
  <si>
    <t>RB05</t>
  </si>
  <si>
    <t>RB06</t>
  </si>
  <si>
    <t>RB07</t>
  </si>
  <si>
    <t>RB08</t>
  </si>
  <si>
    <t>RB09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</si>
  <si>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</si>
  <si>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</si>
  <si>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</si>
  <si>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</si>
  <si>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</si>
  <si>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</si>
  <si>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</si>
  <si>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</si>
  <si>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</si>
  <si>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</si>
  <si>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</si>
  <si>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</si>
  <si>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</si>
  <si>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</si>
  <si>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FB01</t>
  </si>
  <si>
    <t>FB02</t>
  </si>
  <si>
    <t>FB03</t>
  </si>
  <si>
    <t>FB04</t>
  </si>
  <si>
    <t>FB05</t>
  </si>
  <si>
    <t>FB06</t>
  </si>
  <si>
    <t>FB07</t>
  </si>
  <si>
    <t>FB08</t>
  </si>
  <si>
    <t>FB09</t>
  </si>
  <si>
    <t>FB10</t>
  </si>
  <si>
    <t>AB01</t>
  </si>
  <si>
    <t>AB02</t>
  </si>
  <si>
    <t>EB01</t>
  </si>
  <si>
    <t>EB02</t>
  </si>
  <si>
    <t>CC01</t>
  </si>
  <si>
    <t>CC02</t>
  </si>
  <si>
    <t>CB01</t>
  </si>
  <si>
    <t>CS01</t>
  </si>
  <si>
    <t>CL01</t>
  </si>
  <si>
    <t>Thermal Transmittance Coefficient (U-value) (W⁄m2.K) of 200 mm thick wall with 15 mm plaster on both sides</t>
  </si>
  <si>
    <t>Sample type</t>
  </si>
  <si>
    <t>S.No</t>
  </si>
  <si>
    <t>Fired clay brick</t>
  </si>
  <si>
    <t>Flyash brick</t>
  </si>
  <si>
    <t>Autoclaved aerated concrete block</t>
  </si>
  <si>
    <t>Compressed stabilized earth block</t>
  </si>
  <si>
    <t>Concrete block</t>
  </si>
  <si>
    <t>Concrete brick</t>
  </si>
  <si>
    <t>Calcium silicate blocks</t>
  </si>
  <si>
    <t>Cellular light weight concrete block</t>
  </si>
  <si>
    <t>Fired Clay Brick (Low Den)</t>
  </si>
  <si>
    <t>RB 15 - Advancing Building Energy Efficiency in India, Thermal Performance of Walling Material and Wall Technology, Part 1: National Database of Thermophysical Properties of Walling Materials</t>
  </si>
  <si>
    <r>
      <t>Compressive Strength
(N/mm</t>
    </r>
    <r>
      <rPr>
        <vertAlign val="superscript"/>
        <sz val="11"/>
        <color theme="1"/>
        <rFont val="Arial Narrow"/>
        <family val="2"/>
        <scheme val="minor"/>
      </rPr>
      <t>2</t>
    </r>
    <r>
      <rPr>
        <sz val="11"/>
        <color theme="1"/>
        <rFont val="Arial Narrow"/>
        <family val="2"/>
        <scheme val="minor"/>
      </rPr>
      <t>)</t>
    </r>
  </si>
  <si>
    <t>Embodied Energy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</si>
  <si>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</si>
  <si>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</si>
  <si>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(Hi Den)</t>
  </si>
  <si>
    <t>Coal: 17 ton per two lakh bricks</t>
  </si>
  <si>
    <t>NA</t>
  </si>
  <si>
    <t>Solid burnt clay brick</t>
  </si>
  <si>
    <t>Timber</t>
  </si>
  <si>
    <t>Plywood</t>
  </si>
  <si>
    <t>Glass</t>
  </si>
  <si>
    <t>40–55</t>
  </si>
  <si>
    <t>Building materials</t>
  </si>
  <si>
    <t>Material Category</t>
  </si>
  <si>
    <t>Density (kg/m3)</t>
  </si>
  <si>
    <t>k (W/mK)</t>
  </si>
  <si>
    <t>KJ/kgK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</si>
  <si>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</si>
  <si>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</si>
  <si>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</si>
  <si>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</si>
  <si>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</si>
  <si>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</si>
  <si>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</si>
  <si>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</si>
  <si>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</si>
  <si>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</si>
  <si>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</si>
  <si>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</si>
  <si>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</si>
  <si>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</si>
  <si>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</si>
  <si>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</si>
  <si>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 xml:space="preserve">Tar felt </t>
  </si>
  <si>
    <t>(2.3 kg/m2)</t>
  </si>
  <si>
    <t>Insulating materials</t>
  </si>
  <si>
    <t>Hard board</t>
  </si>
  <si>
    <t>Straw board</t>
  </si>
  <si>
    <t>Soft board</t>
  </si>
  <si>
    <t>Wall board</t>
  </si>
  <si>
    <t>Chip board</t>
  </si>
  <si>
    <t>Particle board</t>
  </si>
  <si>
    <t>Coir board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</si>
  <si>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</si>
  <si>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</si>
  <si>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</si>
  <si>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</si>
  <si>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</si>
  <si>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Chip board (perforated)</t>
  </si>
  <si>
    <t>Coconut pith insulation board</t>
  </si>
  <si>
    <t>Jute fibre</t>
  </si>
  <si>
    <t>Saw dust</t>
  </si>
  <si>
    <t>Rice husk</t>
  </si>
  <si>
    <t>Jute felt</t>
  </si>
  <si>
    <t>Wood wool board (bonded with cement)</t>
  </si>
  <si>
    <t>Closed cell flexible elastomeric foam - NBR</t>
  </si>
  <si>
    <t>Unventilated Air Gap</t>
  </si>
  <si>
    <t>U-Value</t>
  </si>
  <si>
    <t>Unventilated Air Gap - Wall - All Climate - 5mm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</si>
  <si>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</si>
  <si>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</si>
  <si>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</si>
  <si>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</si>
  <si>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</si>
  <si>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</si>
  <si>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</si>
  <si>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</si>
  <si>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</si>
  <si>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</si>
  <si>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</si>
  <si>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</si>
  <si>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</si>
  <si>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</si>
  <si>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</si>
  <si>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</si>
  <si>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</si>
  <si>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</si>
  <si>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</si>
  <si>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</si>
  <si>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</si>
  <si>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</si>
  <si>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</si>
  <si>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Sources</t>
  </si>
  <si>
    <t>Adapted from Bureau of Energy Efficiency (BEE), 2009. Energy Conservation Building Code User Guide, New Delhi</t>
  </si>
  <si>
    <t>American Society of Heating, Refrigerating and Air-Conditioning Engineers (ASHRAE). 2009. 2009 ASHRAE Handbook (Fundamentals). Atlanta, United States: ASHRAE</t>
  </si>
  <si>
    <t>Gourav K, et al. 2017. Studies into structural and thermal properties of building envelope materials. Energy Procedia 122: 104–108</t>
  </si>
  <si>
    <t>Bureau of Indian Standards (BIS). 1987. Handbook on Functional Requirements of Buildings (Other than Industrial Buildings) SP: 41 (S &amp; T) -1987. New Delhi: BIS.</t>
  </si>
  <si>
    <t>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</si>
  <si>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Balaji N C, et al. 2015. Influence of varying mix proportions on thermal performance of soil-cement blocks. Building Simulation Applications (BSA). 2nd IBPSA Italy Conference, Building Simulation Application - 2015 (BSA 2015). Available at http://www.ibpsa.org/proceedings/
BSA2015/9788860460745_10.pdf (accessed on 1 May 2018).</t>
  </si>
  <si>
    <t>ENS, 2018 and Bureau of Indian Standards (BIS). 1987. Handbook on Functional Requirements of Buildings (Other than Industrial Buildings) SP: 41 (S &amp; T) -1987. New Delhi: BIS.</t>
  </si>
  <si>
    <t>Surface Thermal Conductance External</t>
  </si>
  <si>
    <t>Outcomes</t>
  </si>
  <si>
    <t>Surface Thermal Conductance Internal</t>
  </si>
  <si>
    <t>Layer 3</t>
  </si>
  <si>
    <t>Layer 4</t>
  </si>
  <si>
    <t>Layer 5</t>
  </si>
  <si>
    <t>Layer 6</t>
  </si>
  <si>
    <t>Thickness (m)</t>
  </si>
  <si>
    <t>Conductivity (W/mK)</t>
  </si>
  <si>
    <t>Sp Heat (J/kgK)</t>
  </si>
  <si>
    <r>
      <t>Density (kg/m</t>
    </r>
    <r>
      <rPr>
        <vertAlign val="superscript"/>
        <sz val="10"/>
        <color theme="1"/>
        <rFont val="Arial Narrow"/>
        <family val="2"/>
        <scheme val="minor"/>
      </rPr>
      <t>3</t>
    </r>
    <r>
      <rPr>
        <sz val="10"/>
        <color theme="1"/>
        <rFont val="Arial Narrow"/>
        <family val="2"/>
        <scheme val="minor"/>
      </rPr>
      <t>)</t>
    </r>
  </si>
  <si>
    <r>
      <t>Cost (Rs/m</t>
    </r>
    <r>
      <rPr>
        <vertAlign val="superscript"/>
        <sz val="10"/>
        <color theme="1"/>
        <rFont val="Arial Narrow"/>
        <family val="2"/>
        <scheme val="minor"/>
      </rPr>
      <t>2</t>
    </r>
    <r>
      <rPr>
        <sz val="10"/>
        <color theme="1"/>
        <rFont val="Arial Narrow"/>
        <family val="2"/>
        <scheme val="minor"/>
      </rPr>
      <t>)</t>
    </r>
  </si>
  <si>
    <t>Assembly Thickness (m)</t>
  </si>
  <si>
    <r>
      <t>U-value (W/m</t>
    </r>
    <r>
      <rPr>
        <vertAlign val="superscript"/>
        <sz val="10"/>
        <color theme="1"/>
        <rFont val="Arial Narrow"/>
        <family val="2"/>
        <scheme val="minor"/>
      </rPr>
      <t>2</t>
    </r>
    <r>
      <rPr>
        <sz val="10"/>
        <color theme="1"/>
        <rFont val="Arial Narrow"/>
        <family val="2"/>
        <scheme val="minor"/>
      </rPr>
      <t>K)</t>
    </r>
  </si>
  <si>
    <t>Thermal Conductivity (W/mK)</t>
  </si>
  <si>
    <r>
      <t>Assembly) Weight 
(per m</t>
    </r>
    <r>
      <rPr>
        <vertAlign val="superscript"/>
        <sz val="10"/>
        <color theme="1"/>
        <rFont val="Arial Narrow"/>
        <family val="2"/>
        <scheme val="minor"/>
      </rPr>
      <t>2</t>
    </r>
    <r>
      <rPr>
        <sz val="10"/>
        <color theme="1"/>
        <rFont val="Arial Narrow"/>
        <family val="2"/>
        <scheme val="minor"/>
      </rPr>
      <t xml:space="preserve">) </t>
    </r>
  </si>
  <si>
    <r>
      <t>Assembly) Density
(kg/m</t>
    </r>
    <r>
      <rPr>
        <vertAlign val="superscript"/>
        <sz val="10"/>
        <color theme="1"/>
        <rFont val="Arial Narrow"/>
        <family val="2"/>
        <scheme val="minor"/>
      </rPr>
      <t>3</t>
    </r>
    <r>
      <rPr>
        <sz val="10"/>
        <color theme="1"/>
        <rFont val="Arial Narrow"/>
        <family val="2"/>
        <scheme val="minor"/>
      </rPr>
      <t xml:space="preserve">) </t>
    </r>
  </si>
  <si>
    <r>
      <t>Overall Cost (Rs/m</t>
    </r>
    <r>
      <rPr>
        <vertAlign val="superscript"/>
        <sz val="10"/>
        <color theme="1"/>
        <rFont val="Arial Narrow"/>
        <family val="2"/>
        <scheme val="minor"/>
      </rPr>
      <t>2</t>
    </r>
    <r>
      <rPr>
        <sz val="10"/>
        <color theme="1"/>
        <rFont val="Arial Narrow"/>
        <family val="2"/>
        <scheme val="minor"/>
      </rPr>
      <t>)</t>
    </r>
  </si>
  <si>
    <r>
      <t xml:space="preserve">Energy stored (in Joules)  for 1K </t>
    </r>
    <r>
      <rPr>
        <sz val="10"/>
        <color theme="1"/>
        <rFont val="Calibri"/>
        <family val="2"/>
      </rPr>
      <t>∆</t>
    </r>
    <r>
      <rPr>
        <sz val="10"/>
        <color theme="1"/>
        <rFont val="Arial Narrow"/>
        <family val="2"/>
      </rPr>
      <t>T)</t>
    </r>
  </si>
  <si>
    <t>Assembly Specific Heat (J/kgK)</t>
  </si>
  <si>
    <t>Categorization Cost</t>
  </si>
  <si>
    <t>Categorization Thermal Mass</t>
  </si>
  <si>
    <t>J/KgK</t>
  </si>
  <si>
    <r>
      <t xml:space="preserve">CR Value  (in hours)
((Specific Heat×Density×Thk) </t>
    </r>
    <r>
      <rPr>
        <sz val="8"/>
        <color theme="1"/>
        <rFont val="Calibri"/>
        <family val="2"/>
      </rPr>
      <t>× R)</t>
    </r>
  </si>
  <si>
    <r>
      <t>Thermal Diffusivity (m</t>
    </r>
    <r>
      <rPr>
        <vertAlign val="superscript"/>
        <sz val="8"/>
        <color theme="1"/>
        <rFont val="Arial Narrow"/>
        <family val="2"/>
        <scheme val="minor"/>
      </rPr>
      <t>2</t>
    </r>
    <r>
      <rPr>
        <sz val="8"/>
        <color theme="1"/>
        <rFont val="Arial Narrow"/>
        <family val="2"/>
        <scheme val="minor"/>
      </rPr>
      <t xml:space="preserve">/sec)
(Conductivity </t>
    </r>
    <r>
      <rPr>
        <sz val="8"/>
        <color theme="1"/>
        <rFont val="Calibri"/>
        <family val="2"/>
      </rPr>
      <t>÷</t>
    </r>
    <r>
      <rPr>
        <sz val="8"/>
        <color theme="1"/>
        <rFont val="Arial Narrow"/>
        <family val="2"/>
        <scheme val="minor"/>
      </rPr>
      <t>(SpHeat×Density)</t>
    </r>
    <r>
      <rPr>
        <sz val="8"/>
        <color theme="1"/>
        <rFont val="Calibri"/>
        <family val="2"/>
      </rPr>
      <t>)</t>
    </r>
  </si>
  <si>
    <t>Expanded polystyrene - low density</t>
  </si>
  <si>
    <t>Expanded polystyrene - med density</t>
  </si>
  <si>
    <t>Expanded polystyrene - high density</t>
  </si>
  <si>
    <t>Foam glass - low density</t>
  </si>
  <si>
    <t>Foam glass - high density</t>
  </si>
  <si>
    <t>Foam concrete - high density</t>
  </si>
  <si>
    <t>Foam concrete - med density</t>
  </si>
  <si>
    <t>Foam concrete - low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</si>
  <si>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</si>
  <si>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</si>
  <si>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</si>
  <si>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</si>
  <si>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</si>
  <si>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Cement stabilized soil block (CSEB) - Low density</t>
  </si>
  <si>
    <t>Cement stabilized soil block (CSEB) - Med density</t>
  </si>
  <si>
    <t>Cement stabilized soil block (CSEB) - High density</t>
  </si>
  <si>
    <r>
      <t>Thermal Diffusivity (m</t>
    </r>
    <r>
      <rPr>
        <vertAlign val="superscript"/>
        <sz val="8"/>
        <color theme="1"/>
        <rFont val="Arial Narrow"/>
        <family val="2"/>
        <scheme val="minor"/>
      </rPr>
      <t>2</t>
    </r>
    <r>
      <rPr>
        <sz val="8"/>
        <color theme="1"/>
        <rFont val="Arial Narrow"/>
        <family val="2"/>
        <scheme val="minor"/>
      </rPr>
      <t>/h)</t>
    </r>
  </si>
  <si>
    <t>Technology</t>
  </si>
  <si>
    <t>Surface Type</t>
  </si>
  <si>
    <r>
      <t>U-Value (W/m</t>
    </r>
    <r>
      <rPr>
        <vertAlign val="superscript"/>
        <sz val="11"/>
        <color theme="1"/>
        <rFont val="Arial Narrow"/>
        <family val="2"/>
        <scheme val="minor"/>
      </rPr>
      <t>2</t>
    </r>
    <r>
      <rPr>
        <sz val="11"/>
        <color theme="1"/>
        <rFont val="Arial Narrow"/>
        <family val="2"/>
        <scheme val="minor"/>
      </rPr>
      <t>K)</t>
    </r>
  </si>
  <si>
    <t>Specific Heat (J/kgK)</t>
  </si>
  <si>
    <r>
      <t>Density (kg/m</t>
    </r>
    <r>
      <rPr>
        <vertAlign val="superscript"/>
        <sz val="11"/>
        <color theme="1"/>
        <rFont val="Arial Narrow"/>
        <family val="2"/>
        <scheme val="minor"/>
      </rPr>
      <t>3</t>
    </r>
    <r>
      <rPr>
        <sz val="11"/>
        <color theme="1"/>
        <rFont val="Arial Narrow"/>
        <family val="2"/>
        <scheme val="minor"/>
      </rPr>
      <t>)</t>
    </r>
  </si>
  <si>
    <r>
      <t>Cost (Rs/m</t>
    </r>
    <r>
      <rPr>
        <vertAlign val="superscript"/>
        <sz val="11"/>
        <color theme="1"/>
        <rFont val="Arial Narrow"/>
        <family val="2"/>
        <scheme val="minor"/>
      </rPr>
      <t>2</t>
    </r>
    <r>
      <rPr>
        <sz val="11"/>
        <color theme="1"/>
        <rFont val="Arial Narrow"/>
        <family val="2"/>
        <scheme val="minor"/>
      </rPr>
      <t>)</t>
    </r>
  </si>
  <si>
    <t>Remarks</t>
  </si>
  <si>
    <t>Pre-fabricated Sandwich Panel System - Reinforced Expanded Polystyrene sheet core with sprayed concrete</t>
  </si>
  <si>
    <t>Slab</t>
  </si>
  <si>
    <t>Chandrashekharpur, Bhubaneshwar, Odisha (G+3)
Built on RCC framed structure</t>
  </si>
  <si>
    <t>Roof</t>
  </si>
  <si>
    <t>Rapid Panels</t>
  </si>
  <si>
    <t>Polystyrene core density &gt; 15 kg/m2, thickness &lt; 50 cm. Shop fabricated panels have vertical 75 mm deep 14 gauge (1.63 mm) wire trusses spaced at 50 mm centers with preformed 57 mm thick expanded polystyrene (EPS) foam strips between.</t>
  </si>
  <si>
    <t>ENS - 2018, American Society of Heating, Refrigerating and Air-Conditioning Engineers (ASHRAE). 2009. 2009 ASHRAE Handbook (Fundamentals). Atlanta, United States: ASHRAE</t>
  </si>
  <si>
    <t>Primary Material - Thickness - [Source]</t>
  </si>
  <si>
    <t>ECBC 2017, American Society of Heating, Refrigerating and Air-Conditioning Engineers (ASHRAE). 2009. 2009 ASHRAE Handbook (Fundamentals). Atlanta, United States: ASHRAE</t>
  </si>
  <si>
    <t>Solid_Burnt_Brick-230_XPS-25[ENS]</t>
  </si>
  <si>
    <t>Solid_Burnt_Brick-230[ENS]</t>
  </si>
  <si>
    <t>Solid_Burnt_Brick-230_XPS-50[ENS]</t>
  </si>
  <si>
    <t>Solid_Burnt_Brick-230_EPS-25[ENS]</t>
  </si>
  <si>
    <t>Solid_Burnt_Brick-230_EPS-50[ENS]</t>
  </si>
  <si>
    <t>Extruded Polystyrene (XPS)</t>
  </si>
  <si>
    <t>Expanded Polystryrene (EPS)</t>
  </si>
  <si>
    <t>Polyurethane foam (PUF)</t>
  </si>
  <si>
    <t>Solid_Burnt_Brick-230_PUF-25[ENS]</t>
  </si>
  <si>
    <t>Solid_Burnt_Brick-230_PUF-50[ENS]</t>
  </si>
  <si>
    <t>AAC_Block_Wall-200[ENS]</t>
  </si>
  <si>
    <t>AAC_Block_Wall-200_XPS-25[ENS]</t>
  </si>
  <si>
    <t>AAC_Block_Wall-200_XPS-50[ENS]</t>
  </si>
  <si>
    <t>AAC_Block_Wall-200_EPS-25[ENS]</t>
  </si>
  <si>
    <t>AAC_Block_Wall-200_EPS-50[ENS]</t>
  </si>
  <si>
    <t>AAC_Block_Wall-200_PUF-25[ENS]</t>
  </si>
  <si>
    <t>AAC_Block_Wall-200_PUF-50[ENS]</t>
  </si>
  <si>
    <t>Fly_Ash_Brick-230[ENS]</t>
  </si>
  <si>
    <t>Fly_Ash_Brick-230_XPS-25[ENS]</t>
  </si>
  <si>
    <t>Fly_Ash_Brick-230_XPS-50[ENS]</t>
  </si>
  <si>
    <t>Fly_Ash_Brick-230_EPS-25[ENS]</t>
  </si>
  <si>
    <t>Fly_Ash_Brick-230_EPS-50[ENS]</t>
  </si>
  <si>
    <t>Fly_Ash_Brick-230_PUF-25[ENS]</t>
  </si>
  <si>
    <t>Fly_Ash_Brick-230_PUF-50[ENS]</t>
  </si>
  <si>
    <t>Solid_Concrete_Block-200[ENS]</t>
  </si>
  <si>
    <t>Solid_Concrete_Block-200_XPS-25[ENS]</t>
  </si>
  <si>
    <t>Solid_Concrete_Block-200_XPS-50[ENS]</t>
  </si>
  <si>
    <t>Solid_Concrete_Block-200_EPS-25[ENS]</t>
  </si>
  <si>
    <t>Solid_Concrete_Block-200_EPS-50[ENS]</t>
  </si>
  <si>
    <t>Solid_Concrete_Block-200_PUF-25[ENS]</t>
  </si>
  <si>
    <t>Solid_Concrete_Block-200_PUF-50[ENS]</t>
  </si>
  <si>
    <t>Reinforce_Concrete_200[ENS]</t>
  </si>
  <si>
    <t>Reinforce_Concrete_200_XPS25[ENS]</t>
  </si>
  <si>
    <t>Reinforce_Concrete_200_XPS50[ENS]</t>
  </si>
  <si>
    <t>Reinforce_Concrete_200_XPS75[ENS]</t>
  </si>
  <si>
    <t>Reinforce_Concrete_200_XPS100[ENS]</t>
  </si>
  <si>
    <t>Reinforce_Concrete_200_PUF25[ENS]</t>
  </si>
  <si>
    <t>Reinforce_Concrete_200_PUF50[ENS]</t>
  </si>
  <si>
    <t>Reinforce_Concrete_200_PUF75[ENS]</t>
  </si>
  <si>
    <t>Reinforce_Concrete_200_PUF100[ENS]</t>
  </si>
  <si>
    <t>Reinforce_Concrete_200_EPS25[ENS]</t>
  </si>
  <si>
    <t>Reinforce_Concrete_200_EPS50[ENS]</t>
  </si>
  <si>
    <t>Reinforce_Concrete_200_EPS75[ENS]</t>
  </si>
  <si>
    <t>Reinforce_Concrete_200_EPS100[ENS]</t>
  </si>
  <si>
    <t>Solid_Burnt_Brick-230_XPS-5[ENS]</t>
  </si>
  <si>
    <t>Solid_Burnt_Brick-230_XPS-10[ENS]</t>
  </si>
  <si>
    <t>Solid_Burnt_Brick-230_EPS-5[ENS]</t>
  </si>
  <si>
    <t>Solid_Burnt_Brick-230_EPS-10[ENS]</t>
  </si>
  <si>
    <t>Solid_Concrete_Block-200_XPS-5[ENS]</t>
  </si>
  <si>
    <t>Solid_Concrete_Block-200_XPS-10[ENS]</t>
  </si>
  <si>
    <t>Solid_Concrete_Block-200_EPS-5[ENS]</t>
  </si>
  <si>
    <t>Solid_Concrete_Block-200_EPS-10[ENS]</t>
  </si>
  <si>
    <t>Reinforce_Concrete_200_EPS5[ENS]</t>
  </si>
  <si>
    <t>Reinforce_Concrete_200_EPS10[ENS]</t>
  </si>
  <si>
    <t>Reinforce_Concrete_200_EPS15[ENS]</t>
  </si>
  <si>
    <t>Reinforce_Concrete_200_EPS20[ENS]</t>
  </si>
  <si>
    <t>Reinforce_Concrete_200_EPS2.5[ENS]</t>
  </si>
  <si>
    <t>Reinforce_Concrete_200_EPS7.5[ENS]</t>
  </si>
  <si>
    <t>Reinforce_Concrete_200_EPS12.5[ENS]</t>
  </si>
  <si>
    <t>Reinforce_Concrete_200_EPS17.5[ENS]</t>
  </si>
  <si>
    <t>AAC_Block_Wall-300[ENS]</t>
  </si>
  <si>
    <t>U-value (COG)</t>
  </si>
  <si>
    <t xml:space="preserve">SHGC </t>
  </si>
  <si>
    <t>Single Glazed</t>
  </si>
  <si>
    <t>Double Glazed</t>
  </si>
  <si>
    <t>Reference</t>
  </si>
  <si>
    <t>Saint gobain Clear cosmos EVO Neutral</t>
  </si>
  <si>
    <t>Glass type</t>
  </si>
  <si>
    <t>PF</t>
  </si>
  <si>
    <t>Code</t>
  </si>
  <si>
    <t>W1</t>
  </si>
  <si>
    <t>W2</t>
  </si>
  <si>
    <t>W8</t>
  </si>
  <si>
    <t>W5</t>
  </si>
  <si>
    <t>W7</t>
  </si>
  <si>
    <t>W4</t>
  </si>
  <si>
    <t>W3</t>
  </si>
  <si>
    <t>W6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</si>
  <si>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</si>
  <si>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</si>
  <si>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</si>
  <si>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</si>
  <si>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</si>
  <si>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</si>
  <si>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</si>
  <si>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</si>
  <si>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</si>
  <si>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</si>
  <si>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</si>
  <si>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</si>
  <si>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</si>
  <si>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</si>
  <si>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</si>
  <si>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</si>
  <si>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</si>
  <si>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</si>
  <si>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</si>
  <si>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</si>
  <si>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</si>
  <si>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</si>
  <si>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</si>
  <si>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</si>
  <si>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</si>
  <si>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</si>
  <si>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</si>
  <si>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</si>
  <si>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</si>
  <si>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</si>
  <si>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</si>
  <si>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</si>
  <si>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</si>
  <si>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</si>
  <si>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</si>
  <si>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</si>
  <si>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</si>
  <si>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</si>
  <si>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</si>
  <si>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</si>
  <si>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</si>
  <si>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</si>
  <si>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</si>
  <si>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</si>
  <si>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</si>
  <si>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</si>
  <si>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</si>
  <si>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</si>
  <si>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</si>
  <si>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</si>
  <si>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</si>
  <si>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</si>
  <si>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</si>
  <si>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Solid_Concrete_Block-200_EPS-15[ENS]</t>
  </si>
  <si>
    <t>Solid_Concrete_Block-200_EPS-20[ENS]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</si>
  <si>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</si>
  <si>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</si>
  <si>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</si>
  <si>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</si>
  <si>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</si>
  <si>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</si>
  <si>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</si>
  <si>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</si>
  <si>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</si>
  <si>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</si>
  <si>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</si>
  <si>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</si>
  <si>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</si>
  <si>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</si>
  <si>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</si>
  <si>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</si>
  <si>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</si>
  <si>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</si>
  <si>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Pilkington Glass</t>
  </si>
  <si>
    <r>
      <t>Cost 
(Rs/m</t>
    </r>
    <r>
      <rPr>
        <vertAlign val="superscript"/>
        <sz val="11"/>
        <color theme="1"/>
        <rFont val="Arial Narrow"/>
        <family val="2"/>
        <scheme val="minor"/>
      </rPr>
      <t>2</t>
    </r>
    <r>
      <rPr>
        <sz val="11"/>
        <color theme="1"/>
        <rFont val="Arial Narrow"/>
        <family val="2"/>
        <scheme val="minor"/>
      </rPr>
      <t xml:space="preserve"> of Surface Area for 1m thickness)</t>
    </r>
  </si>
  <si>
    <t>Cost</t>
  </si>
  <si>
    <t>Unit</t>
  </si>
  <si>
    <t>m3</t>
  </si>
  <si>
    <t>Cost (per m2 for unit thickness)</t>
  </si>
  <si>
    <t>See 6.18 of CPWD DSR Vol 1 (Labour and material). For super structure above plinth level up to floor V level.</t>
  </si>
  <si>
    <t>See 6.47 of CPWD DSR Vol 1 (Labour and material. Payment of RCC band and reinforcement not included). For super structure above plinth level up to floor V level. Alternatively see 6.38</t>
  </si>
  <si>
    <t>See 13.5.2 of CPWD DSR Vol 2. Rates for external plastic 1:6 (1 cement: 6 coarse sand) for height upto 10m. [Rate: 339.10/m2 for 15mm, converted to m3]</t>
  </si>
  <si>
    <t>See 6.32.1 of CPWD DSR Vol 1 (Labour and material). For super structure above plinth level up to floor V level.</t>
  </si>
  <si>
    <t>Reinforced cement concrete (RCC) - Wall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</si>
  <si>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</si>
  <si>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</si>
  <si>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12.19.1 of CPWD DSR Vol 1. Rates for laying brick tiles only. 1:3 (1 cement: 3 fine sand) with 2% (by weight) of integral water proofing compound. [Rate: 549.05/m2 for 75mm, converted to m3]</t>
  </si>
  <si>
    <t>Polyurethane foam (PUF) - Roof</t>
  </si>
  <si>
    <t>See Code 7051. Rs. 350 for 40mm. Material Cost only. 
See 12.56 of CPWD DSR Vol 1 for roof assembly. 385 for 40mm per m2, 978 Rs/m2 other fixed cost</t>
  </si>
  <si>
    <t>Fixed Cost/m2</t>
  </si>
  <si>
    <t>Expanded Polystryrene (EPS) - Roof</t>
  </si>
  <si>
    <t>Extruded Polystyrene (XPS) - Roof</t>
  </si>
  <si>
    <t>See Code 8562 of CPWD DSR Vol 1. EPS Insulation board 120mm thk Rs 825/m2. Material Cost only. Refer PUF-Roof for fixed cost/m2.</t>
  </si>
  <si>
    <t>See Code 8561 of CPWD DSR Vol 1. XPS Rigid Insulation board 50mm thk Rs 550/m2. Material Cost only. Refer PUF-Roof for fixed cost/m2.</t>
  </si>
  <si>
    <t>Rs/ft2</t>
  </si>
  <si>
    <t>See Code 8561 of CPWD DSR Vol 1. XPS Rigid Insulation board 50mm thk Rs 550/m2. Material Cost only.
See 26.7 of DSR Vol 2.</t>
  </si>
  <si>
    <t>See Code 8562 of CPWD DSR Vol 1. EPS Insulation board 120mm thk Rs 825/m2. Material Cost only.
See 26.67 of DSR Vol 2.</t>
  </si>
  <si>
    <t xml:space="preserve">See Code 7051. Rs. 350 for 40mm. Material Cost only. </t>
  </si>
  <si>
    <t>See 26.69.1 CPWD DSR Vol 2. Providing and laying Precast concrete solid blocks (200 mm) M10 grade made of C&amp;D waste. Superstructure above plinth level up to floor V level</t>
  </si>
  <si>
    <t>Rs</t>
  </si>
  <si>
    <t>area</t>
  </si>
  <si>
    <t>m</t>
  </si>
  <si>
    <t>vol</t>
  </si>
  <si>
    <t>L1</t>
  </si>
  <si>
    <t>l*density*spheat</t>
  </si>
  <si>
    <t>L2</t>
  </si>
  <si>
    <t>L3</t>
  </si>
  <si>
    <t>L4</t>
  </si>
  <si>
    <t>L5</t>
  </si>
  <si>
    <t>L6</t>
  </si>
  <si>
    <t>L/K</t>
  </si>
  <si>
    <t>ThermalTimeConstant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</si>
</sst>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"/>
    <numFmt numFmtId="168" formatCode="0.000E+00"/>
    <numFmt numFmtId="169" formatCode="0.0"/>
    <numFmt numFmtId="170" formatCode="_(* #,##0.000_);_(* \(#,##0.000\);_(* &quot;-&quot;??_);_(@_)"/>
  </numFmts>
  <fonts count="16" x14ac:knownFonts="1"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1"/>
      <color rgb="FF3F3F76"/>
      <name val="Arial Narrow"/>
      <family val="2"/>
      <scheme val="minor"/>
    </font>
    <font>
      <b/>
      <sz val="11"/>
      <color theme="1"/>
      <name val="Arial Narrow"/>
      <family val="2"/>
      <scheme val="minor"/>
    </font>
    <font>
      <vertAlign val="superscript"/>
      <sz val="11"/>
      <color theme="1"/>
      <name val="Arial Narrow"/>
      <family val="2"/>
      <scheme val="minor"/>
    </font>
    <font>
      <sz val="10"/>
      <color theme="1"/>
      <name val="Arial Narrow"/>
      <family val="2"/>
      <scheme val="minor"/>
    </font>
    <font>
      <sz val="10"/>
      <color rgb="FF3F3F76"/>
      <name val="Arial Narrow"/>
      <family val="2"/>
      <scheme val="minor"/>
    </font>
    <font>
      <vertAlign val="superscript"/>
      <sz val="10"/>
      <color theme="1"/>
      <name val="Arial Narrow"/>
      <family val="2"/>
      <scheme val="minor"/>
    </font>
    <font>
      <sz val="10"/>
      <color theme="1"/>
      <name val="Calibri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  <scheme val="minor"/>
    </font>
    <font>
      <sz val="8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8"/>
      <color theme="1"/>
      <name val="Arial Narrow"/>
      <family val="2"/>
      <scheme val="minor"/>
    </font>
    <font>
      <sz val="8"/>
      <name val="Arial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2" xfId="0" applyBorder="1" applyAlignment="1">
      <alignment vertical="top" textRotation="90" wrapText="1"/>
    </xf>
    <xf numFmtId="0" fontId="2" fillId="2" borderId="1" xfId="2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0" xfId="0" applyFont="1" applyAlignment="1">
      <alignment textRotation="90" wrapText="1"/>
    </xf>
    <xf numFmtId="0" fontId="5" fillId="0" borderId="6" xfId="0" applyFont="1" applyBorder="1" applyAlignment="1">
      <alignment textRotation="90" wrapText="1"/>
    </xf>
    <xf numFmtId="0" fontId="5" fillId="0" borderId="7" xfId="0" applyFont="1" applyBorder="1" applyAlignment="1">
      <alignment textRotation="90" wrapText="1"/>
    </xf>
    <xf numFmtId="0" fontId="5" fillId="0" borderId="8" xfId="0" applyFont="1" applyBorder="1" applyAlignment="1">
      <alignment textRotation="90" wrapText="1"/>
    </xf>
    <xf numFmtId="0" fontId="6" fillId="2" borderId="1" xfId="2" applyFont="1"/>
    <xf numFmtId="164" fontId="6" fillId="2" borderId="1" xfId="1" applyFont="1" applyFill="1" applyBorder="1"/>
    <xf numFmtId="164" fontId="5" fillId="0" borderId="0" xfId="1" applyFont="1"/>
    <xf numFmtId="165" fontId="5" fillId="0" borderId="0" xfId="1" applyNumberFormat="1" applyFont="1"/>
    <xf numFmtId="164" fontId="5" fillId="0" borderId="0" xfId="0" applyNumberFormat="1" applyFont="1"/>
    <xf numFmtId="0" fontId="10" fillId="0" borderId="8" xfId="0" applyFont="1" applyBorder="1" applyAlignment="1">
      <alignment textRotation="90" wrapText="1"/>
    </xf>
    <xf numFmtId="11" fontId="5" fillId="0" borderId="0" xfId="1" applyNumberFormat="1" applyFont="1"/>
    <xf numFmtId="166" fontId="5" fillId="0" borderId="0" xfId="0" applyNumberFormat="1" applyFont="1"/>
    <xf numFmtId="0" fontId="0" fillId="0" borderId="0" xfId="0" applyAlignment="1">
      <alignment vertical="top"/>
    </xf>
    <xf numFmtId="167" fontId="0" fillId="0" borderId="0" xfId="0" applyNumberFormat="1"/>
    <xf numFmtId="168" fontId="0" fillId="0" borderId="0" xfId="0" applyNumberFormat="1"/>
    <xf numFmtId="0" fontId="5" fillId="3" borderId="0" xfId="0" applyFont="1" applyFill="1"/>
    <xf numFmtId="169" fontId="5" fillId="3" borderId="0" xfId="0" applyNumberFormat="1" applyFont="1" applyFill="1"/>
    <xf numFmtId="0" fontId="0" fillId="3" borderId="0" xfId="0" applyFill="1"/>
    <xf numFmtId="0" fontId="2" fillId="3" borderId="1" xfId="2" applyFill="1"/>
    <xf numFmtId="0" fontId="6" fillId="3" borderId="1" xfId="2" applyFont="1" applyFill="1"/>
    <xf numFmtId="164" fontId="6" fillId="3" borderId="1" xfId="1" applyFont="1" applyFill="1" applyBorder="1"/>
    <xf numFmtId="164" fontId="5" fillId="3" borderId="0" xfId="1" applyFont="1" applyFill="1"/>
    <xf numFmtId="165" fontId="5" fillId="3" borderId="0" xfId="1" applyNumberFormat="1" applyFont="1" applyFill="1"/>
    <xf numFmtId="164" fontId="5" fillId="3" borderId="0" xfId="0" applyNumberFormat="1" applyFont="1" applyFill="1"/>
    <xf numFmtId="11" fontId="5" fillId="3" borderId="0" xfId="1" applyNumberFormat="1" applyFont="1" applyFill="1"/>
    <xf numFmtId="166" fontId="5" fillId="3" borderId="0" xfId="0" applyNumberFormat="1" applyFont="1" applyFill="1"/>
    <xf numFmtId="165" fontId="0" fillId="0" borderId="0" xfId="1" applyNumberFormat="1" applyFont="1"/>
    <xf numFmtId="0" fontId="3" fillId="0" borderId="12" xfId="0" applyFont="1" applyBorder="1"/>
    <xf numFmtId="164" fontId="0" fillId="0" borderId="0" xfId="1" applyFont="1" applyFill="1"/>
    <xf numFmtId="164" fontId="0" fillId="0" borderId="0" xfId="0" applyNumberFormat="1"/>
    <xf numFmtId="0" fontId="3" fillId="0" borderId="13" xfId="0" applyFont="1" applyBorder="1"/>
    <xf numFmtId="164" fontId="0" fillId="0" borderId="0" xfId="1" applyFont="1" applyFill="1" applyBorder="1"/>
    <xf numFmtId="165" fontId="5" fillId="0" borderId="0" xfId="1" applyNumberFormat="1" applyFont="1" applyFill="1"/>
    <xf numFmtId="1" fontId="5" fillId="0" borderId="0" xfId="0" applyNumberFormat="1" applyFont="1"/>
    <xf numFmtId="167" fontId="5" fillId="0" borderId="0" xfId="0" applyNumberFormat="1" applyFont="1"/>
    <xf numFmtId="170" fontId="6" fillId="3" borderId="1" xfId="1" applyNumberFormat="1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</cellXfs>
  <cellStyles count="3">
    <cellStyle name="Comma" xfId="1" builtinId="3"/>
    <cellStyle name="Input" xfId="2" builtinId="20"/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minor"/>
      </font>
      <numFmt numFmtId="164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8" formatCode="0.000E+00"/>
    </dxf>
    <dxf>
      <alignment horizontal="general" vertical="top" textRotation="9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F19343-04B4-4B58-9094-590032651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AssemblyCompiler!$BI$2</c:f>
              <c:strCache>
                <c:ptCount val="1"/>
                <c:pt idx="0">
                  <c:v>CR Value  (in hours)
((Specific Heat×Density×Thk) × 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32EF53-8D73-4E89-8A02-B022F354623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A1-4580-81CE-E6A888312D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624C60-7712-45D5-93ED-B571FDFCA3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A1-4580-81CE-E6A888312D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B624D2-FBB1-4EED-B4F6-F43DE455FD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A1-4580-81CE-E6A888312D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E2A982-3F80-4F21-96AA-EA03FF9657D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A1-4580-81CE-E6A888312D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E80AF2-F579-4C1A-81DD-0C575B44606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A1-4580-81CE-E6A888312D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709E9B-4793-4246-9935-5E54673620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A1-4580-81CE-E6A888312D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F70111-B89F-4D20-B85D-2B0750BAB0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4D8-48E9-999E-78B1EF97F1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B7EDD5-D3A6-4B4F-BB8D-DC5A415DD3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D8-48E9-999E-78B1EF97F1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691075-35AF-460E-A9FB-93E2ED7EB0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D8-48E9-999E-78B1EF97F1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659CAF-DB9F-4A1B-8E4F-C8F629462A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D8-48E9-999E-78B1EF97F1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48AA4D-D77A-4697-B2C2-77562CF4D5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D8-48E9-999E-78B1EF97F1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60BF9F-ECA3-4C4D-9E79-941069ACF0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D8-48E9-999E-78B1EF97F1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35AD57E-FAC6-40C7-83C2-F7809C2DA5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D8-48E9-999E-78B1EF97F1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D587BDA-68AD-4328-B9A2-F8B39660E13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D8-48E9-999E-78B1EF97F1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5A00B2-E42A-412A-92EE-A527BED7FAA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D8-48E9-999E-78B1EF97F1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A2AB41-E427-4F35-AFDE-B941209BEB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524-41D8-9379-6EAA49C63C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3CC1ECF-B1FB-464F-B8D4-0551CCA9C4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D8-48E9-999E-78B1EF97F1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15F7AD-EF45-4674-8AAA-E4C06B61BA4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D8-48E9-999E-78B1EF97F1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0CB2EE-40CE-4F9B-ADE3-B99A11BAF2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DCE-4390-B7D4-E9F7BD2AA09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4408D78-719C-4AA9-B003-D1263194991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CE-4390-B7D4-E9F7BD2AA093}"/>
                </c:ext>
              </c:extLst>
            </c:dLbl>
            <c:dLbl>
              <c:idx val="20"/>
              <c:layout>
                <c:manualLayout>
                  <c:x val="-8.3333333333333332E-3"/>
                  <c:y val="-0.17592592592592601"/>
                </c:manualLayout>
              </c:layout>
              <c:tx>
                <c:rich>
                  <a:bodyPr/>
                  <a:lstStyle/>
                  <a:p>
                    <a:fld id="{9862CB86-BA42-4363-BE0A-776A94DF82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DCE-4390-B7D4-E9F7BD2AA09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90F9447-360D-4B0B-AFD6-F24597BBE5F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DCE-4390-B7D4-E9F7BD2AA09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4A649CC-88C3-4F7F-A84F-50AF0F1FE26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DCE-4390-B7D4-E9F7BD2AA09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BC15B45-89CE-4FF7-A895-1BCFC9D114A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9D1-4A0E-9867-37B15A03FE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C82356-AA9A-4DAC-830C-974141CC642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9D1-4A0E-9867-37B15A03FE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D121E3C-7F8C-432E-9ED7-2BD5877CF16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D1-4A0E-9867-37B15A03FE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141D2C1-5074-4809-8ED6-8C53E3609BA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D1-4A0E-9867-37B15A03FE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8D2BBAF-324B-476F-A54F-03EEC61054A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D1-4A0E-9867-37B15A03FE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90EEEC9-3EB6-4BD9-A5F3-544EF5AA397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D1-4A0E-9867-37B15A03FEE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2C7C774-1CCE-402E-99E9-860A120BCA4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D1-4A0E-9867-37B15A03FE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F74F35B-5B6C-4BED-AFD7-85505868F2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9D1-4A0E-9867-37B15A03FE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5FDEED-F496-4574-AA49-0413DB755DF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9D1-4A0E-9867-37B15A03FE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D0BA9D2-DBD6-4DF2-AB08-4326641EB9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9D1-4A0E-9867-37B15A03FE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C2F05A2-9793-4F72-9838-01CFCF1AC7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9D1-4A0E-9867-37B15A03FE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5F2DB15-9D97-4B56-9510-67FB113F457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9D1-4A0E-9867-37B15A03FE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B8014DF-A79F-4E87-8AEF-66A4F71C9B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9D1-4A0E-9867-37B15A03FE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2D02742-5B7F-44B7-9532-49DABA5EBCA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9D1-4A0E-9867-37B15A03FE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C63D431-DC0D-4FED-9935-E2715F311D8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9D1-4A0E-9867-37B15A03FE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C67868C-8AFE-437C-B196-4D42AD5AF7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9D1-4A0E-9867-37B15A03FEE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96520D3-CA2C-4F49-B888-587F74D47A7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9D1-4A0E-9867-37B15A03FE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AssemblyCompiler!$BC$3:$BC$42</c:f>
              <c:numCache>
                <c:formatCode>_(* #,##0.00_);_(* \(#,##0.00\);_(* "-"??_);_(@_)</c:formatCode>
                <c:ptCount val="40"/>
                <c:pt idx="0">
                  <c:v>2.3473993647239362</c:v>
                </c:pt>
                <c:pt idx="1">
                  <c:v>1.6540550989299212</c:v>
                </c:pt>
                <c:pt idx="2">
                  <c:v>1.2769007717316545</c:v>
                </c:pt>
                <c:pt idx="3">
                  <c:v>0.75823030806263314</c:v>
                </c:pt>
                <c:pt idx="4">
                  <c:v>0.45213728124007591</c:v>
                </c:pt>
                <c:pt idx="5">
                  <c:v>1.7934572160808206</c:v>
                </c:pt>
                <c:pt idx="6">
                  <c:v>1.4510392210953318</c:v>
                </c:pt>
                <c:pt idx="7">
                  <c:v>0.92259596123584664</c:v>
                </c:pt>
                <c:pt idx="8">
                  <c:v>0.57412109220427976</c:v>
                </c:pt>
                <c:pt idx="9">
                  <c:v>0.72069900134490106</c:v>
                </c:pt>
                <c:pt idx="10">
                  <c:v>0.4256985213407713</c:v>
                </c:pt>
                <c:pt idx="11">
                  <c:v>0.54892446929600058</c:v>
                </c:pt>
                <c:pt idx="12">
                  <c:v>0.78230978706094378</c:v>
                </c:pt>
                <c:pt idx="13">
                  <c:v>0.46059110217897803</c:v>
                </c:pt>
                <c:pt idx="14">
                  <c:v>0.32637285742612115</c:v>
                </c:pt>
                <c:pt idx="15">
                  <c:v>0.51648604502116813</c:v>
                </c:pt>
                <c:pt idx="16">
                  <c:v>0.38549676799971155</c:v>
                </c:pt>
                <c:pt idx="17">
                  <c:v>0.44646754592454585</c:v>
                </c:pt>
                <c:pt idx="18">
                  <c:v>0.31236891046466025</c:v>
                </c:pt>
                <c:pt idx="19">
                  <c:v>2.1739080144361389</c:v>
                </c:pt>
                <c:pt idx="20">
                  <c:v>0.75072044648569647</c:v>
                </c:pt>
                <c:pt idx="21">
                  <c:v>0.4452924098601469</c:v>
                </c:pt>
                <c:pt idx="22">
                  <c:v>0.89453775487349974</c:v>
                </c:pt>
                <c:pt idx="23">
                  <c:v>0.56312947878462782</c:v>
                </c:pt>
                <c:pt idx="24">
                  <c:v>0.70346267685892039</c:v>
                </c:pt>
                <c:pt idx="25">
                  <c:v>0.4196253774995366</c:v>
                </c:pt>
                <c:pt idx="26">
                  <c:v>3.0025258472899967</c:v>
                </c:pt>
                <c:pt idx="27">
                  <c:v>1.9545590496680507</c:v>
                </c:pt>
                <c:pt idx="28">
                  <c:v>1.4488642694006122</c:v>
                </c:pt>
                <c:pt idx="29">
                  <c:v>2.1522415288651766</c:v>
                </c:pt>
                <c:pt idx="30">
                  <c:v>1.6772590763837179</c:v>
                </c:pt>
                <c:pt idx="31">
                  <c:v>1.3740231759793768</c:v>
                </c:pt>
                <c:pt idx="32">
                  <c:v>1.163644881751001</c:v>
                </c:pt>
                <c:pt idx="33">
                  <c:v>0.81572052511821158</c:v>
                </c:pt>
                <c:pt idx="34">
                  <c:v>0.47197256849699643</c:v>
                </c:pt>
                <c:pt idx="35">
                  <c:v>1.0091350369209175</c:v>
                </c:pt>
                <c:pt idx="36">
                  <c:v>0.60648610443008033</c:v>
                </c:pt>
                <c:pt idx="37">
                  <c:v>0.77244450601965187</c:v>
                </c:pt>
                <c:pt idx="38">
                  <c:v>0.44323690109810593</c:v>
                </c:pt>
                <c:pt idx="39">
                  <c:v>3.1457248824753994</c:v>
                </c:pt>
              </c:numCache>
            </c:numRef>
          </c:xVal>
          <c:yVal>
            <c:numRef>
              <c:f>AssemblyCompiler!$BI$3:$BI$42</c:f>
              <c:numCache>
                <c:formatCode>_(* #,##0.00_);_(* \(#,##0.00\);_(* "-"??_);_(@_)</c:formatCode>
                <c:ptCount val="40"/>
                <c:pt idx="0">
                  <c:v>47.059454387440702</c:v>
                </c:pt>
                <c:pt idx="1">
                  <c:v>66.821412831177923</c:v>
                </c:pt>
                <c:pt idx="2">
                  <c:v>86.604430302692947</c:v>
                </c:pt>
                <c:pt idx="3">
                  <c:v>146.07983688390468</c:v>
                </c:pt>
                <c:pt idx="4">
                  <c:v>245.62669507481309</c:v>
                </c:pt>
                <c:pt idx="5">
                  <c:v>61.62093222221327</c:v>
                </c:pt>
                <c:pt idx="6">
                  <c:v>76.194823799675916</c:v>
                </c:pt>
                <c:pt idx="7">
                  <c:v>119.99098098820417</c:v>
                </c:pt>
                <c:pt idx="8">
                  <c:v>193.23285115621917</c:v>
                </c:pt>
                <c:pt idx="9">
                  <c:v>153.89087509908018</c:v>
                </c:pt>
                <c:pt idx="10">
                  <c:v>261.57165478507864</c:v>
                </c:pt>
                <c:pt idx="11">
                  <c:v>143.32390775164379</c:v>
                </c:pt>
                <c:pt idx="12">
                  <c:v>72.299576973412542</c:v>
                </c:pt>
                <c:pt idx="13">
                  <c:v>123.44027660669498</c:v>
                </c:pt>
                <c:pt idx="14">
                  <c:v>175.1074519344219</c:v>
                </c:pt>
                <c:pt idx="15">
                  <c:v>109.96720690769095</c:v>
                </c:pt>
                <c:pt idx="16">
                  <c:v>147.94518040922088</c:v>
                </c:pt>
                <c:pt idx="17">
                  <c:v>127.6740803529018</c:v>
                </c:pt>
                <c:pt idx="18">
                  <c:v>183.89794270674994</c:v>
                </c:pt>
                <c:pt idx="19">
                  <c:v>50.771007451586129</c:v>
                </c:pt>
                <c:pt idx="20">
                  <c:v>139.19872154551732</c:v>
                </c:pt>
                <c:pt idx="21">
                  <c:v>249.18716403144484</c:v>
                </c:pt>
                <c:pt idx="22">
                  <c:v>123.64750454468246</c:v>
                </c:pt>
                <c:pt idx="23">
                  <c:v>196.8343452050303</c:v>
                </c:pt>
                <c:pt idx="24">
                  <c:v>157.52529638312325</c:v>
                </c:pt>
                <c:pt idx="25">
                  <c:v>265.12894428901933</c:v>
                </c:pt>
                <c:pt idx="26">
                  <c:v>17.146896519298295</c:v>
                </c:pt>
                <c:pt idx="27">
                  <c:v>26.370636019685104</c:v>
                </c:pt>
                <c:pt idx="28">
                  <c:v>35.615434547849688</c:v>
                </c:pt>
                <c:pt idx="29">
                  <c:v>23.943024763300301</c:v>
                </c:pt>
                <c:pt idx="30">
                  <c:v>30.751566749992367</c:v>
                </c:pt>
                <c:pt idx="31">
                  <c:v>37.572522479374499</c:v>
                </c:pt>
                <c:pt idx="32">
                  <c:v>44.405891951446677</c:v>
                </c:pt>
                <c:pt idx="33">
                  <c:v>63.476184299010093</c:v>
                </c:pt>
                <c:pt idx="34">
                  <c:v>110.33194777316633</c:v>
                </c:pt>
                <c:pt idx="35">
                  <c:v>51.251675166208919</c:v>
                </c:pt>
                <c:pt idx="36">
                  <c:v>85.666797380371008</c:v>
                </c:pt>
                <c:pt idx="37">
                  <c:v>67.222520533204019</c:v>
                </c:pt>
                <c:pt idx="38">
                  <c:v>118.14750352146871</c:v>
                </c:pt>
                <c:pt idx="39">
                  <c:v>39.479542050749885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AssemblyCompiler!$B$3:$B$42</c15:f>
                <c15:dlblRangeCache>
                  <c:ptCount val="40"/>
                  <c:pt idx="0">
                    <c:v>Solid_Burnt_Brick-230[ENS]</c:v>
                  </c:pt>
                  <c:pt idx="1">
                    <c:v>Solid_Burnt_Brick-230_XPS-5[ENS]</c:v>
                  </c:pt>
                  <c:pt idx="2">
                    <c:v>Solid_Burnt_Brick-230_XPS-10[ENS]</c:v>
                  </c:pt>
                  <c:pt idx="3">
                    <c:v>Solid_Burnt_Brick-230_XPS-25[ENS]</c:v>
                  </c:pt>
                  <c:pt idx="4">
                    <c:v>Solid_Burnt_Brick-230_XPS-50[ENS]</c:v>
                  </c:pt>
                  <c:pt idx="5">
                    <c:v>Solid_Burnt_Brick-230_EPS-5[ENS]</c:v>
                  </c:pt>
                  <c:pt idx="6">
                    <c:v>Solid_Burnt_Brick-230_EPS-10[ENS]</c:v>
                  </c:pt>
                  <c:pt idx="7">
                    <c:v>Solid_Burnt_Brick-230_EPS-25[ENS]</c:v>
                  </c:pt>
                  <c:pt idx="8">
                    <c:v>Solid_Burnt_Brick-230_EPS-50[ENS]</c:v>
                  </c:pt>
                  <c:pt idx="9">
                    <c:v>Solid_Burnt_Brick-230_PUF-25[ENS]</c:v>
                  </c:pt>
                  <c:pt idx="10">
                    <c:v>Solid_Burnt_Brick-230_PUF-50[ENS]</c:v>
                  </c:pt>
                  <c:pt idx="11">
                    <c:v>AAC_Block_Wall-300[ENS]</c:v>
                  </c:pt>
                  <c:pt idx="12">
                    <c:v>AAC_Block_Wall-200[ENS]</c:v>
                  </c:pt>
                  <c:pt idx="13">
                    <c:v>AAC_Block_Wall-200_XPS-25[ENS]</c:v>
                  </c:pt>
                  <c:pt idx="14">
                    <c:v>AAC_Block_Wall-200_XPS-50[ENS]</c:v>
                  </c:pt>
                  <c:pt idx="15">
                    <c:v>AAC_Block_Wall-200_EPS-25[ENS]</c:v>
                  </c:pt>
                  <c:pt idx="16">
                    <c:v>AAC_Block_Wall-200_EPS-50[ENS]</c:v>
                  </c:pt>
                  <c:pt idx="17">
                    <c:v>AAC_Block_Wall-200_PUF-25[ENS]</c:v>
                  </c:pt>
                  <c:pt idx="18">
                    <c:v>AAC_Block_Wall-200_PUF-50[ENS]</c:v>
                  </c:pt>
                  <c:pt idx="19">
                    <c:v>Fly_Ash_Brick-230[ENS]</c:v>
                  </c:pt>
                  <c:pt idx="20">
                    <c:v>Fly_Ash_Brick-230_XPS-25[ENS]</c:v>
                  </c:pt>
                  <c:pt idx="21">
                    <c:v>Fly_Ash_Brick-230_XPS-50[ENS]</c:v>
                  </c:pt>
                  <c:pt idx="22">
                    <c:v>Fly_Ash_Brick-230_EPS-25[ENS]</c:v>
                  </c:pt>
                  <c:pt idx="23">
                    <c:v>Fly_Ash_Brick-230_EPS-50[ENS]</c:v>
                  </c:pt>
                  <c:pt idx="24">
                    <c:v>Fly_Ash_Brick-230_PUF-25[ENS]</c:v>
                  </c:pt>
                  <c:pt idx="25">
                    <c:v>Fly_Ash_Brick-230_PUF-50[ENS]</c:v>
                  </c:pt>
                  <c:pt idx="26">
                    <c:v>Solid_Concrete_Block-200[ENS]</c:v>
                  </c:pt>
                  <c:pt idx="27">
                    <c:v>Solid_Concrete_Block-200_XPS-5[ENS]</c:v>
                  </c:pt>
                  <c:pt idx="28">
                    <c:v>Solid_Concrete_Block-200_XPS-10[ENS]</c:v>
                  </c:pt>
                  <c:pt idx="29">
                    <c:v>Solid_Concrete_Block-200_EPS-5[ENS]</c:v>
                  </c:pt>
                  <c:pt idx="30">
                    <c:v>Solid_Concrete_Block-200_EPS-10[ENS]</c:v>
                  </c:pt>
                  <c:pt idx="31">
                    <c:v>Solid_Concrete_Block-200_EPS-15[ENS]</c:v>
                  </c:pt>
                  <c:pt idx="32">
                    <c:v>Solid_Concrete_Block-200_EPS-20[ENS]</c:v>
                  </c:pt>
                  <c:pt idx="33">
                    <c:v>Solid_Concrete_Block-200_XPS-25[ENS]</c:v>
                  </c:pt>
                  <c:pt idx="34">
                    <c:v>Solid_Concrete_Block-200_XPS-50[ENS]</c:v>
                  </c:pt>
                  <c:pt idx="35">
                    <c:v>Solid_Concrete_Block-200_EPS-25[ENS]</c:v>
                  </c:pt>
                  <c:pt idx="36">
                    <c:v>Solid_Concrete_Block-200_EPS-50[ENS]</c:v>
                  </c:pt>
                  <c:pt idx="37">
                    <c:v>Solid_Concrete_Block-200_PUF-25[ENS]</c:v>
                  </c:pt>
                  <c:pt idx="38">
                    <c:v>Solid_Concrete_Block-200_PUF-50[ENS]</c:v>
                  </c:pt>
                  <c:pt idx="39">
                    <c:v>Reinforce_Concrete_200[ENS]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A1-4580-81CE-E6A88831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23599"/>
        <c:axId val="1324144399"/>
      </c:scatterChart>
      <c:valAx>
        <c:axId val="13241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4399"/>
        <c:crosses val="autoZero"/>
        <c:crossBetween val="midCat"/>
      </c:valAx>
      <c:valAx>
        <c:axId val="13241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AssemblyCompiler!$CD$2</c:f>
              <c:strCache>
                <c:ptCount val="1"/>
                <c:pt idx="0">
                  <c:v>ThermalTimeConstant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AssemblyCompiler!$BI$3:$BI$42</c:f>
              <c:numCache>
                <c:formatCode>_(* #,##0.00_);_(* \(#,##0.00\);_(* "-"??_);_(@_)</c:formatCode>
                <c:ptCount val="40"/>
                <c:pt idx="0">
                  <c:v>47.059454387440702</c:v>
                </c:pt>
                <c:pt idx="1">
                  <c:v>66.821412831177923</c:v>
                </c:pt>
                <c:pt idx="2">
                  <c:v>86.604430302692947</c:v>
                </c:pt>
                <c:pt idx="3">
                  <c:v>146.07983688390468</c:v>
                </c:pt>
                <c:pt idx="4">
                  <c:v>245.62669507481309</c:v>
                </c:pt>
                <c:pt idx="5">
                  <c:v>61.62093222221327</c:v>
                </c:pt>
                <c:pt idx="6">
                  <c:v>76.194823799675916</c:v>
                </c:pt>
                <c:pt idx="7">
                  <c:v>119.99098098820417</c:v>
                </c:pt>
                <c:pt idx="8">
                  <c:v>193.23285115621917</c:v>
                </c:pt>
                <c:pt idx="9">
                  <c:v>153.89087509908018</c:v>
                </c:pt>
                <c:pt idx="10">
                  <c:v>261.57165478507864</c:v>
                </c:pt>
                <c:pt idx="11">
                  <c:v>143.32390775164379</c:v>
                </c:pt>
                <c:pt idx="12">
                  <c:v>72.299576973412542</c:v>
                </c:pt>
                <c:pt idx="13">
                  <c:v>123.44027660669498</c:v>
                </c:pt>
                <c:pt idx="14">
                  <c:v>175.1074519344219</c:v>
                </c:pt>
                <c:pt idx="15">
                  <c:v>109.96720690769095</c:v>
                </c:pt>
                <c:pt idx="16">
                  <c:v>147.94518040922088</c:v>
                </c:pt>
                <c:pt idx="17">
                  <c:v>127.6740803529018</c:v>
                </c:pt>
                <c:pt idx="18">
                  <c:v>183.89794270674994</c:v>
                </c:pt>
                <c:pt idx="19">
                  <c:v>50.771007451586129</c:v>
                </c:pt>
                <c:pt idx="20">
                  <c:v>139.19872154551732</c:v>
                </c:pt>
                <c:pt idx="21">
                  <c:v>249.18716403144484</c:v>
                </c:pt>
                <c:pt idx="22">
                  <c:v>123.64750454468246</c:v>
                </c:pt>
                <c:pt idx="23">
                  <c:v>196.8343452050303</c:v>
                </c:pt>
                <c:pt idx="24">
                  <c:v>157.52529638312325</c:v>
                </c:pt>
                <c:pt idx="25">
                  <c:v>265.12894428901933</c:v>
                </c:pt>
                <c:pt idx="26">
                  <c:v>17.146896519298295</c:v>
                </c:pt>
                <c:pt idx="27">
                  <c:v>26.370636019685104</c:v>
                </c:pt>
                <c:pt idx="28">
                  <c:v>35.615434547849688</c:v>
                </c:pt>
                <c:pt idx="29">
                  <c:v>23.943024763300301</c:v>
                </c:pt>
                <c:pt idx="30">
                  <c:v>30.751566749992367</c:v>
                </c:pt>
                <c:pt idx="31">
                  <c:v>37.572522479374499</c:v>
                </c:pt>
                <c:pt idx="32">
                  <c:v>44.405891951446677</c:v>
                </c:pt>
                <c:pt idx="33">
                  <c:v>63.476184299010093</c:v>
                </c:pt>
                <c:pt idx="34">
                  <c:v>110.33194777316633</c:v>
                </c:pt>
                <c:pt idx="35">
                  <c:v>51.251675166208919</c:v>
                </c:pt>
                <c:pt idx="36">
                  <c:v>85.666797380371008</c:v>
                </c:pt>
                <c:pt idx="37">
                  <c:v>67.222520533204019</c:v>
                </c:pt>
                <c:pt idx="38">
                  <c:v>118.14750352146871</c:v>
                </c:pt>
                <c:pt idx="39">
                  <c:v>39.479542050749885</c:v>
                </c:pt>
              </c:numCache>
            </c:numRef>
          </c:xVal>
          <c:yVal>
            <c:numRef>
              <c:f>AssemblyCompiler!$CD$3:$CD$42</c:f>
              <c:numCache>
                <c:formatCode>0</c:formatCode>
                <c:ptCount val="40"/>
                <c:pt idx="0">
                  <c:v>18.568619409289212</c:v>
                </c:pt>
                <c:pt idx="1">
                  <c:v>37.201935857003754</c:v>
                </c:pt>
                <c:pt idx="2">
                  <c:v>55.845781818607193</c:v>
                </c:pt>
                <c:pt idx="3">
                  <c:v>111.84049678675082</c:v>
                </c:pt>
                <c:pt idx="4">
                  <c:v>205.37561201143467</c:v>
                </c:pt>
                <c:pt idx="5">
                  <c:v>32.29784464870562</c:v>
                </c:pt>
                <c:pt idx="6">
                  <c:v>46.033276759467071</c:v>
                </c:pt>
                <c:pt idx="7">
                  <c:v>87.276814319821568</c:v>
                </c:pt>
                <c:pt idx="8">
                  <c:v>156.14018101397969</c:v>
                </c:pt>
                <c:pt idx="9">
                  <c:v>119.0921533839623</c:v>
                </c:pt>
                <c:pt idx="10">
                  <c:v>220.04036684581493</c:v>
                </c:pt>
                <c:pt idx="11">
                  <c:v>68.128690402768001</c:v>
                </c:pt>
                <c:pt idx="12">
                  <c:v>33.60963878610746</c:v>
                </c:pt>
                <c:pt idx="13">
                  <c:v>78.750563782616709</c:v>
                </c:pt>
                <c:pt idx="14">
                  <c:v>124.15472662634818</c:v>
                </c:pt>
                <c:pt idx="15">
                  <c:v>66.85292141593807</c:v>
                </c:pt>
                <c:pt idx="16">
                  <c:v>100.25137582939445</c:v>
                </c:pt>
                <c:pt idx="17">
                  <c:v>82.299839427447225</c:v>
                </c:pt>
                <c:pt idx="18">
                  <c:v>131.41471955596649</c:v>
                </c:pt>
                <c:pt idx="19">
                  <c:v>20.428699833577497</c:v>
                </c:pt>
                <c:pt idx="20">
                  <c:v>106.07464853193771</c:v>
                </c:pt>
                <c:pt idx="21">
                  <c:v>207.06456148334203</c:v>
                </c:pt>
                <c:pt idx="22">
                  <c:v>89.07384649849584</c:v>
                </c:pt>
                <c:pt idx="23">
                  <c:v>157.87416494703993</c:v>
                </c:pt>
                <c:pt idx="24">
                  <c:v>120.86008637235317</c:v>
                </c:pt>
                <c:pt idx="25">
                  <c:v>221.71615239830834</c:v>
                </c:pt>
                <c:pt idx="26">
                  <c:v>6.2612925710263925</c:v>
                </c:pt>
                <c:pt idx="27">
                  <c:v>14.361870923502842</c:v>
                </c:pt>
                <c:pt idx="28">
                  <c:v>22.472978789868179</c:v>
                </c:pt>
                <c:pt idx="29">
                  <c:v>12.229552898162106</c:v>
                </c:pt>
                <c:pt idx="30">
                  <c:v>18.20402009664285</c:v>
                </c:pt>
                <c:pt idx="31">
                  <c:v>24.184694166468617</c:v>
                </c:pt>
                <c:pt idx="32">
                  <c:v>30.171575107639416</c:v>
                </c:pt>
                <c:pt idx="33">
                  <c:v>46.869479472297535</c:v>
                </c:pt>
                <c:pt idx="34">
                  <c:v>87.740904220790895</c:v>
                </c:pt>
                <c:pt idx="35">
                  <c:v>36.164662920155251</c:v>
                </c:pt>
                <c:pt idx="36">
                  <c:v>66.223205052909847</c:v>
                </c:pt>
                <c:pt idx="37">
                  <c:v>50.070082955955883</c:v>
                </c:pt>
                <c:pt idx="38">
                  <c:v>94.30355282806488</c:v>
                </c:pt>
                <c:pt idx="39">
                  <c:v>14.162295975474745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B-4060-9AFE-2E81A5CF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12095"/>
        <c:axId val="1135708351"/>
      </c:scatterChart>
      <c:valAx>
        <c:axId val="11357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 Value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08351"/>
        <c:crosses val="autoZero"/>
        <c:crossBetween val="midCat"/>
      </c:valAx>
      <c:valAx>
        <c:axId val="11357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Time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1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132174859733624"/>
          <c:y val="9.7500000000000017E-2"/>
          <c:w val="0.50867825140266376"/>
          <c:h val="0.795000000000000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AssemblyCompiler!$BO$3:$BO$36</c:f>
              <c:numCache>
                <c:formatCode>General</c:formatCode>
                <c:ptCount val="3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AssemblyCompiler!$BC$44:$BC$64</c:f>
              <c:numCache>
                <c:formatCode>_(* #,##0.00_);_(* \(#,##0.00\);_(* "-"??_);_(@_)</c:formatCode>
                <c:ptCount val="21"/>
                <c:pt idx="0">
                  <c:v>2.7181464202876069</c:v>
                </c:pt>
                <c:pt idx="1">
                  <c:v>0.79317557418614504</c:v>
                </c:pt>
                <c:pt idx="2">
                  <c:v>0.46433618277108979</c:v>
                </c:pt>
                <c:pt idx="3">
                  <c:v>0.32824884665198623</c:v>
                </c:pt>
                <c:pt idx="4">
                  <c:v>0.25385050994524838</c:v>
                </c:pt>
                <c:pt idx="5">
                  <c:v>0.75219854709193934</c:v>
                </c:pt>
                <c:pt idx="6">
                  <c:v>0.43649543754232589</c:v>
                </c:pt>
                <c:pt idx="7">
                  <c:v>0.3074545599677857</c:v>
                </c:pt>
                <c:pt idx="8">
                  <c:v>0.23730131751095307</c:v>
                </c:pt>
                <c:pt idx="9">
                  <c:v>2.3058091288724079</c:v>
                </c:pt>
                <c:pt idx="10">
                  <c:v>2.0020953330889051</c:v>
                </c:pt>
                <c:pt idx="11">
                  <c:v>1.7690780380930984</c:v>
                </c:pt>
                <c:pt idx="12">
                  <c:v>1.5846462676788338</c:v>
                </c:pt>
                <c:pt idx="13">
                  <c:v>1.4350390758666394</c:v>
                </c:pt>
                <c:pt idx="14">
                  <c:v>1.3112439263709119</c:v>
                </c:pt>
                <c:pt idx="15">
                  <c:v>1.2071112128024006</c:v>
                </c:pt>
                <c:pt idx="16">
                  <c:v>1.1183010949715237</c:v>
                </c:pt>
                <c:pt idx="17">
                  <c:v>0.97485602174093522</c:v>
                </c:pt>
                <c:pt idx="18">
                  <c:v>0.59393453575417943</c:v>
                </c:pt>
                <c:pt idx="19">
                  <c:v>0.42706170842905106</c:v>
                </c:pt>
                <c:pt idx="20">
                  <c:v>0.33339148625951798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A-42B1-82AE-01F01E4A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0912"/>
        <c:axId val="414695472"/>
      </c:scatterChart>
      <c:valAx>
        <c:axId val="414680912"/>
        <c:scaling>
          <c:orientation val="minMax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414695472"/>
        <c:crosses val="autoZero"/>
        <c:crossBetween val="midCat"/>
      </c:valAx>
      <c:valAx>
        <c:axId val="41469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AssemblyCompiler!$BO$3:$BO$36</c:f>
              <c:numCache>
                <c:formatCode>General</c:formatCode>
                <c:ptCount val="3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AssemblyCompiler!$BI$44:$BI$64</c:f>
              <c:numCache>
                <c:formatCode>_(* #,##0.00_);_(* \(#,##0.00\);_(* "-"??_);_(@_)</c:formatCode>
                <c:ptCount val="21"/>
                <c:pt idx="0">
                  <c:v>48.162968345961296</c:v>
                </c:pt>
                <c:pt idx="1">
                  <c:v>165.42217216348163</c:v>
                </c:pt>
                <c:pt idx="2">
                  <c:v>283.20785167544642</c:v>
                </c:pt>
                <c:pt idx="3">
                  <c:v>401.52000688185552</c:v>
                </c:pt>
                <c:pt idx="4">
                  <c:v>520.35863778270937</c:v>
                </c:pt>
                <c:pt idx="5">
                  <c:v>174.6289821676715</c:v>
                </c:pt>
                <c:pt idx="6">
                  <c:v>301.94435496374058</c:v>
                </c:pt>
                <c:pt idx="7">
                  <c:v>430.10908673416867</c:v>
                </c:pt>
                <c:pt idx="8">
                  <c:v>559.12317747895588</c:v>
                </c:pt>
                <c:pt idx="9">
                  <c:v>56.785960499316133</c:v>
                </c:pt>
                <c:pt idx="10">
                  <c:v>65.412056088343519</c:v>
                </c:pt>
                <c:pt idx="11">
                  <c:v>74.041255113043377</c:v>
                </c:pt>
                <c:pt idx="12">
                  <c:v>82.673557573415763</c:v>
                </c:pt>
                <c:pt idx="13">
                  <c:v>91.308963469460664</c:v>
                </c:pt>
                <c:pt idx="14">
                  <c:v>99.94747280117808</c:v>
                </c:pt>
                <c:pt idx="15">
                  <c:v>108.58908556856801</c:v>
                </c:pt>
                <c:pt idx="16">
                  <c:v>117.23380177163045</c:v>
                </c:pt>
                <c:pt idx="17">
                  <c:v>134.53254448477293</c:v>
                </c:pt>
                <c:pt idx="18">
                  <c:v>221.21246419083602</c:v>
                </c:pt>
                <c:pt idx="19">
                  <c:v>308.20272746415054</c:v>
                </c:pt>
                <c:pt idx="20">
                  <c:v>395.50333430471647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5AE-84FF-B7AF7551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72272"/>
        <c:axId val="593576848"/>
      </c:scatterChart>
      <c:valAx>
        <c:axId val="593572272"/>
        <c:scaling>
          <c:orientation val="minMax"/>
          <c:max val="1.1000000000000001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593576848"/>
        <c:crosses val="autoZero"/>
        <c:crossBetween val="midCat"/>
        <c:majorUnit val="1.0000000000000002E-2"/>
        <c:minorUnit val="1.0000000000000002E-2"/>
      </c:valAx>
      <c:valAx>
        <c:axId val="59357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132174859733624"/>
          <c:y val="9.7500000000000017E-2"/>
          <c:w val="0.50867825140266376"/>
          <c:h val="0.795000000000000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AssemblyCompiler!$BO$3:$BO$36</c:f>
              <c:numCache>
                <c:formatCode>General</c:formatCode>
                <c:ptCount val="3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AssemblyCompiler!$BC$3:$BC$42</c:f>
              <c:numCache>
                <c:formatCode>_(* #,##0.00_);_(* \(#,##0.00\);_(* "-"??_);_(@_)</c:formatCode>
                <c:ptCount val="40"/>
                <c:pt idx="0">
                  <c:v>2.3473993647239362</c:v>
                </c:pt>
                <c:pt idx="1">
                  <c:v>1.6540550989299212</c:v>
                </c:pt>
                <c:pt idx="2">
                  <c:v>1.2769007717316545</c:v>
                </c:pt>
                <c:pt idx="3">
                  <c:v>0.75823030806263314</c:v>
                </c:pt>
                <c:pt idx="4">
                  <c:v>0.45213728124007591</c:v>
                </c:pt>
                <c:pt idx="5">
                  <c:v>1.7934572160808206</c:v>
                </c:pt>
                <c:pt idx="6">
                  <c:v>1.4510392210953318</c:v>
                </c:pt>
                <c:pt idx="7">
                  <c:v>0.92259596123584664</c:v>
                </c:pt>
                <c:pt idx="8">
                  <c:v>0.57412109220427976</c:v>
                </c:pt>
                <c:pt idx="9">
                  <c:v>0.72069900134490106</c:v>
                </c:pt>
                <c:pt idx="10">
                  <c:v>0.4256985213407713</c:v>
                </c:pt>
                <c:pt idx="11">
                  <c:v>0.54892446929600058</c:v>
                </c:pt>
                <c:pt idx="12">
                  <c:v>0.78230978706094378</c:v>
                </c:pt>
                <c:pt idx="13">
                  <c:v>0.46059110217897803</c:v>
                </c:pt>
                <c:pt idx="14">
                  <c:v>0.32637285742612115</c:v>
                </c:pt>
                <c:pt idx="15">
                  <c:v>0.51648604502116813</c:v>
                </c:pt>
                <c:pt idx="16">
                  <c:v>0.38549676799971155</c:v>
                </c:pt>
                <c:pt idx="17">
                  <c:v>0.44646754592454585</c:v>
                </c:pt>
                <c:pt idx="18">
                  <c:v>0.31236891046466025</c:v>
                </c:pt>
                <c:pt idx="19">
                  <c:v>2.1739080144361389</c:v>
                </c:pt>
                <c:pt idx="20">
                  <c:v>0.75072044648569647</c:v>
                </c:pt>
                <c:pt idx="21">
                  <c:v>0.4452924098601469</c:v>
                </c:pt>
                <c:pt idx="22">
                  <c:v>0.89453775487349974</c:v>
                </c:pt>
                <c:pt idx="23">
                  <c:v>0.56312947878462782</c:v>
                </c:pt>
                <c:pt idx="24">
                  <c:v>0.70346267685892039</c:v>
                </c:pt>
                <c:pt idx="25">
                  <c:v>0.4196253774995366</c:v>
                </c:pt>
                <c:pt idx="26">
                  <c:v>3.0025258472899967</c:v>
                </c:pt>
                <c:pt idx="27">
                  <c:v>1.9545590496680507</c:v>
                </c:pt>
                <c:pt idx="28">
                  <c:v>1.4488642694006122</c:v>
                </c:pt>
                <c:pt idx="29">
                  <c:v>2.1522415288651766</c:v>
                </c:pt>
                <c:pt idx="30">
                  <c:v>1.6772590763837179</c:v>
                </c:pt>
                <c:pt idx="31">
                  <c:v>1.3740231759793768</c:v>
                </c:pt>
                <c:pt idx="32">
                  <c:v>1.163644881751001</c:v>
                </c:pt>
                <c:pt idx="33">
                  <c:v>0.81572052511821158</c:v>
                </c:pt>
                <c:pt idx="34">
                  <c:v>0.47197256849699643</c:v>
                </c:pt>
                <c:pt idx="35">
                  <c:v>1.0091350369209175</c:v>
                </c:pt>
                <c:pt idx="36">
                  <c:v>0.60648610443008033</c:v>
                </c:pt>
                <c:pt idx="37">
                  <c:v>0.77244450601965187</c:v>
                </c:pt>
                <c:pt idx="38">
                  <c:v>0.44323690109810593</c:v>
                </c:pt>
                <c:pt idx="39">
                  <c:v>3.1457248824753994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3-4AD0-B229-5E43C246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80912"/>
        <c:axId val="414695472"/>
      </c:scatterChart>
      <c:valAx>
        <c:axId val="414680912"/>
        <c:scaling>
          <c:orientation val="minMax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414695472"/>
        <c:crosses val="autoZero"/>
        <c:crossBetween val="midCat"/>
      </c:valAx>
      <c:valAx>
        <c:axId val="41469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AssemblyCompiler!$BO$3:$BO$36</c:f>
              <c:numCache>
                <c:formatCode>General</c:formatCode>
                <c:ptCount val="3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AssemblyCompiler!$BG$3:$BG$42</c:f>
              <c:numCache>
                <c:formatCode>_(* #,##0_);_(* \(#,##0\);_(* "-"??_);_(@_)</c:formatCode>
                <c:ptCount val="40"/>
                <c:pt idx="0">
                  <c:v>397682.4</c:v>
                </c:pt>
                <c:pt idx="1">
                  <c:v>397894.67499999999</c:v>
                </c:pt>
                <c:pt idx="2">
                  <c:v>398106.95</c:v>
                </c:pt>
                <c:pt idx="3">
                  <c:v>398743.77500000002</c:v>
                </c:pt>
                <c:pt idx="4">
                  <c:v>399805.15</c:v>
                </c:pt>
                <c:pt idx="5">
                  <c:v>397852.22000000003</c:v>
                </c:pt>
                <c:pt idx="6">
                  <c:v>398022.04000000004</c:v>
                </c:pt>
                <c:pt idx="7">
                  <c:v>398531.5</c:v>
                </c:pt>
                <c:pt idx="8">
                  <c:v>399380.60000000003</c:v>
                </c:pt>
                <c:pt idx="9">
                  <c:v>399272.4</c:v>
                </c:pt>
                <c:pt idx="10">
                  <c:v>400862.4</c:v>
                </c:pt>
                <c:pt idx="11">
                  <c:v>283226.40000000002</c:v>
                </c:pt>
                <c:pt idx="12">
                  <c:v>203618.40000000002</c:v>
                </c:pt>
                <c:pt idx="13">
                  <c:v>204679.77500000002</c:v>
                </c:pt>
                <c:pt idx="14">
                  <c:v>205741.15000000002</c:v>
                </c:pt>
                <c:pt idx="15">
                  <c:v>204467.5</c:v>
                </c:pt>
                <c:pt idx="16">
                  <c:v>205316.6</c:v>
                </c:pt>
                <c:pt idx="17">
                  <c:v>205208.40000000002</c:v>
                </c:pt>
                <c:pt idx="18">
                  <c:v>206798.40000000002</c:v>
                </c:pt>
                <c:pt idx="19">
                  <c:v>397337.4</c:v>
                </c:pt>
                <c:pt idx="20">
                  <c:v>376197.57500000001</c:v>
                </c:pt>
                <c:pt idx="21">
                  <c:v>399460.15</c:v>
                </c:pt>
                <c:pt idx="22">
                  <c:v>398186.5</c:v>
                </c:pt>
                <c:pt idx="23">
                  <c:v>399035.60000000003</c:v>
                </c:pt>
                <c:pt idx="24">
                  <c:v>398927.4</c:v>
                </c:pt>
                <c:pt idx="25">
                  <c:v>400517.4</c:v>
                </c:pt>
                <c:pt idx="26">
                  <c:v>185342.40000000002</c:v>
                </c:pt>
                <c:pt idx="27">
                  <c:v>185554.67500000002</c:v>
                </c:pt>
                <c:pt idx="28">
                  <c:v>185766.95</c:v>
                </c:pt>
                <c:pt idx="29">
                  <c:v>185512.22</c:v>
                </c:pt>
                <c:pt idx="30">
                  <c:v>185682.04</c:v>
                </c:pt>
                <c:pt idx="31">
                  <c:v>185851.86000000002</c:v>
                </c:pt>
                <c:pt idx="32">
                  <c:v>186021.68000000002</c:v>
                </c:pt>
                <c:pt idx="33">
                  <c:v>186403.77500000002</c:v>
                </c:pt>
                <c:pt idx="34">
                  <c:v>187465.15000000002</c:v>
                </c:pt>
                <c:pt idx="35">
                  <c:v>186191.5</c:v>
                </c:pt>
                <c:pt idx="36">
                  <c:v>187040.6</c:v>
                </c:pt>
                <c:pt idx="37">
                  <c:v>186932.40000000002</c:v>
                </c:pt>
                <c:pt idx="38">
                  <c:v>188522.40000000002</c:v>
                </c:pt>
                <c:pt idx="39">
                  <c:v>447090.4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F-40E0-8D9C-C6352F06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02352"/>
        <c:axId val="601501936"/>
      </c:scatterChart>
      <c:valAx>
        <c:axId val="601502352"/>
        <c:scaling>
          <c:orientation val="minMax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601501936"/>
        <c:crosses val="autoZero"/>
        <c:crossBetween val="midCat"/>
      </c:valAx>
      <c:valAx>
        <c:axId val="6015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Capacity (per Unit Area) - kJ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23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AssemblyCompiler!$BO$3:$BO$36</c:f>
              <c:numCache>
                <c:formatCode>General</c:formatCode>
                <c:ptCount val="34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xVal>
          <c:yVal>
            <c:numRef>
              <c:f>AssemblyCompiler!$BI$3:$BI$42</c:f>
              <c:numCache>
                <c:formatCode>_(* #,##0.00_);_(* \(#,##0.00\);_(* "-"??_);_(@_)</c:formatCode>
                <c:ptCount val="40"/>
                <c:pt idx="0">
                  <c:v>47.059454387440702</c:v>
                </c:pt>
                <c:pt idx="1">
                  <c:v>66.821412831177923</c:v>
                </c:pt>
                <c:pt idx="2">
                  <c:v>86.604430302692947</c:v>
                </c:pt>
                <c:pt idx="3">
                  <c:v>146.07983688390468</c:v>
                </c:pt>
                <c:pt idx="4">
                  <c:v>245.62669507481309</c:v>
                </c:pt>
                <c:pt idx="5">
                  <c:v>61.62093222221327</c:v>
                </c:pt>
                <c:pt idx="6">
                  <c:v>76.194823799675916</c:v>
                </c:pt>
                <c:pt idx="7">
                  <c:v>119.99098098820417</c:v>
                </c:pt>
                <c:pt idx="8">
                  <c:v>193.23285115621917</c:v>
                </c:pt>
                <c:pt idx="9">
                  <c:v>153.89087509908018</c:v>
                </c:pt>
                <c:pt idx="10">
                  <c:v>261.57165478507864</c:v>
                </c:pt>
                <c:pt idx="11">
                  <c:v>143.32390775164379</c:v>
                </c:pt>
                <c:pt idx="12">
                  <c:v>72.299576973412542</c:v>
                </c:pt>
                <c:pt idx="13">
                  <c:v>123.44027660669498</c:v>
                </c:pt>
                <c:pt idx="14">
                  <c:v>175.1074519344219</c:v>
                </c:pt>
                <c:pt idx="15">
                  <c:v>109.96720690769095</c:v>
                </c:pt>
                <c:pt idx="16">
                  <c:v>147.94518040922088</c:v>
                </c:pt>
                <c:pt idx="17">
                  <c:v>127.6740803529018</c:v>
                </c:pt>
                <c:pt idx="18">
                  <c:v>183.89794270674994</c:v>
                </c:pt>
                <c:pt idx="19">
                  <c:v>50.771007451586129</c:v>
                </c:pt>
                <c:pt idx="20">
                  <c:v>139.19872154551732</c:v>
                </c:pt>
                <c:pt idx="21">
                  <c:v>249.18716403144484</c:v>
                </c:pt>
                <c:pt idx="22">
                  <c:v>123.64750454468246</c:v>
                </c:pt>
                <c:pt idx="23">
                  <c:v>196.8343452050303</c:v>
                </c:pt>
                <c:pt idx="24">
                  <c:v>157.52529638312325</c:v>
                </c:pt>
                <c:pt idx="25">
                  <c:v>265.12894428901933</c:v>
                </c:pt>
                <c:pt idx="26">
                  <c:v>17.146896519298295</c:v>
                </c:pt>
                <c:pt idx="27">
                  <c:v>26.370636019685104</c:v>
                </c:pt>
                <c:pt idx="28">
                  <c:v>35.615434547849688</c:v>
                </c:pt>
                <c:pt idx="29">
                  <c:v>23.943024763300301</c:v>
                </c:pt>
                <c:pt idx="30">
                  <c:v>30.751566749992367</c:v>
                </c:pt>
                <c:pt idx="31">
                  <c:v>37.572522479374499</c:v>
                </c:pt>
                <c:pt idx="32">
                  <c:v>44.405891951446677</c:v>
                </c:pt>
                <c:pt idx="33">
                  <c:v>63.476184299010093</c:v>
                </c:pt>
                <c:pt idx="34">
                  <c:v>110.33194777316633</c:v>
                </c:pt>
                <c:pt idx="35">
                  <c:v>51.251675166208919</c:v>
                </c:pt>
                <c:pt idx="36">
                  <c:v>85.666797380371008</c:v>
                </c:pt>
                <c:pt idx="37">
                  <c:v>67.222520533204019</c:v>
                </c:pt>
                <c:pt idx="38">
                  <c:v>118.14750352146871</c:v>
                </c:pt>
                <c:pt idx="39">
                  <c:v>39.479542050749885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D-4E20-A099-D8CD0CD8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72272"/>
        <c:axId val="593576848"/>
      </c:scatterChart>
      <c:valAx>
        <c:axId val="593572272"/>
        <c:scaling>
          <c:orientation val="minMax"/>
          <c:max val="1.1000000000000001"/>
          <c:min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593576848"/>
        <c:crosses val="autoZero"/>
        <c:crossBetween val="midCat"/>
        <c:majorUnit val="1.0000000000000002E-2"/>
        <c:minorUnit val="1.0000000000000002E-2"/>
      </c:valAx>
      <c:valAx>
        <c:axId val="59357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Construction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AssemblyCompiler!$BL$2</c:f>
              <c:strCache>
                <c:ptCount val="1"/>
                <c:pt idx="0">
                  <c:v>Overall Cost (Rs/m2)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74D-4BB0-8590-3DC6550D1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AssemblyCompiler!$B$3:$B$42</c:f>
              <c:strCache>
                <c:ptCount val="40"/>
                <c:pt idx="0">
                  <c:v>Solid_Burnt_Brick-230[ENS]</c:v>
                </c:pt>
                <c:pt idx="1">
                  <c:v>Solid_Burnt_Brick-230_XPS-5[ENS]</c:v>
                </c:pt>
                <c:pt idx="2">
                  <c:v>Solid_Burnt_Brick-230_XPS-10[ENS]</c:v>
                </c:pt>
                <c:pt idx="3">
                  <c:v>Solid_Burnt_Brick-230_XPS-25[ENS]</c:v>
                </c:pt>
                <c:pt idx="4">
                  <c:v>Solid_Burnt_Brick-230_XPS-50[ENS]</c:v>
                </c:pt>
                <c:pt idx="5">
                  <c:v>Solid_Burnt_Brick-230_EPS-5[ENS]</c:v>
                </c:pt>
                <c:pt idx="6">
                  <c:v>Solid_Burnt_Brick-230_EPS-10[ENS]</c:v>
                </c:pt>
                <c:pt idx="7">
                  <c:v>Solid_Burnt_Brick-230_EPS-25[ENS]</c:v>
                </c:pt>
                <c:pt idx="8">
                  <c:v>Solid_Burnt_Brick-230_EPS-50[ENS]</c:v>
                </c:pt>
                <c:pt idx="9">
                  <c:v>Solid_Burnt_Brick-230_PUF-25[ENS]</c:v>
                </c:pt>
                <c:pt idx="10">
                  <c:v>Solid_Burnt_Brick-230_PUF-50[ENS]</c:v>
                </c:pt>
                <c:pt idx="11">
                  <c:v>AAC_Block_Wall-300[ENS]</c:v>
                </c:pt>
                <c:pt idx="12">
                  <c:v>AAC_Block_Wall-200[ENS]</c:v>
                </c:pt>
                <c:pt idx="13">
                  <c:v>AAC_Block_Wall-200_XPS-25[ENS]</c:v>
                </c:pt>
                <c:pt idx="14">
                  <c:v>AAC_Block_Wall-200_XPS-50[ENS]</c:v>
                </c:pt>
                <c:pt idx="15">
                  <c:v>AAC_Block_Wall-200_EPS-25[ENS]</c:v>
                </c:pt>
                <c:pt idx="16">
                  <c:v>AAC_Block_Wall-200_EPS-50[ENS]</c:v>
                </c:pt>
                <c:pt idx="17">
                  <c:v>AAC_Block_Wall-200_PUF-25[ENS]</c:v>
                </c:pt>
                <c:pt idx="18">
                  <c:v>AAC_Block_Wall-200_PUF-50[ENS]</c:v>
                </c:pt>
                <c:pt idx="19">
                  <c:v>Fly_Ash_Brick-230[ENS]</c:v>
                </c:pt>
                <c:pt idx="20">
                  <c:v>Fly_Ash_Brick-230_XPS-25[ENS]</c:v>
                </c:pt>
                <c:pt idx="21">
                  <c:v>Fly_Ash_Brick-230_XPS-50[ENS]</c:v>
                </c:pt>
                <c:pt idx="22">
                  <c:v>Fly_Ash_Brick-230_EPS-25[ENS]</c:v>
                </c:pt>
                <c:pt idx="23">
                  <c:v>Fly_Ash_Brick-230_EPS-50[ENS]</c:v>
                </c:pt>
                <c:pt idx="24">
                  <c:v>Fly_Ash_Brick-230_PUF-25[ENS]</c:v>
                </c:pt>
                <c:pt idx="25">
                  <c:v>Fly_Ash_Brick-230_PUF-50[ENS]</c:v>
                </c:pt>
                <c:pt idx="26">
                  <c:v>Solid_Concrete_Block-200[ENS]</c:v>
                </c:pt>
                <c:pt idx="27">
                  <c:v>Solid_Concrete_Block-200_XPS-5[ENS]</c:v>
                </c:pt>
                <c:pt idx="28">
                  <c:v>Solid_Concrete_Block-200_XPS-10[ENS]</c:v>
                </c:pt>
                <c:pt idx="29">
                  <c:v>Solid_Concrete_Block-200_EPS-5[ENS]</c:v>
                </c:pt>
                <c:pt idx="30">
                  <c:v>Solid_Concrete_Block-200_EPS-10[ENS]</c:v>
                </c:pt>
                <c:pt idx="31">
                  <c:v>Solid_Concrete_Block-200_EPS-15[ENS]</c:v>
                </c:pt>
                <c:pt idx="32">
                  <c:v>Solid_Concrete_Block-200_EPS-20[ENS]</c:v>
                </c:pt>
                <c:pt idx="33">
                  <c:v>Solid_Concrete_Block-200_XPS-25[ENS]</c:v>
                </c:pt>
                <c:pt idx="34">
                  <c:v>Solid_Concrete_Block-200_XPS-50[ENS]</c:v>
                </c:pt>
                <c:pt idx="35">
                  <c:v>Solid_Concrete_Block-200_EPS-25[ENS]</c:v>
                </c:pt>
                <c:pt idx="36">
                  <c:v>Solid_Concrete_Block-200_EPS-50[ENS]</c:v>
                </c:pt>
                <c:pt idx="37">
                  <c:v>Solid_Concrete_Block-200_PUF-25[ENS]</c:v>
                </c:pt>
                <c:pt idx="38">
                  <c:v>Solid_Concrete_Block-200_PUF-50[ENS]</c:v>
                </c:pt>
                <c:pt idx="39">
                  <c:v>Reinforce_Concrete_200[ENS]</c:v>
                </c:pt>
              </c:strCache>
            </c:strRef>
          </c:cat>
          <c:val>
            <c:numRef>
              <c:f>AssemblyCompiler!$BL$3:$BL$42</c:f>
              <c:numCache>
                <c:formatCode>_(* #,##0_);_(* \(#,##0\);_(* "-"??_);_(@_)</c:formatCode>
                <c:ptCount val="40"/>
                <c:pt idx="0">
                  <c:v>3359.931</c:v>
                </c:pt>
                <c:pt idx="1">
                  <c:v>3715.5810000000001</c:v>
                </c:pt>
                <c:pt idx="2">
                  <c:v>3770.5810000000001</c:v>
                </c:pt>
                <c:pt idx="3">
                  <c:v>3935.5810000000001</c:v>
                </c:pt>
                <c:pt idx="4">
                  <c:v>4210.5810000000001</c:v>
                </c:pt>
                <c:pt idx="5">
                  <c:v>6062.3560000000007</c:v>
                </c:pt>
                <c:pt idx="6">
                  <c:v>6096.7310000000007</c:v>
                </c:pt>
                <c:pt idx="7">
                  <c:v>6199.8560000000007</c:v>
                </c:pt>
                <c:pt idx="8">
                  <c:v>6371.7310000000007</c:v>
                </c:pt>
                <c:pt idx="9">
                  <c:v>3600.556</c:v>
                </c:pt>
                <c:pt idx="10">
                  <c:v>3841.181</c:v>
                </c:pt>
                <c:pt idx="11">
                  <c:v>2842.2499999999995</c:v>
                </c:pt>
                <c:pt idx="12">
                  <c:v>2120.9</c:v>
                </c:pt>
                <c:pt idx="13">
                  <c:v>2696.5499999999997</c:v>
                </c:pt>
                <c:pt idx="14">
                  <c:v>2971.5499999999997</c:v>
                </c:pt>
                <c:pt idx="15">
                  <c:v>4960.8250000000007</c:v>
                </c:pt>
                <c:pt idx="16">
                  <c:v>5132.7000000000007</c:v>
                </c:pt>
                <c:pt idx="17">
                  <c:v>2361.5250000000001</c:v>
                </c:pt>
                <c:pt idx="18">
                  <c:v>2602.15</c:v>
                </c:pt>
                <c:pt idx="19">
                  <c:v>2613.5695000000001</c:v>
                </c:pt>
                <c:pt idx="20">
                  <c:v>2850.1194999999998</c:v>
                </c:pt>
                <c:pt idx="21">
                  <c:v>3464.2194999999997</c:v>
                </c:pt>
                <c:pt idx="22">
                  <c:v>5453.4945000000007</c:v>
                </c:pt>
                <c:pt idx="23">
                  <c:v>5625.3695000000007</c:v>
                </c:pt>
                <c:pt idx="24">
                  <c:v>2854.1945000000001</c:v>
                </c:pt>
                <c:pt idx="25">
                  <c:v>3094.8195000000001</c:v>
                </c:pt>
                <c:pt idx="26">
                  <c:v>2295.52</c:v>
                </c:pt>
                <c:pt idx="27">
                  <c:v>2651.17</c:v>
                </c:pt>
                <c:pt idx="28">
                  <c:v>2706.17</c:v>
                </c:pt>
                <c:pt idx="29">
                  <c:v>4997.9450000000006</c:v>
                </c:pt>
                <c:pt idx="30">
                  <c:v>5032.3200000000006</c:v>
                </c:pt>
                <c:pt idx="31">
                  <c:v>5066.6950000000006</c:v>
                </c:pt>
                <c:pt idx="32">
                  <c:v>5101.0700000000006</c:v>
                </c:pt>
                <c:pt idx="33">
                  <c:v>2871.17</c:v>
                </c:pt>
                <c:pt idx="34">
                  <c:v>3146.17</c:v>
                </c:pt>
                <c:pt idx="35">
                  <c:v>5135.4450000000006</c:v>
                </c:pt>
                <c:pt idx="36">
                  <c:v>5307.3200000000006</c:v>
                </c:pt>
                <c:pt idx="37">
                  <c:v>2536.145</c:v>
                </c:pt>
                <c:pt idx="38">
                  <c:v>2776.77</c:v>
                </c:pt>
                <c:pt idx="39">
                  <c:v>3384.7599999999998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9-4A04-9780-461FAFBD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655615"/>
        <c:axId val="773652287"/>
      </c:barChart>
      <c:catAx>
        <c:axId val="7736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2287"/>
        <c:crosses val="autoZero"/>
        <c:auto val="1"/>
        <c:lblAlgn val="ctr"/>
        <c:lblOffset val="100"/>
        <c:noMultiLvlLbl val="0"/>
      </c:catAx>
      <c:valAx>
        <c:axId val="7736522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(Rs/m2)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773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AssemblyCompiler!$BI$2</c:f>
              <c:strCache>
                <c:ptCount val="1"/>
                <c:pt idx="0">
                  <c:v>CR Value  (in hours)
((Specific Heat×Density×Thk) × 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15A26D-B1B9-42CF-B71A-A0EF5FE8509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26B-471E-8ED1-0EA6679E6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E4C009-445B-468E-8B45-ABBDB0CE65A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6B-471E-8ED1-0EA6679E6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BA48A5-1447-40DE-8AAB-43094800F98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6B-471E-8ED1-0EA6679E6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0C2646-8454-4869-9366-CFDF0C2FD6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6B-471E-8ED1-0EA6679E6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DFA173-E273-44E8-A4DE-DB0765AEEF3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6B-471E-8ED1-0EA6679E6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520828-F70C-42DF-BB47-AB5C1A0C268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6B-471E-8ED1-0EA6679E6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1EE9EA-BF39-4DA5-A261-2523B8D3684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6B-471E-8ED1-0EA6679E6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F8EC33-C08A-4AB3-B409-0F2E898B7D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6B-471E-8ED1-0EA6679E6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F9993D-195C-43AB-A0FA-8ABB3772B30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6B-471E-8ED1-0EA6679E6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2807F8-2461-4203-890E-DDBD21D7403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6B-471E-8ED1-0EA6679E6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405A5F-9B76-4D0D-9306-0AD4996DB14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6B-471E-8ED1-0EA6679E6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A2C7AD2-E0C6-4F82-B556-C9C130FD1A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6B-471E-8ED1-0EA6679E6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64C20F-4670-4B6F-A632-97387757BD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6B-471E-8ED1-0EA6679E6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404897-6A77-4F2A-A184-C556977E8C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6B-471E-8ED1-0EA6679E6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CEE689-A35C-4E20-9943-B0D81DDEEC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6B-471E-8ED1-0EA6679E6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F50AF2-FF29-4593-95F8-C67774F3E5F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6B-471E-8ED1-0EA6679E6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083B8A5-8FEE-4A3F-A47A-A55B40534B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6B-471E-8ED1-0EA6679E6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FCE7932-F7E8-4CD3-9830-922A2F0E22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6B-471E-8ED1-0EA6679E6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C6C776E-D25A-41F5-B6F0-022B680168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6B-471E-8ED1-0EA6679E6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4CF5417-382A-4BC4-A999-7EBAB4CAFF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6B-471E-8ED1-0EA6679E69FB}"/>
                </c:ext>
              </c:extLst>
            </c:dLbl>
            <c:dLbl>
              <c:idx val="20"/>
              <c:layout>
                <c:manualLayout>
                  <c:x val="-8.3333333333333332E-3"/>
                  <c:y val="-0.17592592592592601"/>
                </c:manualLayout>
              </c:layout>
              <c:tx>
                <c:rich>
                  <a:bodyPr/>
                  <a:lstStyle/>
                  <a:p>
                    <a:fld id="{00C613D9-2493-4AC1-B86F-908AAA009CB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26B-471E-8ED1-0EA6679E6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3E3C6D0-619D-4C11-B44E-916D005F6FA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6B-471E-8ED1-0EA6679E6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35C00C6-DA8E-4494-9B61-19B7BD75F3A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6B-471E-8ED1-0EA6679E6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57F1AB8-6D5A-438D-B9B0-2CD0AA7F99D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6B-471E-8ED1-0EA6679E6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49A2708-9705-46A3-A101-19923E1488E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6B-471E-8ED1-0EA6679E6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6E308B8-C6CE-4960-9643-399BD15483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26B-471E-8ED1-0EA6679E6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8B6551-A37F-4C63-B3D1-4121812994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6B-471E-8ED1-0EA6679E6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6C5D4A9-E685-4911-A51A-5907909F846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26B-471E-8ED1-0EA6679E6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D31F84A-D301-43BF-9BFC-F4069E5B51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6B-471E-8ED1-0EA6679E6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13C9EF4-86EC-402A-9662-381BC1E55F4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26B-471E-8ED1-0EA6679E6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8D48242-40E6-459E-BCEB-0360028738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6B-471E-8ED1-0EA6679E6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01A0501-C4A0-448B-A4EF-6D0E38C71C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26B-471E-8ED1-0EA6679E6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B8BEEF5-895E-4AA0-A357-E3C28F783F5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26B-471E-8ED1-0EA6679E6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1AF5DAB-B567-4019-A882-02CA56E71F7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26B-471E-8ED1-0EA6679E6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F1514D4-EFA7-4439-9D58-30B48EA4CE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6B-471E-8ED1-0EA6679E6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9B06614-8920-4893-803E-6522E69B03A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26B-471E-8ED1-0EA6679E6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E1D5FCB-C69C-4463-843E-7EDA2417DFF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6B-471E-8ED1-0EA6679E6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6248EE1-ABD2-40AB-837E-49A98FA4E5A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26B-471E-8ED1-0EA6679E6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5B15A51-BB96-4ECC-A488-B5B01BAB1A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26B-471E-8ED1-0EA6679E6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5D2F64C-34DD-4938-8A5D-AAB30042E32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26B-471E-8ED1-0EA6679E6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AssemblyCompiler!$BL$3:$BL$42</c:f>
              <c:numCache>
                <c:formatCode>_(* #,##0_);_(* \(#,##0\);_(* "-"??_);_(@_)</c:formatCode>
                <c:ptCount val="40"/>
                <c:pt idx="0">
                  <c:v>3359.931</c:v>
                </c:pt>
                <c:pt idx="1">
                  <c:v>3715.5810000000001</c:v>
                </c:pt>
                <c:pt idx="2">
                  <c:v>3770.5810000000001</c:v>
                </c:pt>
                <c:pt idx="3">
                  <c:v>3935.5810000000001</c:v>
                </c:pt>
                <c:pt idx="4">
                  <c:v>4210.5810000000001</c:v>
                </c:pt>
                <c:pt idx="5">
                  <c:v>6062.3560000000007</c:v>
                </c:pt>
                <c:pt idx="6">
                  <c:v>6096.7310000000007</c:v>
                </c:pt>
                <c:pt idx="7">
                  <c:v>6199.8560000000007</c:v>
                </c:pt>
                <c:pt idx="8">
                  <c:v>6371.7310000000007</c:v>
                </c:pt>
                <c:pt idx="9">
                  <c:v>3600.556</c:v>
                </c:pt>
                <c:pt idx="10">
                  <c:v>3841.181</c:v>
                </c:pt>
                <c:pt idx="11">
                  <c:v>2842.2499999999995</c:v>
                </c:pt>
                <c:pt idx="12">
                  <c:v>2120.9</c:v>
                </c:pt>
                <c:pt idx="13">
                  <c:v>2696.5499999999997</c:v>
                </c:pt>
                <c:pt idx="14">
                  <c:v>2971.5499999999997</c:v>
                </c:pt>
                <c:pt idx="15">
                  <c:v>4960.8250000000007</c:v>
                </c:pt>
                <c:pt idx="16">
                  <c:v>5132.7000000000007</c:v>
                </c:pt>
                <c:pt idx="17">
                  <c:v>2361.5250000000001</c:v>
                </c:pt>
                <c:pt idx="18">
                  <c:v>2602.15</c:v>
                </c:pt>
                <c:pt idx="19">
                  <c:v>2613.5695000000001</c:v>
                </c:pt>
                <c:pt idx="20">
                  <c:v>2850.1194999999998</c:v>
                </c:pt>
                <c:pt idx="21">
                  <c:v>3464.2194999999997</c:v>
                </c:pt>
                <c:pt idx="22">
                  <c:v>5453.4945000000007</c:v>
                </c:pt>
                <c:pt idx="23">
                  <c:v>5625.3695000000007</c:v>
                </c:pt>
                <c:pt idx="24">
                  <c:v>2854.1945000000001</c:v>
                </c:pt>
                <c:pt idx="25">
                  <c:v>3094.8195000000001</c:v>
                </c:pt>
                <c:pt idx="26">
                  <c:v>2295.52</c:v>
                </c:pt>
                <c:pt idx="27">
                  <c:v>2651.17</c:v>
                </c:pt>
                <c:pt idx="28">
                  <c:v>2706.17</c:v>
                </c:pt>
                <c:pt idx="29">
                  <c:v>4997.9450000000006</c:v>
                </c:pt>
                <c:pt idx="30">
                  <c:v>5032.3200000000006</c:v>
                </c:pt>
                <c:pt idx="31">
                  <c:v>5066.6950000000006</c:v>
                </c:pt>
                <c:pt idx="32">
                  <c:v>5101.0700000000006</c:v>
                </c:pt>
                <c:pt idx="33">
                  <c:v>2871.17</c:v>
                </c:pt>
                <c:pt idx="34">
                  <c:v>3146.17</c:v>
                </c:pt>
                <c:pt idx="35">
                  <c:v>5135.4450000000006</c:v>
                </c:pt>
                <c:pt idx="36">
                  <c:v>5307.3200000000006</c:v>
                </c:pt>
                <c:pt idx="37">
                  <c:v>2536.145</c:v>
                </c:pt>
                <c:pt idx="38">
                  <c:v>2776.77</c:v>
                </c:pt>
                <c:pt idx="39">
                  <c:v>3384.7599999999998</c:v>
                </c:pt>
              </c:numCache>
            </c:numRef>
          </c:xVal>
          <c:yVal>
            <c:numRef>
              <c:f>AssemblyCompiler!$BI$3:$BI$42</c:f>
              <c:numCache>
                <c:formatCode>_(* #,##0.00_);_(* \(#,##0.00\);_(* "-"??_);_(@_)</c:formatCode>
                <c:ptCount val="40"/>
                <c:pt idx="0">
                  <c:v>47.059454387440702</c:v>
                </c:pt>
                <c:pt idx="1">
                  <c:v>66.821412831177923</c:v>
                </c:pt>
                <c:pt idx="2">
                  <c:v>86.604430302692947</c:v>
                </c:pt>
                <c:pt idx="3">
                  <c:v>146.07983688390468</c:v>
                </c:pt>
                <c:pt idx="4">
                  <c:v>245.62669507481309</c:v>
                </c:pt>
                <c:pt idx="5">
                  <c:v>61.62093222221327</c:v>
                </c:pt>
                <c:pt idx="6">
                  <c:v>76.194823799675916</c:v>
                </c:pt>
                <c:pt idx="7">
                  <c:v>119.99098098820417</c:v>
                </c:pt>
                <c:pt idx="8">
                  <c:v>193.23285115621917</c:v>
                </c:pt>
                <c:pt idx="9">
                  <c:v>153.89087509908018</c:v>
                </c:pt>
                <c:pt idx="10">
                  <c:v>261.57165478507864</c:v>
                </c:pt>
                <c:pt idx="11">
                  <c:v>143.32390775164379</c:v>
                </c:pt>
                <c:pt idx="12">
                  <c:v>72.299576973412542</c:v>
                </c:pt>
                <c:pt idx="13">
                  <c:v>123.44027660669498</c:v>
                </c:pt>
                <c:pt idx="14">
                  <c:v>175.1074519344219</c:v>
                </c:pt>
                <c:pt idx="15">
                  <c:v>109.96720690769095</c:v>
                </c:pt>
                <c:pt idx="16">
                  <c:v>147.94518040922088</c:v>
                </c:pt>
                <c:pt idx="17">
                  <c:v>127.6740803529018</c:v>
                </c:pt>
                <c:pt idx="18">
                  <c:v>183.89794270674994</c:v>
                </c:pt>
                <c:pt idx="19">
                  <c:v>50.771007451586129</c:v>
                </c:pt>
                <c:pt idx="20">
                  <c:v>139.19872154551732</c:v>
                </c:pt>
                <c:pt idx="21">
                  <c:v>249.18716403144484</c:v>
                </c:pt>
                <c:pt idx="22">
                  <c:v>123.64750454468246</c:v>
                </c:pt>
                <c:pt idx="23">
                  <c:v>196.8343452050303</c:v>
                </c:pt>
                <c:pt idx="24">
                  <c:v>157.52529638312325</c:v>
                </c:pt>
                <c:pt idx="25">
                  <c:v>265.12894428901933</c:v>
                </c:pt>
                <c:pt idx="26">
                  <c:v>17.146896519298295</c:v>
                </c:pt>
                <c:pt idx="27">
                  <c:v>26.370636019685104</c:v>
                </c:pt>
                <c:pt idx="28">
                  <c:v>35.615434547849688</c:v>
                </c:pt>
                <c:pt idx="29">
                  <c:v>23.943024763300301</c:v>
                </c:pt>
                <c:pt idx="30">
                  <c:v>30.751566749992367</c:v>
                </c:pt>
                <c:pt idx="31">
                  <c:v>37.572522479374499</c:v>
                </c:pt>
                <c:pt idx="32">
                  <c:v>44.405891951446677</c:v>
                </c:pt>
                <c:pt idx="33">
                  <c:v>63.476184299010093</c:v>
                </c:pt>
                <c:pt idx="34">
                  <c:v>110.33194777316633</c:v>
                </c:pt>
                <c:pt idx="35">
                  <c:v>51.251675166208919</c:v>
                </c:pt>
                <c:pt idx="36">
                  <c:v>85.666797380371008</c:v>
                </c:pt>
                <c:pt idx="37">
                  <c:v>67.222520533204019</c:v>
                </c:pt>
                <c:pt idx="38">
                  <c:v>118.14750352146871</c:v>
                </c:pt>
                <c:pt idx="39">
                  <c:v>39.479542050749885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AssemblyCompiler!$B$3:$B$42</c15:f>
                <c15:dlblRangeCache>
                  <c:ptCount val="40"/>
                  <c:pt idx="0">
                    <c:v>Solid_Burnt_Brick-230[ENS]</c:v>
                  </c:pt>
                  <c:pt idx="1">
                    <c:v>Solid_Burnt_Brick-230_XPS-5[ENS]</c:v>
                  </c:pt>
                  <c:pt idx="2">
                    <c:v>Solid_Burnt_Brick-230_XPS-10[ENS]</c:v>
                  </c:pt>
                  <c:pt idx="3">
                    <c:v>Solid_Burnt_Brick-230_XPS-25[ENS]</c:v>
                  </c:pt>
                  <c:pt idx="4">
                    <c:v>Solid_Burnt_Brick-230_XPS-50[ENS]</c:v>
                  </c:pt>
                  <c:pt idx="5">
                    <c:v>Solid_Burnt_Brick-230_EPS-5[ENS]</c:v>
                  </c:pt>
                  <c:pt idx="6">
                    <c:v>Solid_Burnt_Brick-230_EPS-10[ENS]</c:v>
                  </c:pt>
                  <c:pt idx="7">
                    <c:v>Solid_Burnt_Brick-230_EPS-25[ENS]</c:v>
                  </c:pt>
                  <c:pt idx="8">
                    <c:v>Solid_Burnt_Brick-230_EPS-50[ENS]</c:v>
                  </c:pt>
                  <c:pt idx="9">
                    <c:v>Solid_Burnt_Brick-230_PUF-25[ENS]</c:v>
                  </c:pt>
                  <c:pt idx="10">
                    <c:v>Solid_Burnt_Brick-230_PUF-50[ENS]</c:v>
                  </c:pt>
                  <c:pt idx="11">
                    <c:v>AAC_Block_Wall-300[ENS]</c:v>
                  </c:pt>
                  <c:pt idx="12">
                    <c:v>AAC_Block_Wall-200[ENS]</c:v>
                  </c:pt>
                  <c:pt idx="13">
                    <c:v>AAC_Block_Wall-200_XPS-25[ENS]</c:v>
                  </c:pt>
                  <c:pt idx="14">
                    <c:v>AAC_Block_Wall-200_XPS-50[ENS]</c:v>
                  </c:pt>
                  <c:pt idx="15">
                    <c:v>AAC_Block_Wall-200_EPS-25[ENS]</c:v>
                  </c:pt>
                  <c:pt idx="16">
                    <c:v>AAC_Block_Wall-200_EPS-50[ENS]</c:v>
                  </c:pt>
                  <c:pt idx="17">
                    <c:v>AAC_Block_Wall-200_PUF-25[ENS]</c:v>
                  </c:pt>
                  <c:pt idx="18">
                    <c:v>AAC_Block_Wall-200_PUF-50[ENS]</c:v>
                  </c:pt>
                  <c:pt idx="19">
                    <c:v>Fly_Ash_Brick-230[ENS]</c:v>
                  </c:pt>
                  <c:pt idx="20">
                    <c:v>Fly_Ash_Brick-230_XPS-25[ENS]</c:v>
                  </c:pt>
                  <c:pt idx="21">
                    <c:v>Fly_Ash_Brick-230_XPS-50[ENS]</c:v>
                  </c:pt>
                  <c:pt idx="22">
                    <c:v>Fly_Ash_Brick-230_EPS-25[ENS]</c:v>
                  </c:pt>
                  <c:pt idx="23">
                    <c:v>Fly_Ash_Brick-230_EPS-50[ENS]</c:v>
                  </c:pt>
                  <c:pt idx="24">
                    <c:v>Fly_Ash_Brick-230_PUF-25[ENS]</c:v>
                  </c:pt>
                  <c:pt idx="25">
                    <c:v>Fly_Ash_Brick-230_PUF-50[ENS]</c:v>
                  </c:pt>
                  <c:pt idx="26">
                    <c:v>Solid_Concrete_Block-200[ENS]</c:v>
                  </c:pt>
                  <c:pt idx="27">
                    <c:v>Solid_Concrete_Block-200_XPS-5[ENS]</c:v>
                  </c:pt>
                  <c:pt idx="28">
                    <c:v>Solid_Concrete_Block-200_XPS-10[ENS]</c:v>
                  </c:pt>
                  <c:pt idx="29">
                    <c:v>Solid_Concrete_Block-200_EPS-5[ENS]</c:v>
                  </c:pt>
                  <c:pt idx="30">
                    <c:v>Solid_Concrete_Block-200_EPS-10[ENS]</c:v>
                  </c:pt>
                  <c:pt idx="31">
                    <c:v>Solid_Concrete_Block-200_EPS-15[ENS]</c:v>
                  </c:pt>
                  <c:pt idx="32">
                    <c:v>Solid_Concrete_Block-200_EPS-20[ENS]</c:v>
                  </c:pt>
                  <c:pt idx="33">
                    <c:v>Solid_Concrete_Block-200_XPS-25[ENS]</c:v>
                  </c:pt>
                  <c:pt idx="34">
                    <c:v>Solid_Concrete_Block-200_XPS-50[ENS]</c:v>
                  </c:pt>
                  <c:pt idx="35">
                    <c:v>Solid_Concrete_Block-200_EPS-25[ENS]</c:v>
                  </c:pt>
                  <c:pt idx="36">
                    <c:v>Solid_Concrete_Block-200_EPS-50[ENS]</c:v>
                  </c:pt>
                  <c:pt idx="37">
                    <c:v>Solid_Concrete_Block-200_PUF-25[ENS]</c:v>
                  </c:pt>
                  <c:pt idx="38">
                    <c:v>Solid_Concrete_Block-200_PUF-50[ENS]</c:v>
                  </c:pt>
                  <c:pt idx="39">
                    <c:v>Reinforce_Concrete_200[ENS]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126B-471E-8ED1-0EA6679E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23599"/>
        <c:axId val="1324144399"/>
      </c:scatterChart>
      <c:valAx>
        <c:axId val="13241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44399"/>
        <c:crosses val="autoZero"/>
        <c:crossBetween val="midCat"/>
      </c:valAx>
      <c:valAx>
        <c:axId val="13241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 Construction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AssemblyCompiler!$BL$2</c:f>
              <c:strCache>
                <c:ptCount val="1"/>
                <c:pt idx="0">
                  <c:v>Overall Cost (Rs/m2)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40-4487-80E4-73FFFBF5B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AssemblyCompiler!$B$44:$B$64</c:f>
              <c:strCache>
                <c:ptCount val="21"/>
                <c:pt idx="0">
                  <c:v>Reinforce_Concrete_200[ENS]</c:v>
                </c:pt>
                <c:pt idx="1">
                  <c:v>Reinforce_Concrete_200_XPS25[ENS]</c:v>
                </c:pt>
                <c:pt idx="2">
                  <c:v>Reinforce_Concrete_200_XPS50[ENS]</c:v>
                </c:pt>
                <c:pt idx="3">
                  <c:v>Reinforce_Concrete_200_XPS75[ENS]</c:v>
                </c:pt>
                <c:pt idx="4">
                  <c:v>Reinforce_Concrete_200_XPS100[ENS]</c:v>
                </c:pt>
                <c:pt idx="5">
                  <c:v>Reinforce_Concrete_200_PUF25[ENS]</c:v>
                </c:pt>
                <c:pt idx="6">
                  <c:v>Reinforce_Concrete_200_PUF50[ENS]</c:v>
                </c:pt>
                <c:pt idx="7">
                  <c:v>Reinforce_Concrete_200_PUF75[ENS]</c:v>
                </c:pt>
                <c:pt idx="8">
                  <c:v>Reinforce_Concrete_200_PUF100[ENS]</c:v>
                </c:pt>
                <c:pt idx="9">
                  <c:v>Reinforce_Concrete_200_EPS2.5[ENS]</c:v>
                </c:pt>
                <c:pt idx="10">
                  <c:v>Reinforce_Concrete_200_EPS5[ENS]</c:v>
                </c:pt>
                <c:pt idx="11">
                  <c:v>Reinforce_Concrete_200_EPS7.5[ENS]</c:v>
                </c:pt>
                <c:pt idx="12">
                  <c:v>Reinforce_Concrete_200_EPS10[ENS]</c:v>
                </c:pt>
                <c:pt idx="13">
                  <c:v>Reinforce_Concrete_200_EPS12.5[ENS]</c:v>
                </c:pt>
                <c:pt idx="14">
                  <c:v>Reinforce_Concrete_200_EPS15[ENS]</c:v>
                </c:pt>
                <c:pt idx="15">
                  <c:v>Reinforce_Concrete_200_EPS17.5[ENS]</c:v>
                </c:pt>
                <c:pt idx="16">
                  <c:v>Reinforce_Concrete_200_EPS20[ENS]</c:v>
                </c:pt>
                <c:pt idx="17">
                  <c:v>Reinforce_Concrete_200_EPS25[ENS]</c:v>
                </c:pt>
                <c:pt idx="18">
                  <c:v>Reinforce_Concrete_200_EPS50[ENS]</c:v>
                </c:pt>
                <c:pt idx="19">
                  <c:v>Reinforce_Concrete_200_EPS75[ENS]</c:v>
                </c:pt>
                <c:pt idx="20">
                  <c:v>Reinforce_Concrete_200_EPS100[ENS]</c:v>
                </c:pt>
              </c:strCache>
            </c:strRef>
          </c:cat>
          <c:val>
            <c:numRef>
              <c:f>AssemblyCompiler!$BL$44:$BL$64</c:f>
              <c:numCache>
                <c:formatCode>_(* #,##0_);_(* \(#,##0\);_(* "-"??_);_(@_)</c:formatCode>
                <c:ptCount val="21"/>
                <c:pt idx="0">
                  <c:v>3601.6949999999997</c:v>
                </c:pt>
                <c:pt idx="1">
                  <c:v>4177.3450000000003</c:v>
                </c:pt>
                <c:pt idx="2">
                  <c:v>4452.3450000000003</c:v>
                </c:pt>
                <c:pt idx="3">
                  <c:v>4727.3450000000003</c:v>
                </c:pt>
                <c:pt idx="4">
                  <c:v>5002.3450000000003</c:v>
                </c:pt>
                <c:pt idx="5">
                  <c:v>4820.32</c:v>
                </c:pt>
                <c:pt idx="6">
                  <c:v>5060.9449999999997</c:v>
                </c:pt>
                <c:pt idx="7">
                  <c:v>5301.57</c:v>
                </c:pt>
                <c:pt idx="8">
                  <c:v>4564.1949999999997</c:v>
                </c:pt>
                <c:pt idx="9">
                  <c:v>6286.9325000000008</c:v>
                </c:pt>
                <c:pt idx="10">
                  <c:v>6304.1200000000008</c:v>
                </c:pt>
                <c:pt idx="11">
                  <c:v>6321.3075000000008</c:v>
                </c:pt>
                <c:pt idx="12">
                  <c:v>6338.4950000000008</c:v>
                </c:pt>
                <c:pt idx="13">
                  <c:v>6355.6825000000008</c:v>
                </c:pt>
                <c:pt idx="14">
                  <c:v>6372.8700000000008</c:v>
                </c:pt>
                <c:pt idx="15">
                  <c:v>6390.0575000000008</c:v>
                </c:pt>
                <c:pt idx="16">
                  <c:v>6407.2450000000008</c:v>
                </c:pt>
                <c:pt idx="17">
                  <c:v>6441.6200000000008</c:v>
                </c:pt>
                <c:pt idx="18">
                  <c:v>6613.4950000000008</c:v>
                </c:pt>
                <c:pt idx="19">
                  <c:v>6785.3700000000008</c:v>
                </c:pt>
                <c:pt idx="20">
                  <c:v>6957.2449999999999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0-4487-80E4-73FFFBF5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655615"/>
        <c:axId val="773652287"/>
      </c:barChart>
      <c:catAx>
        <c:axId val="7736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2287"/>
        <c:crosses val="autoZero"/>
        <c:auto val="1"/>
        <c:lblAlgn val="ctr"/>
        <c:lblOffset val="100"/>
        <c:noMultiLvlLbl val="0"/>
      </c:catAx>
      <c:valAx>
        <c:axId val="7736522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(Rs/m2)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773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jpe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527275</xdr:colOff>
      <xdr:row>0</xdr:row>
      <xdr:rowOff>0</xdr:rowOff>
    </xdr:from>
    <xdr:to>
      <xdr:col>98</xdr:col>
      <xdr:colOff>295275</xdr:colOff>
      <xdr:row>24</xdr:row>
      <xdr:rowOff>100692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46E4F-F8ED-D3D6-6D30-BDF6323E6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0</xdr:colOff>
      <xdr:row>65</xdr:row>
      <xdr:rowOff>1</xdr:rowOff>
    </xdr:from>
    <xdr:to>
      <xdr:col>44</xdr:col>
      <xdr:colOff>433389</xdr:colOff>
      <xdr:row>85</xdr:row>
      <xdr:rowOff>44906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704F5-0AF2-4CBE-AFBC-C5EAD71FB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440193</xdr:colOff>
      <xdr:row>65</xdr:row>
      <xdr:rowOff>2</xdr:rowOff>
    </xdr:from>
    <xdr:to>
      <xdr:col>47</xdr:col>
      <xdr:colOff>155804</xdr:colOff>
      <xdr:row>85</xdr:row>
      <xdr:rowOff>44907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2838A4-9D84-498B-838C-FB65433F0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536121</xdr:colOff>
      <xdr:row>0</xdr:row>
      <xdr:rowOff>152401</xdr:rowOff>
    </xdr:from>
    <xdr:to>
      <xdr:col>87</xdr:col>
      <xdr:colOff>573541</xdr:colOff>
      <xdr:row>15</xdr:row>
      <xdr:rowOff>111579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FA4F8-4A24-4BC7-B713-58E8372B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447675</xdr:colOff>
      <xdr:row>0</xdr:row>
      <xdr:rowOff>152400</xdr:rowOff>
    </xdr:from>
    <xdr:to>
      <xdr:col>85</xdr:col>
      <xdr:colOff>525916</xdr:colOff>
      <xdr:row>15</xdr:row>
      <xdr:rowOff>111578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904243-9677-4B84-BB41-B2E84EB2D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580345</xdr:colOff>
      <xdr:row>0</xdr:row>
      <xdr:rowOff>152402</xdr:rowOff>
    </xdr:from>
    <xdr:to>
      <xdr:col>89</xdr:col>
      <xdr:colOff>593953</xdr:colOff>
      <xdr:row>15</xdr:row>
      <xdr:rowOff>111580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80EA03-ABCD-431B-A054-C00B51C66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86</xdr:col>
      <xdr:colOff>266706</xdr:colOff>
      <xdr:row>26</xdr:row>
      <xdr:rowOff>76200</xdr:rowOff>
    </xdr:from>
    <xdr:to>
      <xdr:col>94</xdr:col>
      <xdr:colOff>9531</xdr:colOff>
      <xdr:row>65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BE8162-A577-7A5A-9DAC-B8CC9079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84</xdr:col>
      <xdr:colOff>495300</xdr:colOff>
      <xdr:row>28</xdr:row>
      <xdr:rowOff>28575</xdr:rowOff>
    </xdr:from>
    <xdr:to>
      <xdr:col>98</xdr:col>
      <xdr:colOff>510950</xdr:colOff>
      <xdr:row>57</xdr:row>
      <xdr:rowOff>14967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09F27-4FB9-4222-A974-DEF1E6ADC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390525</xdr:colOff>
      <xdr:row>68</xdr:row>
      <xdr:rowOff>95251</xdr:rowOff>
    </xdr:from>
    <xdr:to>
      <xdr:col>76</xdr:col>
      <xdr:colOff>85725</xdr:colOff>
      <xdr:row>98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012FE-2D16-4A99-BBD7-7B643D29E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190500</xdr:colOff>
      <xdr:row>30</xdr:row>
      <xdr:rowOff>171456</xdr:rowOff>
    </xdr:from>
    <xdr:to>
      <xdr:col>66</xdr:col>
      <xdr:colOff>314325</xdr:colOff>
      <xdr:row>44</xdr:row>
      <xdr:rowOff>28581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710EA0-8CF7-DD09-8708-0DC69A2A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80</xdr:col>
      <xdr:colOff>542925</xdr:colOff>
      <xdr:row>57</xdr:row>
      <xdr:rowOff>66675</xdr:rowOff>
    </xdr:from>
    <xdr:to>
      <xdr:col>88</xdr:col>
      <xdr:colOff>281282</xdr:colOff>
      <xdr:row>81</xdr:row>
      <xdr:rowOff>9005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E26467-2C7F-EFCF-CE7A-76679CEB7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881300" y="12849225"/>
          <a:ext cx="5266667" cy="4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</xdr:row>
      <xdr:rowOff>180975</xdr:rowOff>
    </xdr:from>
    <xdr:to>
      <xdr:col>13</xdr:col>
      <xdr:colOff>416983</xdr:colOff>
      <xdr:row>3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752ADD-C75F-BF61-57BA-09A3BF5B9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619125"/>
          <a:ext cx="2760133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4</xdr:row>
      <xdr:rowOff>133350</xdr:rowOff>
    </xdr:from>
    <xdr:to>
      <xdr:col>13</xdr:col>
      <xdr:colOff>238125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193C05-C3F4-19A2-4E8C-6D4D3AAF7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457450"/>
          <a:ext cx="254317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4</xdr:row>
      <xdr:rowOff>85725</xdr:rowOff>
    </xdr:from>
    <xdr:to>
      <xdr:col>18</xdr:col>
      <xdr:colOff>489352</xdr:colOff>
      <xdr:row>14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01EB3-3387-8665-F442-217198F6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6" y="2409825"/>
          <a:ext cx="2727726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5</xdr:row>
      <xdr:rowOff>19050</xdr:rowOff>
    </xdr:from>
    <xdr:to>
      <xdr:col>23</xdr:col>
      <xdr:colOff>504825</xdr:colOff>
      <xdr:row>15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41EC25-0410-B97B-92FC-1791B1155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2552700"/>
          <a:ext cx="27717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8E9BC-517D-4737-8CCA-EC7315C6640C}" name="WorkingDB" displayName="WorkingDB" ref="A1:L45" totalsRowShown="0" headerRowDxfId="12">
  <autoFilter ref="A1:L45" xr:uid="{8FD8E9BC-517D-4737-8CCA-EC7315C6640C}">
    <filterColumn colId="11">
      <filters>
        <filter val="ENS - 2018, American Society of Heating, Refrigerating and Air-Conditioning Engineers (ASHRAE). 2009. 2009 ASHRAE Handbook (Fundamentals). Atlanta, United States: ASHRAE"/>
        <filter val="ENS, 2018 and Bureau of Indian Standards (BIS). 1987. Handbook on Functional Requirements of Buildings (Other than Industrial Buildings) SP: 41 (S &amp; T) -1987. New Delhi: BIS."/>
        <filter val="RB 05 - Advancing Building Energy Efficiency in India, Thermal Performance of Walling Material and Wall Technology, Part 1: National Database of Thermophysical Properties of Walling Materials"/>
        <filter val="RB 15 - Advancing Building Energy Efficiency in India, Thermal Performance of Walling Material and Wall Technology, Part 1: National Database of Thermophysical Properties of Walling Materials"/>
      </filters>
    </filterColumn>
  </autoFilter>
  <sortState xmlns:xlrd2="http://schemas.microsoft.com/office/spreadsheetml/2017/richdata2" ref="A2:L40">
    <sortCondition ref="A1:A40"/>
  </sortState>
  <tableColumns count="12">
    <tableColumn id="1" xr3:uid="{BBB6B7F8-CD03-4487-A61D-E1A13BD7D9F2}" name="Material"/>
    <tableColumn id="2" xr3:uid="{AF1DAE36-AE5F-4479-900D-FD22AC2C2DFD}" name="Conductivity_x000a_(W/mK)"/>
    <tableColumn id="3" xr3:uid="{E22090AE-142C-46D8-8108-F66BE6B3F863}" name="Sp Heat _x000a_(J/kgK)"/>
    <tableColumn id="4" xr3:uid="{B87DFC42-57DF-42DC-9A91-63650A0065EF}" name="Density_x000a_(kg/m3)"/>
    <tableColumn id="5" xr3:uid="{66C3BCA0-D63C-48EB-9F24-EA511A8485A4}" name="Thermal Absorptance"/>
    <tableColumn id="6" xr3:uid="{28AAB0FA-D20D-4804-8C38-021A23F5A1DF}" name="Solar Absorptance"/>
    <tableColumn id="7" xr3:uid="{7054D73B-C2F1-4B53-B49D-9D0CED188E8D}" name="Cost _x000a_(Rs/m2 of Surface Area for 1m thickness)"/>
    <tableColumn id="8" xr3:uid="{FB8936C8-CBAC-471C-B398-EB1EA59D0A1D}" name="Thermal Diffusivity_x000a_(m2/s)" dataDxfId="11">
      <calculatedColumnFormula>B2/(D2*C2)</calculatedColumnFormula>
    </tableColumn>
    <tableColumn id="9" xr3:uid="{E4A96F53-02D6-407F-9B97-A07CCB88D95D}" name="Effusivity"/>
    <tableColumn id="10" xr3:uid="{6BDD4653-DEF8-47B8-A206-D9BC9A01530B}" name="Compressive Strength_x000a_(N/mm2)"/>
    <tableColumn id="11" xr3:uid="{51EA1243-0335-4A1E-B0A7-8C7AD5987790}" name="Embodied Energy"/>
    <tableColumn id="12" xr3:uid="{88397448-3DBB-45F6-8CDA-52AAD091F328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B4EC51-CEE0-4AB7-9CDD-46013CD32C61}" name="CostDB" displayName="CostDB" ref="A1:F15" totalsRowShown="0" headerRowDxfId="10" dataDxfId="9">
  <autoFilter ref="A1:F15" xr:uid="{79B4EC51-CEE0-4AB7-9CDD-46013CD32C61}"/>
  <tableColumns count="6">
    <tableColumn id="1" xr3:uid="{B6A1971C-85B5-4F6A-B3AF-D94B9A338278}" name="Material" dataDxfId="8"/>
    <tableColumn id="2" xr3:uid="{69A3A966-4EF8-4237-9415-8EB938D79822}" name="Cost" dataDxfId="7" dataCellStyle="Comma"/>
    <tableColumn id="3" xr3:uid="{8C4CDD60-28B4-4F96-899B-0CECE48589E9}" name="Unit" dataDxfId="6"/>
    <tableColumn id="4" xr3:uid="{22524317-FCF7-41CC-96C5-8D9C3802DBFC}" name="Cost (per m2 for unit thickness)" dataDxfId="5">
      <calculatedColumnFormula>B2</calculatedColumnFormula>
    </tableColumn>
    <tableColumn id="6" xr3:uid="{79F9EF05-0DAD-44A3-BFA7-663C332B9AAF}" name="Fixed Cost/m2" dataDxfId="4"/>
    <tableColumn id="5" xr3:uid="{88D4981C-8500-435D-9E05-527595A20CAF}" name="Sour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A4DEE-5579-4BCE-8B61-88588A07B7A2}" name="Table1" displayName="Table1" ref="A1:D43" totalsRowShown="0">
  <autoFilter ref="A1:D43" xr:uid="{018A4DEE-5579-4BCE-8B61-88588A07B7A2}"/>
  <sortState xmlns:xlrd2="http://schemas.microsoft.com/office/spreadsheetml/2017/richdata2" ref="A2:D43">
    <sortCondition ref="C2:C43"/>
    <sortCondition ref="D2:D43"/>
  </sortState>
  <tableColumns count="4">
    <tableColumn id="1" xr3:uid="{245EAC39-8ED8-4783-B1B7-2E441C39586B}" name="S.No"/>
    <tableColumn id="2" xr3:uid="{9C941DB1-1A38-4375-8B58-A1095A13E2CF}" name="Sample"/>
    <tableColumn id="3" xr3:uid="{410D3FD2-CF16-483F-B774-FF9CDB7003F1}" name="Sample type"/>
    <tableColumn id="4" xr3:uid="{F7A6EC6F-8FCB-44B9-AE60-4BA29D018A93}" name="Thermal Transmittance Coefficient (U-value) (W⁄m2.K) of 200 mm thick wall with 15 mm plaster on both sid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DCAB5D-FEF0-4E39-92CF-334A0AF8AF2A}" name="Table2" displayName="Table2" ref="A1:I93" totalsRowShown="0">
  <autoFilter ref="A1:I93" xr:uid="{91DCAB5D-FEF0-4E39-92CF-334A0AF8AF2A}"/>
  <tableColumns count="9">
    <tableColumn id="1" xr3:uid="{245F8EE3-6D11-403E-BDBB-4B4E766AB82F}" name="S.No"/>
    <tableColumn id="2" xr3:uid="{133DE2AF-5A8C-4D98-AF91-C0D3370FD088}" name="Material"/>
    <tableColumn id="4" xr3:uid="{840B69B3-8639-409C-95B8-E795A2514522}" name="k (W/mK)"/>
    <tableColumn id="9" xr3:uid="{E922BC25-601B-4295-BC73-2057F23E221D}" name="J/KgK">
      <calculatedColumnFormula>Table2[[#This Row],[KJ/kgK]]*1000</calculatedColumnFormula>
    </tableColumn>
    <tableColumn id="3" xr3:uid="{3BC1E5C8-D545-4FB7-90EA-2A35AA6262A0}" name="Density (kg/m3)"/>
    <tableColumn id="5" xr3:uid="{EB2196A9-0B5B-4F00-B868-B8A1EE93FD23}" name="KJ/kgK"/>
    <tableColumn id="6" xr3:uid="{AE794329-4A95-4E7A-B808-1510CFF16380}" name="Source"/>
    <tableColumn id="7" xr3:uid="{0242243E-E40F-4C98-B518-A706152F266F}" name="U-Value"/>
    <tableColumn id="8" xr3:uid="{1C533099-D666-4B12-85B7-4410ED845B2C}" name="Material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H_Gill_B_ArN">
      <a:majorFont>
        <a:latin typeface="Gill Sans MT"/>
        <a:ea typeface=""/>
        <a:cs typeface=""/>
      </a:majorFont>
      <a:minorFont>
        <a:latin typeface="Arial Narr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790F-28B1-4641-870C-FE9BC42516B9}">
  <dimension ref="A1:CD64"/>
  <sheetViews>
    <sheetView showGridLines="0" tabSelected="1" zoomScaleNormal="100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U66" sqref="U66"/>
    </sheetView>
  </sheetViews>
  <sheetFormatPr defaultColWidth="9.125" defaultRowHeight="13.8" x14ac:dyDescent="0.3"/>
  <cols>
    <col min="1" max="1" width="5.125" style="5" bestFit="1" customWidth="1"/>
    <col min="2" max="2" width="34.125" style="5" bestFit="1" customWidth="1"/>
    <col min="3" max="3" width="10.625" style="5" bestFit="1" customWidth="1"/>
    <col min="4" max="4" width="6.5" style="5" bestFit="1" customWidth="1"/>
    <col min="5" max="5" width="13" style="5" bestFit="1" customWidth="1"/>
    <col min="6" max="6" width="6.625" style="5" bestFit="1" customWidth="1"/>
    <col min="7" max="7" width="5.625" style="5" bestFit="1" customWidth="1"/>
    <col min="8" max="8" width="5.125" style="5" bestFit="1" customWidth="1"/>
    <col min="9" max="9" width="6.625" style="5" bestFit="1" customWidth="1"/>
    <col min="10" max="11" width="3.625" style="5" bestFit="1" customWidth="1"/>
    <col min="12" max="12" width="5.125" style="5" bestFit="1" customWidth="1"/>
    <col min="13" max="13" width="34.25" style="5" bestFit="1" customWidth="1"/>
    <col min="14" max="15" width="5.625" style="5" bestFit="1" customWidth="1"/>
    <col min="16" max="17" width="6.625" style="5" bestFit="1" customWidth="1"/>
    <col min="18" max="19" width="3.625" style="5" bestFit="1" customWidth="1"/>
    <col min="20" max="20" width="6.625" style="5" bestFit="1" customWidth="1"/>
    <col min="21" max="21" width="33.875" style="5" bestFit="1" customWidth="1"/>
    <col min="22" max="23" width="5.625" style="5" bestFit="1" customWidth="1"/>
    <col min="24" max="25" width="6.625" style="5" bestFit="1" customWidth="1"/>
    <col min="26" max="27" width="3.625" style="5" bestFit="1" customWidth="1"/>
    <col min="28" max="28" width="6.625" style="5" bestFit="1" customWidth="1"/>
    <col min="29" max="29" width="29" style="5" bestFit="1" customWidth="1"/>
    <col min="30" max="31" width="5.625" style="5" bestFit="1" customWidth="1"/>
    <col min="32" max="32" width="5.125" style="5" bestFit="1" customWidth="1"/>
    <col min="33" max="33" width="6.625" style="5" bestFit="1" customWidth="1"/>
    <col min="34" max="35" width="3.625" style="5" bestFit="1" customWidth="1"/>
    <col min="36" max="36" width="6.625" style="5" bestFit="1" customWidth="1"/>
    <col min="37" max="37" width="13" style="5" customWidth="1"/>
    <col min="38" max="39" width="5.625" style="5" bestFit="1" customWidth="1"/>
    <col min="40" max="40" width="5.125" style="5" bestFit="1" customWidth="1"/>
    <col min="41" max="41" width="6.625" style="5" bestFit="1" customWidth="1"/>
    <col min="42" max="43" width="3.625" style="5" bestFit="1" customWidth="1"/>
    <col min="44" max="44" width="5.125" style="5" bestFit="1" customWidth="1"/>
    <col min="45" max="45" width="6.875" style="5" bestFit="1" customWidth="1"/>
    <col min="46" max="49" width="4.75" style="5" bestFit="1" customWidth="1"/>
    <col min="50" max="51" width="3.625" style="5" bestFit="1" customWidth="1"/>
    <col min="52" max="52" width="4.75" style="5" bestFit="1" customWidth="1"/>
    <col min="53" max="53" width="11.875" style="5" bestFit="1" customWidth="1"/>
    <col min="54" max="54" width="9" style="5" bestFit="1" customWidth="1"/>
    <col min="55" max="55" width="5.625" style="5" bestFit="1" customWidth="1"/>
    <col min="56" max="56" width="6.5" style="5" bestFit="1" customWidth="1"/>
    <col min="57" max="58" width="6.875" style="5" bestFit="1" customWidth="1"/>
    <col min="59" max="59" width="9.125" style="5" bestFit="1" customWidth="1"/>
    <col min="60" max="60" width="6.625" style="5" bestFit="1" customWidth="1"/>
    <col min="61" max="61" width="7.625" style="5" bestFit="1" customWidth="1"/>
    <col min="62" max="62" width="8.125" style="5" bestFit="1" customWidth="1"/>
    <col min="63" max="63" width="7.625" style="5" bestFit="1" customWidth="1"/>
    <col min="64" max="64" width="6.625" style="5" bestFit="1" customWidth="1"/>
    <col min="65" max="65" width="3.625" style="5" bestFit="1" customWidth="1"/>
    <col min="66" max="66" width="6.5" style="5" bestFit="1" customWidth="1"/>
    <col min="67" max="67" width="1.875" style="5" bestFit="1" customWidth="1"/>
    <col min="68" max="68" width="7.625" style="5" bestFit="1" customWidth="1"/>
    <col min="69" max="69" width="9.125" style="5"/>
    <col min="70" max="70" width="13.375" style="5" bestFit="1" customWidth="1"/>
    <col min="71" max="73" width="6.875" style="5" bestFit="1" customWidth="1"/>
    <col min="74" max="74" width="5.875" style="5" bestFit="1" customWidth="1"/>
    <col min="75" max="75" width="2.875" style="5" bestFit="1" customWidth="1"/>
    <col min="76" max="81" width="5.375" style="5" bestFit="1" customWidth="1"/>
    <col min="82" max="82" width="18.875" style="5" bestFit="1" customWidth="1"/>
    <col min="83" max="16384" width="9.125" style="5"/>
  </cols>
  <sheetData>
    <row r="1" spans="1:82" ht="14.4" thickBot="1" x14ac:dyDescent="0.35">
      <c r="B1" s="5" t="s">
        <v>0</v>
      </c>
      <c r="C1" s="5" t="s">
        <v>6</v>
      </c>
      <c r="E1" s="48" t="s">
        <v>5</v>
      </c>
      <c r="F1" s="49"/>
      <c r="G1" s="49"/>
      <c r="H1" s="49"/>
      <c r="I1" s="49"/>
      <c r="J1" s="49"/>
      <c r="K1" s="49"/>
      <c r="L1" s="50"/>
      <c r="M1" s="6" t="s">
        <v>1</v>
      </c>
      <c r="N1" s="7"/>
      <c r="O1" s="7"/>
      <c r="P1" s="7"/>
      <c r="Q1" s="7"/>
      <c r="R1" s="7"/>
      <c r="S1" s="7"/>
      <c r="T1" s="8"/>
      <c r="U1" s="6" t="s">
        <v>177</v>
      </c>
      <c r="V1" s="7"/>
      <c r="W1" s="7"/>
      <c r="X1" s="7"/>
      <c r="Y1" s="7"/>
      <c r="Z1" s="7"/>
      <c r="AA1" s="7"/>
      <c r="AB1" s="8"/>
      <c r="AC1" s="6" t="s">
        <v>178</v>
      </c>
      <c r="AD1" s="7"/>
      <c r="AE1" s="7"/>
      <c r="AF1" s="7"/>
      <c r="AG1" s="7"/>
      <c r="AH1" s="7"/>
      <c r="AI1" s="7"/>
      <c r="AJ1" s="8"/>
      <c r="AK1" s="6" t="s">
        <v>179</v>
      </c>
      <c r="AL1" s="7"/>
      <c r="AM1" s="7"/>
      <c r="AN1" s="7"/>
      <c r="AO1" s="7"/>
      <c r="AP1" s="7"/>
      <c r="AQ1" s="7"/>
      <c r="AR1" s="8"/>
      <c r="AS1" s="6" t="s">
        <v>180</v>
      </c>
      <c r="AT1" s="7"/>
      <c r="AU1" s="7"/>
      <c r="AV1" s="7"/>
      <c r="AW1" s="7"/>
      <c r="AX1" s="7"/>
      <c r="AY1" s="7"/>
      <c r="AZ1" s="8"/>
      <c r="BA1" s="7"/>
      <c r="BB1" s="9" t="s">
        <v>175</v>
      </c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1"/>
      <c r="BR1" s="5" t="s">
        <v>414</v>
      </c>
      <c r="BX1" s="5" t="s">
        <v>420</v>
      </c>
    </row>
    <row r="2" spans="1:82" ht="89.25" customHeight="1" thickBot="1" x14ac:dyDescent="0.35">
      <c r="A2" s="5" t="s">
        <v>301</v>
      </c>
      <c r="B2" s="5" t="s">
        <v>230</v>
      </c>
      <c r="C2" s="5" t="s">
        <v>7</v>
      </c>
      <c r="D2" s="12" t="s">
        <v>174</v>
      </c>
      <c r="E2" s="13" t="s">
        <v>2</v>
      </c>
      <c r="F2" s="14" t="s">
        <v>181</v>
      </c>
      <c r="G2" s="14" t="s">
        <v>182</v>
      </c>
      <c r="H2" s="14" t="s">
        <v>183</v>
      </c>
      <c r="I2" s="14" t="s">
        <v>184</v>
      </c>
      <c r="J2" s="14" t="s">
        <v>3</v>
      </c>
      <c r="K2" s="14" t="s">
        <v>4</v>
      </c>
      <c r="L2" s="15" t="s">
        <v>185</v>
      </c>
      <c r="M2" s="13" t="s">
        <v>2</v>
      </c>
      <c r="N2" s="14" t="s">
        <v>181</v>
      </c>
      <c r="O2" s="14" t="s">
        <v>182</v>
      </c>
      <c r="P2" s="14" t="s">
        <v>183</v>
      </c>
      <c r="Q2" s="14" t="s">
        <v>184</v>
      </c>
      <c r="R2" s="14" t="s">
        <v>3</v>
      </c>
      <c r="S2" s="14" t="s">
        <v>4</v>
      </c>
      <c r="T2" s="15" t="s">
        <v>185</v>
      </c>
      <c r="U2" s="13" t="s">
        <v>2</v>
      </c>
      <c r="V2" s="14" t="s">
        <v>181</v>
      </c>
      <c r="W2" s="14" t="s">
        <v>182</v>
      </c>
      <c r="X2" s="14" t="s">
        <v>183</v>
      </c>
      <c r="Y2" s="14" t="s">
        <v>184</v>
      </c>
      <c r="Z2" s="14" t="s">
        <v>3</v>
      </c>
      <c r="AA2" s="14" t="s">
        <v>4</v>
      </c>
      <c r="AB2" s="15" t="s">
        <v>185</v>
      </c>
      <c r="AC2" s="13" t="s">
        <v>2</v>
      </c>
      <c r="AD2" s="14" t="s">
        <v>181</v>
      </c>
      <c r="AE2" s="14" t="s">
        <v>182</v>
      </c>
      <c r="AF2" s="14" t="s">
        <v>183</v>
      </c>
      <c r="AG2" s="14" t="s">
        <v>184</v>
      </c>
      <c r="AH2" s="14" t="s">
        <v>3</v>
      </c>
      <c r="AI2" s="14" t="s">
        <v>4</v>
      </c>
      <c r="AJ2" s="15" t="s">
        <v>185</v>
      </c>
      <c r="AK2" s="13" t="s">
        <v>2</v>
      </c>
      <c r="AL2" s="14" t="s">
        <v>181</v>
      </c>
      <c r="AM2" s="14" t="s">
        <v>182</v>
      </c>
      <c r="AN2" s="14" t="s">
        <v>183</v>
      </c>
      <c r="AO2" s="14" t="s">
        <v>184</v>
      </c>
      <c r="AP2" s="14" t="s">
        <v>3</v>
      </c>
      <c r="AQ2" s="14" t="s">
        <v>4</v>
      </c>
      <c r="AR2" s="15" t="s">
        <v>185</v>
      </c>
      <c r="AS2" s="13" t="s">
        <v>2</v>
      </c>
      <c r="AT2" s="14" t="s">
        <v>181</v>
      </c>
      <c r="AU2" s="14" t="s">
        <v>182</v>
      </c>
      <c r="AV2" s="14" t="s">
        <v>183</v>
      </c>
      <c r="AW2" s="14" t="s">
        <v>184</v>
      </c>
      <c r="AX2" s="14" t="s">
        <v>3</v>
      </c>
      <c r="AY2" s="14" t="s">
        <v>4</v>
      </c>
      <c r="AZ2" s="15" t="s">
        <v>185</v>
      </c>
      <c r="BA2" s="15" t="s">
        <v>176</v>
      </c>
      <c r="BB2" s="15" t="s">
        <v>186</v>
      </c>
      <c r="BC2" s="15" t="s">
        <v>187</v>
      </c>
      <c r="BD2" s="15" t="s">
        <v>188</v>
      </c>
      <c r="BE2" s="15" t="s">
        <v>189</v>
      </c>
      <c r="BF2" s="15" t="s">
        <v>190</v>
      </c>
      <c r="BG2" s="15" t="s">
        <v>192</v>
      </c>
      <c r="BH2" s="15" t="s">
        <v>193</v>
      </c>
      <c r="BI2" s="21" t="s">
        <v>197</v>
      </c>
      <c r="BJ2" s="21" t="s">
        <v>198</v>
      </c>
      <c r="BK2" s="21" t="s">
        <v>215</v>
      </c>
      <c r="BL2" s="15" t="s">
        <v>191</v>
      </c>
      <c r="BM2" s="15" t="s">
        <v>194</v>
      </c>
      <c r="BN2" s="15" t="s">
        <v>195</v>
      </c>
      <c r="BP2" s="5" t="s">
        <v>404</v>
      </c>
      <c r="BR2" s="5" t="s">
        <v>413</v>
      </c>
      <c r="BS2" s="5" t="s">
        <v>415</v>
      </c>
      <c r="BT2" s="5" t="s">
        <v>416</v>
      </c>
      <c r="BU2" s="5" t="s">
        <v>417</v>
      </c>
      <c r="BV2" s="5" t="s">
        <v>418</v>
      </c>
      <c r="BW2" s="5" t="s">
        <v>419</v>
      </c>
      <c r="BX2" s="5" t="s">
        <v>413</v>
      </c>
      <c r="BY2" s="5" t="s">
        <v>415</v>
      </c>
      <c r="BZ2" s="5" t="s">
        <v>416</v>
      </c>
      <c r="CA2" s="5" t="s">
        <v>417</v>
      </c>
      <c r="CB2" s="5" t="s">
        <v>418</v>
      </c>
      <c r="CC2" s="5" t="s">
        <v>419</v>
      </c>
      <c r="CD2" s="5" t="s">
        <v>421</v>
      </c>
    </row>
    <row r="3" spans="1:82" ht="14.4" x14ac:dyDescent="0.3">
      <c r="A3" s="27" t="s">
        <v>302</v>
      </c>
      <c r="B3" s="27" t="s">
        <v>233</v>
      </c>
      <c r="C3" s="30" t="s">
        <v>10</v>
      </c>
      <c r="D3" s="27">
        <v>33.4</v>
      </c>
      <c r="E3" s="31" t="s">
        <v>112</v>
      </c>
      <c r="F3" s="47">
        <f>15/1000</f>
        <v>1.4999999999999999E-2</v>
      </c>
      <c r="G3" s="33">
        <f>VLOOKUP(E3,WorkingDB[],2,FALSE)</f>
        <v>0.72099999999999997</v>
      </c>
      <c r="H3" s="34">
        <f>VLOOKUP(E3,WorkingDB[],3,FALSE)</f>
        <v>840</v>
      </c>
      <c r="I3" s="34">
        <f>VLOOKUP(E3,WorkingDB[],4,FALSE)</f>
        <v>1762</v>
      </c>
      <c r="J3" s="27">
        <f>VLOOKUP(E3,WorkingDB[],5,FALSE)</f>
        <v>0</v>
      </c>
      <c r="K3" s="27">
        <f>VLOOKUP(E3,WorkingDB[],6,FALSE)</f>
        <v>0</v>
      </c>
      <c r="L3" s="34">
        <f>VLOOKUP(E3,WorkingDB[],7,FALSE)*F3+VLOOKUP(E3,CostDB[],5,FALSE)</f>
        <v>339.1</v>
      </c>
      <c r="M3" s="31" t="s">
        <v>91</v>
      </c>
      <c r="N3" s="32">
        <v>0.23</v>
      </c>
      <c r="O3" s="33">
        <f>VLOOKUP(M3,WorkingDB[],2,FALSE)</f>
        <v>0.98</v>
      </c>
      <c r="P3" s="34">
        <f>VLOOKUP(M3,WorkingDB[],3,FALSE)</f>
        <v>800</v>
      </c>
      <c r="Q3" s="34">
        <f>VLOOKUP(M3,WorkingDB[],4,FALSE)</f>
        <v>1920</v>
      </c>
      <c r="R3" s="27">
        <f>VLOOKUP(M3,WorkingDB[],5,FALSE)</f>
        <v>0</v>
      </c>
      <c r="S3" s="27">
        <f>VLOOKUP(M3,WorkingDB[],6,FALSE)</f>
        <v>0</v>
      </c>
      <c r="T3" s="34">
        <f>VLOOKUP(M3,WorkingDB[],7,FALSE)*N3+VLOOKUP(M3,CostDB[],5,FALSE)</f>
        <v>2681.7310000000002</v>
      </c>
      <c r="U3" s="31" t="s">
        <v>112</v>
      </c>
      <c r="V3" s="32">
        <f>15/1000</f>
        <v>1.4999999999999999E-2</v>
      </c>
      <c r="W3" s="33">
        <f>VLOOKUP(U3,WorkingDB[],2,FALSE)</f>
        <v>0.72099999999999997</v>
      </c>
      <c r="X3" s="34">
        <f>VLOOKUP(U3,WorkingDB[],3,FALSE)</f>
        <v>840</v>
      </c>
      <c r="Y3" s="34">
        <f>VLOOKUP(U3,WorkingDB[],4,FALSE)</f>
        <v>1762</v>
      </c>
      <c r="Z3" s="27">
        <f>VLOOKUP(U3,WorkingDB[],5,FALSE)</f>
        <v>0</v>
      </c>
      <c r="AA3" s="27">
        <f>VLOOKUP(U3,WorkingDB[],6,FALSE)</f>
        <v>0</v>
      </c>
      <c r="AB3" s="34">
        <f>VLOOKUP(U3,WorkingDB[],7,FALSE)*V3+VLOOKUP(U3,CostDB[],5,FALSE)</f>
        <v>339.1</v>
      </c>
      <c r="AC3" s="31" t="s">
        <v>90</v>
      </c>
      <c r="AD3" s="32">
        <v>0</v>
      </c>
      <c r="AE3" s="33">
        <f>VLOOKUP(AC3,WorkingDB[],2,FALSE)</f>
        <v>0</v>
      </c>
      <c r="AF3" s="34">
        <f>VLOOKUP(AC3,WorkingDB[],3,FALSE)</f>
        <v>0</v>
      </c>
      <c r="AG3" s="34">
        <f>VLOOKUP(AC3,WorkingDB[],4,FALSE)</f>
        <v>0</v>
      </c>
      <c r="AH3" s="27">
        <f>VLOOKUP(AC3,WorkingDB[],5,FALSE)</f>
        <v>0</v>
      </c>
      <c r="AI3" s="27">
        <f>VLOOKUP(AC3,WorkingDB[],6,FALSE)</f>
        <v>0</v>
      </c>
      <c r="AJ3" s="34" t="e">
        <f>VLOOKUP(AC3,WorkingDB[],7,FALSE)*AD3+VLOOKUP(AC3,CostDB[],5,FALSE)</f>
        <v>#N/A</v>
      </c>
      <c r="AK3" s="31" t="s">
        <v>90</v>
      </c>
      <c r="AL3" s="32">
        <v>0</v>
      </c>
      <c r="AM3" s="33">
        <f>VLOOKUP(AK3,WorkingDB[],2,FALSE)</f>
        <v>0</v>
      </c>
      <c r="AN3" s="34">
        <f>VLOOKUP(AK3,WorkingDB[],3,FALSE)</f>
        <v>0</v>
      </c>
      <c r="AO3" s="34">
        <f>VLOOKUP(AK3,WorkingDB[],4,FALSE)</f>
        <v>0</v>
      </c>
      <c r="AP3" s="27">
        <f>VLOOKUP(AK3,WorkingDB[],5,FALSE)</f>
        <v>0</v>
      </c>
      <c r="AQ3" s="27">
        <f>VLOOKUP(AK3,WorkingDB[],6,FALSE)</f>
        <v>0</v>
      </c>
      <c r="AR3" s="34" t="e">
        <f>VLOOKUP(AK3,WorkingDB[],7,FALSE)*AL3+VLOOKUP(AK3,CostDB[],5,FALSE)</f>
        <v>#N/A</v>
      </c>
      <c r="AS3" s="31" t="s">
        <v>90</v>
      </c>
      <c r="AT3" s="32">
        <v>0</v>
      </c>
      <c r="AU3" s="33">
        <f>VLOOKUP(AS3,WorkingDB[],2,FALSE)</f>
        <v>0</v>
      </c>
      <c r="AV3" s="34">
        <f>VLOOKUP(AS3,WorkingDB[],3,FALSE)</f>
        <v>0</v>
      </c>
      <c r="AW3" s="34">
        <f>VLOOKUP(AS3,WorkingDB[],4,FALSE)</f>
        <v>0</v>
      </c>
      <c r="AX3" s="27">
        <f>VLOOKUP(AS3,WorkingDB[],5,FALSE)</f>
        <v>0</v>
      </c>
      <c r="AY3" s="27">
        <f>VLOOKUP(AS3,WorkingDB[],6,FALSE)</f>
        <v>0</v>
      </c>
      <c r="AZ3" s="34" t="e">
        <f>VLOOKUP(AS3,WorkingDB[],7,FALSE)*AT3+VLOOKUP(AS3,CostDB[],5,FALSE)</f>
        <v>#N/A</v>
      </c>
      <c r="BA3" s="27">
        <v>8.35</v>
      </c>
      <c r="BB3" s="35">
        <f>F3+N3+V3+AD3+AL3+AT3</f>
        <v>0.26</v>
      </c>
      <c r="BC3" s="33">
        <f>1/(1/D3+IF(E3&lt;&gt;"NA",F3/G3,0)+IF(M3&lt;&gt;"NA",N3/O3,0)+IF(U3&lt;&gt;"NA",V3/W3,0)+IF(AC3&lt;&gt;"NA",AD3/AE3,0)+IF(AK3&lt;&gt;"NA",AL3/AM3,0)+IF(AS3&lt;&gt;"NA",AT3/AU3,0)+1/BA3)</f>
        <v>2.3473993647239362</v>
      </c>
      <c r="BD3" s="33">
        <f>BC3*BB3</f>
        <v>0.61032383482822339</v>
      </c>
      <c r="BE3" s="34">
        <f>IF(E3&lt;&gt;"NA",F3*I3,0)+IF(M3&lt;&gt;"NA",N3*Q3,0)+IF(U3&lt;&gt;"NA",V3*Y3,0)+IF(AC3&lt;&gt;"NA",AD3*AG3,0)+IF(AK3&lt;&gt;"NA",AL3*AO3,0)+IF(AS3&lt;&gt;"NA",AT3*AW3,0)</f>
        <v>494.46000000000004</v>
      </c>
      <c r="BF3" s="34">
        <f>BE3/BB3</f>
        <v>1901.7692307692309</v>
      </c>
      <c r="BG3" s="34">
        <f>IF(E3&lt;&gt;"NA",F3*H3*I3,0)+IF(M3&lt;&gt;"NA",N3*P3*Q3,0)+IF(U3&lt;&gt;"NA",V3*X3*Y3,0)+IF(AC3&lt;&gt;"NA",AD3*AF3*AG3,0)+IF(AK3&lt;&gt;"NA",AL3*AN3*AO3,0)+IF(AS3&lt;&gt;"NA",AT3*AV3*AW3,0)</f>
        <v>397682.4</v>
      </c>
      <c r="BH3" s="34">
        <f>BG3/BE3</f>
        <v>804.27618007523358</v>
      </c>
      <c r="BI3" s="33">
        <f>((BH3)*BF3*BB3*(1/BC3))/3600</f>
        <v>47.059454387440702</v>
      </c>
      <c r="BJ3" s="36">
        <f>BD3/(BH3*BF3)</f>
        <v>3.9902242858959327E-7</v>
      </c>
      <c r="BK3" s="37">
        <f>BJ3*3600</f>
        <v>1.4364807429225357E-3</v>
      </c>
      <c r="BL3" s="34">
        <f t="shared" ref="BL3:BL22" si="0">IF(ISNA(L3)=FALSE,L3,0)+IF(ISNA(T3)=FALSE,T3,0)+IF(ISNA(AB3)=FALSE,AB3,0)+IF(ISNA(AJ3)=FALSE,AJ3,0)+IF(ISNA(AR3)=FALSE,AR3,0)+IF(ISNA(AZ3)=FALSE,AZ3,0)</f>
        <v>3359.931</v>
      </c>
      <c r="BM3" s="33"/>
      <c r="BN3" s="27"/>
      <c r="BO3" s="5">
        <v>1</v>
      </c>
      <c r="BP3" s="20">
        <f>BL3/10.76</f>
        <v>312.26124535315984</v>
      </c>
      <c r="BR3" s="45">
        <f>F3*I3*H3</f>
        <v>22201.200000000001</v>
      </c>
      <c r="BS3" s="45">
        <f>N3*Q3*P3</f>
        <v>353280</v>
      </c>
      <c r="BT3" s="45">
        <f>V3*Y3*X3</f>
        <v>22201.200000000001</v>
      </c>
      <c r="BU3" s="45">
        <f>AD3*AG3*AF3</f>
        <v>0</v>
      </c>
      <c r="BV3" s="45">
        <f>AL3*AO3*AN3</f>
        <v>0</v>
      </c>
      <c r="BW3" s="45">
        <f>AT3*AW3*AV3</f>
        <v>0</v>
      </c>
      <c r="BX3" s="46">
        <f>IF(ISERROR(F3/G3)=TRUE,0,F3/G3)</f>
        <v>2.0804438280166437E-2</v>
      </c>
      <c r="BY3" s="46">
        <f>IF(ISERROR(N3/O3)=TRUE,0,N3/O3)</f>
        <v>0.23469387755102042</v>
      </c>
      <c r="BZ3" s="46">
        <f>IF(ISERROR(V3/W3)=TRUE,0,V3/W3)</f>
        <v>2.0804438280166437E-2</v>
      </c>
      <c r="CA3" s="46">
        <f>IF(ISERROR(AD3/AE3)=TRUE,0,AD3/AE3)</f>
        <v>0</v>
      </c>
      <c r="CB3" s="46">
        <f>IF(ISERROR(AL3/AM3)=TRUE,0,AL3/AM3)</f>
        <v>0</v>
      </c>
      <c r="CC3" s="46">
        <f>IF(ISERROR(AT3/AU3)=TRUE,0,AT3/AU3)</f>
        <v>0</v>
      </c>
      <c r="CD3" s="45">
        <f>(((1/$D3+BX3/2)*BR3)+((1/$D3+BX3+BY3/2)*BS3)+((1/$D3+BX3+BY3+BZ3/2)*BT3)+((1/$D3+BX3+BY3+BZ3+CA3/2)*BU3)+((1/$D3+BX3+BY3+BZ3+CA3+CB3/2)*BV3)+((1/$D3+BX3+BY3+BZ3+CA3+CB3+CC3/2)*BW3))/3600</f>
        <v>18.568619409289212</v>
      </c>
    </row>
    <row r="4" spans="1:82" ht="14.4" x14ac:dyDescent="0.3">
      <c r="A4" s="5" t="s">
        <v>303</v>
      </c>
      <c r="B4" s="5" t="s">
        <v>276</v>
      </c>
      <c r="C4" s="4" t="s">
        <v>10</v>
      </c>
      <c r="D4" s="27">
        <v>33.4</v>
      </c>
      <c r="E4" s="16" t="s">
        <v>112</v>
      </c>
      <c r="F4" s="17">
        <f>15/1000</f>
        <v>1.4999999999999999E-2</v>
      </c>
      <c r="G4" s="18">
        <f>VLOOKUP(E4,WorkingDB[],2,FALSE)</f>
        <v>0.72099999999999997</v>
      </c>
      <c r="H4" s="19">
        <f>VLOOKUP(E4,WorkingDB[],3,FALSE)</f>
        <v>840</v>
      </c>
      <c r="I4" s="19">
        <f>VLOOKUP(E4,WorkingDB[],4,FALSE)</f>
        <v>1762</v>
      </c>
      <c r="J4" s="5">
        <f>VLOOKUP(E4,WorkingDB[],5,FALSE)</f>
        <v>0</v>
      </c>
      <c r="K4" s="5">
        <f>VLOOKUP(E4,WorkingDB[],6,FALSE)</f>
        <v>0</v>
      </c>
      <c r="L4" s="44">
        <f>VLOOKUP(E4,WorkingDB[],7,FALSE)*F4+VLOOKUP(E4,CostDB[],5,FALSE)</f>
        <v>339.1</v>
      </c>
      <c r="M4" s="16" t="s">
        <v>237</v>
      </c>
      <c r="N4" s="17">
        <f>5/1000</f>
        <v>5.0000000000000001E-3</v>
      </c>
      <c r="O4" s="18">
        <f>VLOOKUP(M4,WorkingDB[],2,FALSE)</f>
        <v>2.8000000000000001E-2</v>
      </c>
      <c r="P4" s="19">
        <f>VLOOKUP(M4,WorkingDB[],3,FALSE)</f>
        <v>1213</v>
      </c>
      <c r="Q4" s="19">
        <f>VLOOKUP(M4,WorkingDB[],4,FALSE)</f>
        <v>35</v>
      </c>
      <c r="R4" s="5">
        <f>VLOOKUP(M4,WorkingDB[],5,FALSE)</f>
        <v>0</v>
      </c>
      <c r="S4" s="5">
        <f>VLOOKUP(M4,WorkingDB[],6,FALSE)</f>
        <v>0</v>
      </c>
      <c r="T4" s="44">
        <f>VLOOKUP(M4,WorkingDB[],7,FALSE)*N4+VLOOKUP(M4,CostDB[],5,FALSE)</f>
        <v>355.65</v>
      </c>
      <c r="U4" s="16" t="s">
        <v>91</v>
      </c>
      <c r="V4" s="17">
        <v>0.23</v>
      </c>
      <c r="W4" s="18">
        <f>VLOOKUP(U4,WorkingDB[],2,FALSE)</f>
        <v>0.98</v>
      </c>
      <c r="X4" s="19">
        <f>VLOOKUP(U4,WorkingDB[],3,FALSE)</f>
        <v>800</v>
      </c>
      <c r="Y4" s="19">
        <f>VLOOKUP(U4,WorkingDB[],4,FALSE)</f>
        <v>1920</v>
      </c>
      <c r="Z4" s="5">
        <f>VLOOKUP(U4,WorkingDB[],5,FALSE)</f>
        <v>0</v>
      </c>
      <c r="AA4" s="5">
        <f>VLOOKUP(U4,WorkingDB[],6,FALSE)</f>
        <v>0</v>
      </c>
      <c r="AB4" s="44">
        <f>VLOOKUP(U4,WorkingDB[],7,FALSE)*V4+VLOOKUP(U4,CostDB[],5,FALSE)</f>
        <v>2681.7310000000002</v>
      </c>
      <c r="AC4" s="16" t="s">
        <v>112</v>
      </c>
      <c r="AD4" s="17">
        <f t="shared" ref="AD4:AD13" si="1">15/1000</f>
        <v>1.4999999999999999E-2</v>
      </c>
      <c r="AE4" s="18">
        <f>VLOOKUP(AC4,WorkingDB[],2,FALSE)</f>
        <v>0.72099999999999997</v>
      </c>
      <c r="AF4" s="19">
        <f>VLOOKUP(AC4,WorkingDB[],3,FALSE)</f>
        <v>840</v>
      </c>
      <c r="AG4" s="19">
        <f>VLOOKUP(AC4,WorkingDB[],4,FALSE)</f>
        <v>1762</v>
      </c>
      <c r="AH4" s="5">
        <f>VLOOKUP(AC4,WorkingDB[],5,FALSE)</f>
        <v>0</v>
      </c>
      <c r="AI4" s="5">
        <f>VLOOKUP(AC4,WorkingDB[],6,FALSE)</f>
        <v>0</v>
      </c>
      <c r="AJ4" s="44">
        <f>VLOOKUP(AC4,WorkingDB[],7,FALSE)*AD4+VLOOKUP(AC4,CostDB[],5,FALSE)</f>
        <v>339.1</v>
      </c>
      <c r="AK4" s="16" t="s">
        <v>90</v>
      </c>
      <c r="AL4" s="17">
        <v>0</v>
      </c>
      <c r="AM4" s="18">
        <f>VLOOKUP(AK4,WorkingDB[],2,FALSE)</f>
        <v>0</v>
      </c>
      <c r="AN4" s="19">
        <f>VLOOKUP(AK4,WorkingDB[],3,FALSE)</f>
        <v>0</v>
      </c>
      <c r="AO4" s="19">
        <f>VLOOKUP(AK4,WorkingDB[],4,FALSE)</f>
        <v>0</v>
      </c>
      <c r="AP4" s="5">
        <f>VLOOKUP(AK4,WorkingDB[],5,FALSE)</f>
        <v>0</v>
      </c>
      <c r="AQ4" s="5">
        <f>VLOOKUP(AK4,WorkingDB[],6,FALSE)</f>
        <v>0</v>
      </c>
      <c r="AR4" s="44" t="e">
        <f>VLOOKUP(AK4,WorkingDB[],7,FALSE)*AL4+VLOOKUP(AK4,CostDB[],5,FALSE)</f>
        <v>#N/A</v>
      </c>
      <c r="AS4" s="16" t="s">
        <v>90</v>
      </c>
      <c r="AT4" s="17">
        <v>0</v>
      </c>
      <c r="AU4" s="18">
        <f>VLOOKUP(AS4,WorkingDB[],2,FALSE)</f>
        <v>0</v>
      </c>
      <c r="AV4" s="19">
        <f>VLOOKUP(AS4,WorkingDB[],3,FALSE)</f>
        <v>0</v>
      </c>
      <c r="AW4" s="19">
        <f>VLOOKUP(AS4,WorkingDB[],4,FALSE)</f>
        <v>0</v>
      </c>
      <c r="AX4" s="5">
        <f>VLOOKUP(AS4,WorkingDB[],5,FALSE)</f>
        <v>0</v>
      </c>
      <c r="AY4" s="5">
        <f>VLOOKUP(AS4,WorkingDB[],6,FALSE)</f>
        <v>0</v>
      </c>
      <c r="AZ4" s="44" t="e">
        <f>VLOOKUP(AS4,WorkingDB[],7,FALSE)*AT4+VLOOKUP(AS4,CostDB[],5,FALSE)</f>
        <v>#N/A</v>
      </c>
      <c r="BA4" s="27">
        <v>8.35</v>
      </c>
      <c r="BB4" s="20">
        <f>F4+N4+V4+AD4+AL4+AT4</f>
        <v>0.26500000000000001</v>
      </c>
      <c r="BC4" s="18">
        <f>1/(1/D4+IF(E4&lt;&gt;"NA",F4/G4,0)+IF(M4&lt;&gt;"NA",N4/O4,0)+IF(U4&lt;&gt;"NA",V4/W4,0)+IF(AC4&lt;&gt;"NA",AD4/AE4,0)+IF(AK4&lt;&gt;"NA",AL4/AM4,0)+IF(AS4&lt;&gt;"NA",AT4/AU4,0)+1/BA4)</f>
        <v>1.6540550989299212</v>
      </c>
      <c r="BD4" s="18">
        <f>BC4*BB4</f>
        <v>0.43832460121642913</v>
      </c>
      <c r="BE4" s="19">
        <f>IF(E4&lt;&gt;"NA",F4*I4,0)+IF(M4&lt;&gt;"NA",N4*Q4,0)+IF(U4&lt;&gt;"NA",V4*Y4,0)+IF(AC4&lt;&gt;"NA",AD4*AG4,0)+IF(AK4&lt;&gt;"NA",AL4*AO4,0)+IF(AS4&lt;&gt;"NA",AT4*AW4,0)</f>
        <v>494.63500000000005</v>
      </c>
      <c r="BF4" s="19">
        <f>BE4/BB4</f>
        <v>1866.5471698113208</v>
      </c>
      <c r="BG4" s="19">
        <f>IF(E4&lt;&gt;"NA",F4*H4*I4,0)+IF(M4&lt;&gt;"NA",N4*P4*Q4,0)+IF(U4&lt;&gt;"NA",V4*X4*Y4,0)+IF(AC4&lt;&gt;"NA",AD4*AF4*AG4,0)+IF(AK4&lt;&gt;"NA",AL4*AN4*AO4,0)+IF(AS4&lt;&gt;"NA",AT4*AV4*AW4,0)</f>
        <v>397894.67499999999</v>
      </c>
      <c r="BH4" s="19">
        <f>BG4/BE4</f>
        <v>804.42078502329991</v>
      </c>
      <c r="BI4" s="18">
        <f>((BH4)*BF4*BB4*(1/BC4))/3600</f>
        <v>66.821412831177923</v>
      </c>
      <c r="BJ4" s="22">
        <f>BD4/(BH4*BF4)</f>
        <v>2.9192654896010789E-7</v>
      </c>
      <c r="BK4" s="23">
        <f>BJ4*3600</f>
        <v>1.0509355762563883E-3</v>
      </c>
      <c r="BL4" s="19">
        <f t="shared" si="0"/>
        <v>3715.5810000000001</v>
      </c>
      <c r="BM4" s="18"/>
      <c r="BP4" s="20">
        <f t="shared" ref="BP4:BP64" si="2">BL4/10.76</f>
        <v>345.31421933085505</v>
      </c>
      <c r="BR4" s="45">
        <f t="shared" ref="BR4:BR42" si="3">F4*I4*H4</f>
        <v>22201.200000000001</v>
      </c>
      <c r="BS4" s="45">
        <f t="shared" ref="BS4:BS42" si="4">N4*Q4*P4</f>
        <v>212.27500000000003</v>
      </c>
      <c r="BT4" s="45">
        <f t="shared" ref="BT4:BT42" si="5">V4*Y4*X4</f>
        <v>353280</v>
      </c>
      <c r="BU4" s="45">
        <f t="shared" ref="BU4:BU42" si="6">AD4*AG4*AF4</f>
        <v>22201.200000000001</v>
      </c>
      <c r="BV4" s="45">
        <f t="shared" ref="BV4:BV42" si="7">AL4*AO4*AN4</f>
        <v>0</v>
      </c>
      <c r="BW4" s="45">
        <f t="shared" ref="BW4:BW42" si="8">AT4*AW4*AV4</f>
        <v>0</v>
      </c>
      <c r="BX4" s="46">
        <f t="shared" ref="BX4:BX42" si="9">IF(ISERROR(F4/G4)=TRUE,0,F4/G4)</f>
        <v>2.0804438280166437E-2</v>
      </c>
      <c r="BY4" s="46">
        <f t="shared" ref="BY4:BY42" si="10">IF(ISERROR(N4/O4)=TRUE,0,N4/O4)</f>
        <v>0.17857142857142858</v>
      </c>
      <c r="BZ4" s="46">
        <f t="shared" ref="BZ4:BZ42" si="11">IF(ISERROR(V4/W4)=TRUE,0,V4/W4)</f>
        <v>0.23469387755102042</v>
      </c>
      <c r="CA4" s="46">
        <f t="shared" ref="CA4:CA42" si="12">IF(ISERROR(AD4/AE4)=TRUE,0,AD4/AE4)</f>
        <v>2.0804438280166437E-2</v>
      </c>
      <c r="CB4" s="46">
        <f t="shared" ref="CB4:CB42" si="13">IF(ISERROR(AL4/AM4)=TRUE,0,AL4/AM4)</f>
        <v>0</v>
      </c>
      <c r="CC4" s="46">
        <f t="shared" ref="CC4:CC42" si="14">IF(ISERROR(AT4/AU4)=TRUE,0,AT4/AU4)</f>
        <v>0</v>
      </c>
      <c r="CD4" s="45">
        <f t="shared" ref="CD4:CD42" si="15">(((1/$D4+BX4/2)*BR4)+((1/$D4+BX4+BY4/2)*BS4)+((1/$D4+BX4+BY4+BZ4/2)*BT4)+((1/$D4+BX4+BY4+BZ4+CA4/2)*BU4)+((1/$D4+BX4+BY4+BZ4+CA4+CB4/2)*BV4)+((1/$D4+BX4+BY4+BZ4+CA4+CB4+CC4/2)*BW4))/3600</f>
        <v>37.201935857003754</v>
      </c>
    </row>
    <row r="5" spans="1:82" ht="14.4" x14ac:dyDescent="0.3">
      <c r="A5" s="5" t="s">
        <v>308</v>
      </c>
      <c r="B5" s="5" t="s">
        <v>277</v>
      </c>
      <c r="C5" s="4" t="s">
        <v>10</v>
      </c>
      <c r="D5" s="27">
        <v>33.4</v>
      </c>
      <c r="E5" s="16" t="s">
        <v>112</v>
      </c>
      <c r="F5" s="17">
        <f t="shared" ref="F5:F20" si="16">15/1000</f>
        <v>1.4999999999999999E-2</v>
      </c>
      <c r="G5" s="18">
        <f>VLOOKUP(E5,WorkingDB[],2,FALSE)</f>
        <v>0.72099999999999997</v>
      </c>
      <c r="H5" s="19">
        <f>VLOOKUP(E5,WorkingDB[],3,FALSE)</f>
        <v>840</v>
      </c>
      <c r="I5" s="19">
        <f>VLOOKUP(E5,WorkingDB[],4,FALSE)</f>
        <v>1762</v>
      </c>
      <c r="J5" s="5">
        <f>VLOOKUP(E5,WorkingDB[],5,FALSE)</f>
        <v>0</v>
      </c>
      <c r="K5" s="5">
        <f>VLOOKUP(E5,WorkingDB[],6,FALSE)</f>
        <v>0</v>
      </c>
      <c r="L5" s="44">
        <f>VLOOKUP(E5,WorkingDB[],7,FALSE)*F5+VLOOKUP(E5,CostDB[],5,FALSE)</f>
        <v>339.1</v>
      </c>
      <c r="M5" s="16" t="s">
        <v>237</v>
      </c>
      <c r="N5" s="17">
        <f>10/1000</f>
        <v>0.01</v>
      </c>
      <c r="O5" s="18">
        <f>VLOOKUP(M5,WorkingDB[],2,FALSE)</f>
        <v>2.8000000000000001E-2</v>
      </c>
      <c r="P5" s="19">
        <f>VLOOKUP(M5,WorkingDB[],3,FALSE)</f>
        <v>1213</v>
      </c>
      <c r="Q5" s="19">
        <f>VLOOKUP(M5,WorkingDB[],4,FALSE)</f>
        <v>35</v>
      </c>
      <c r="R5" s="5">
        <f>VLOOKUP(M5,WorkingDB[],5,FALSE)</f>
        <v>0</v>
      </c>
      <c r="S5" s="5">
        <f>VLOOKUP(M5,WorkingDB[],6,FALSE)</f>
        <v>0</v>
      </c>
      <c r="T5" s="44">
        <f>VLOOKUP(M5,WorkingDB[],7,FALSE)*N5+VLOOKUP(M5,CostDB[],5,FALSE)</f>
        <v>410.65</v>
      </c>
      <c r="U5" s="16" t="s">
        <v>91</v>
      </c>
      <c r="V5" s="17">
        <v>0.23</v>
      </c>
      <c r="W5" s="18">
        <f>VLOOKUP(U5,WorkingDB[],2,FALSE)</f>
        <v>0.98</v>
      </c>
      <c r="X5" s="19">
        <f>VLOOKUP(U5,WorkingDB[],3,FALSE)</f>
        <v>800</v>
      </c>
      <c r="Y5" s="19">
        <f>VLOOKUP(U5,WorkingDB[],4,FALSE)</f>
        <v>1920</v>
      </c>
      <c r="Z5" s="5">
        <f>VLOOKUP(U5,WorkingDB[],5,FALSE)</f>
        <v>0</v>
      </c>
      <c r="AA5" s="5">
        <f>VLOOKUP(U5,WorkingDB[],6,FALSE)</f>
        <v>0</v>
      </c>
      <c r="AB5" s="44">
        <f>VLOOKUP(U5,WorkingDB[],7,FALSE)*V5+VLOOKUP(U5,CostDB[],5,FALSE)</f>
        <v>2681.7310000000002</v>
      </c>
      <c r="AC5" s="16" t="s">
        <v>112</v>
      </c>
      <c r="AD5" s="17">
        <f t="shared" si="1"/>
        <v>1.4999999999999999E-2</v>
      </c>
      <c r="AE5" s="18">
        <f>VLOOKUP(AC5,WorkingDB[],2,FALSE)</f>
        <v>0.72099999999999997</v>
      </c>
      <c r="AF5" s="19">
        <f>VLOOKUP(AC5,WorkingDB[],3,FALSE)</f>
        <v>840</v>
      </c>
      <c r="AG5" s="19">
        <f>VLOOKUP(AC5,WorkingDB[],4,FALSE)</f>
        <v>1762</v>
      </c>
      <c r="AH5" s="5">
        <f>VLOOKUP(AC5,WorkingDB[],5,FALSE)</f>
        <v>0</v>
      </c>
      <c r="AI5" s="5">
        <f>VLOOKUP(AC5,WorkingDB[],6,FALSE)</f>
        <v>0</v>
      </c>
      <c r="AJ5" s="44">
        <f>VLOOKUP(AC5,WorkingDB[],7,FALSE)*AD5+VLOOKUP(AC5,CostDB[],5,FALSE)</f>
        <v>339.1</v>
      </c>
      <c r="AK5" s="16" t="s">
        <v>90</v>
      </c>
      <c r="AL5" s="17">
        <v>0</v>
      </c>
      <c r="AM5" s="18">
        <f>VLOOKUP(AK5,WorkingDB[],2,FALSE)</f>
        <v>0</v>
      </c>
      <c r="AN5" s="19">
        <f>VLOOKUP(AK5,WorkingDB[],3,FALSE)</f>
        <v>0</v>
      </c>
      <c r="AO5" s="19">
        <f>VLOOKUP(AK5,WorkingDB[],4,FALSE)</f>
        <v>0</v>
      </c>
      <c r="AP5" s="5">
        <f>VLOOKUP(AK5,WorkingDB[],5,FALSE)</f>
        <v>0</v>
      </c>
      <c r="AQ5" s="5">
        <f>VLOOKUP(AK5,WorkingDB[],6,FALSE)</f>
        <v>0</v>
      </c>
      <c r="AR5" s="44" t="e">
        <f>VLOOKUP(AK5,WorkingDB[],7,FALSE)*AL5+VLOOKUP(AK5,CostDB[],5,FALSE)</f>
        <v>#N/A</v>
      </c>
      <c r="AS5" s="16" t="s">
        <v>90</v>
      </c>
      <c r="AT5" s="17">
        <v>0</v>
      </c>
      <c r="AU5" s="18">
        <f>VLOOKUP(AS5,WorkingDB[],2,FALSE)</f>
        <v>0</v>
      </c>
      <c r="AV5" s="19">
        <f>VLOOKUP(AS5,WorkingDB[],3,FALSE)</f>
        <v>0</v>
      </c>
      <c r="AW5" s="19">
        <f>VLOOKUP(AS5,WorkingDB[],4,FALSE)</f>
        <v>0</v>
      </c>
      <c r="AX5" s="5">
        <f>VLOOKUP(AS5,WorkingDB[],5,FALSE)</f>
        <v>0</v>
      </c>
      <c r="AY5" s="5">
        <f>VLOOKUP(AS5,WorkingDB[],6,FALSE)</f>
        <v>0</v>
      </c>
      <c r="AZ5" s="44" t="e">
        <f>VLOOKUP(AS5,WorkingDB[],7,FALSE)*AT5+VLOOKUP(AS5,CostDB[],5,FALSE)</f>
        <v>#N/A</v>
      </c>
      <c r="BA5" s="27">
        <v>8.35</v>
      </c>
      <c r="BB5" s="20">
        <f>F5+N5+V5+AD5+AL5+AT5</f>
        <v>0.27</v>
      </c>
      <c r="BC5" s="18">
        <f>1/(1/D5+IF(E5&lt;&gt;"NA",F5/G5,0)+IF(M5&lt;&gt;"NA",N5/O5,0)+IF(U5&lt;&gt;"NA",V5/W5,0)+IF(AC5&lt;&gt;"NA",AD5/AE5,0)+IF(AK5&lt;&gt;"NA",AL5/AM5,0)+IF(AS5&lt;&gt;"NA",AT5/AU5,0)+1/BA5)</f>
        <v>1.2769007717316545</v>
      </c>
      <c r="BD5" s="18">
        <f>BC5*BB5</f>
        <v>0.34476320836754676</v>
      </c>
      <c r="BE5" s="19">
        <f>IF(E5&lt;&gt;"NA",F5*I5,0)+IF(M5&lt;&gt;"NA",N5*Q5,0)+IF(U5&lt;&gt;"NA",V5*Y5,0)+IF(AC5&lt;&gt;"NA",AD5*AG5,0)+IF(AK5&lt;&gt;"NA",AL5*AO5,0)+IF(AS5&lt;&gt;"NA",AT5*AW5,0)</f>
        <v>494.81</v>
      </c>
      <c r="BF5" s="19">
        <f>BE5/BB5</f>
        <v>1832.6296296296296</v>
      </c>
      <c r="BG5" s="19">
        <f>IF(E5&lt;&gt;"NA",F5*H5*I5,0)+IF(M5&lt;&gt;"NA",N5*P5*Q5,0)+IF(U5&lt;&gt;"NA",V5*X5*Y5,0)+IF(AC5&lt;&gt;"NA",AD5*AF5*AG5,0)+IF(AK5&lt;&gt;"NA",AL5*AN5*AO5,0)+IF(AS5&lt;&gt;"NA",AT5*AV5*AW5,0)</f>
        <v>398106.95</v>
      </c>
      <c r="BH5" s="19">
        <f>BG5/BE5</f>
        <v>804.56528768618261</v>
      </c>
      <c r="BI5" s="18">
        <f>((BH5)*BF5*BB5*(1/BC5))/3600</f>
        <v>86.604430302692947</v>
      </c>
      <c r="BJ5" s="22">
        <f>BD5/(BH5*BF5)</f>
        <v>2.3382175633768168E-7</v>
      </c>
      <c r="BK5" s="23">
        <f>BJ5*3600</f>
        <v>8.4175832281565405E-4</v>
      </c>
      <c r="BL5" s="19">
        <f t="shared" si="0"/>
        <v>3770.5810000000001</v>
      </c>
      <c r="BM5" s="18"/>
      <c r="BP5" s="20">
        <f t="shared" si="2"/>
        <v>350.42574349442378</v>
      </c>
      <c r="BR5" s="45">
        <f t="shared" si="3"/>
        <v>22201.200000000001</v>
      </c>
      <c r="BS5" s="45">
        <f t="shared" si="4"/>
        <v>424.55000000000007</v>
      </c>
      <c r="BT5" s="45">
        <f t="shared" si="5"/>
        <v>353280</v>
      </c>
      <c r="BU5" s="45">
        <f t="shared" si="6"/>
        <v>22201.200000000001</v>
      </c>
      <c r="BV5" s="45">
        <f t="shared" si="7"/>
        <v>0</v>
      </c>
      <c r="BW5" s="45">
        <f t="shared" si="8"/>
        <v>0</v>
      </c>
      <c r="BX5" s="46">
        <f t="shared" si="9"/>
        <v>2.0804438280166437E-2</v>
      </c>
      <c r="BY5" s="46">
        <f t="shared" si="10"/>
        <v>0.35714285714285715</v>
      </c>
      <c r="BZ5" s="46">
        <f t="shared" si="11"/>
        <v>0.23469387755102042</v>
      </c>
      <c r="CA5" s="46">
        <f t="shared" si="12"/>
        <v>2.0804438280166437E-2</v>
      </c>
      <c r="CB5" s="46">
        <f t="shared" si="13"/>
        <v>0</v>
      </c>
      <c r="CC5" s="46">
        <f t="shared" si="14"/>
        <v>0</v>
      </c>
      <c r="CD5" s="45">
        <f t="shared" si="15"/>
        <v>55.845781818607193</v>
      </c>
    </row>
    <row r="6" spans="1:82" ht="14.4" x14ac:dyDescent="0.3">
      <c r="A6" s="5" t="s">
        <v>307</v>
      </c>
      <c r="B6" s="5" t="s">
        <v>232</v>
      </c>
      <c r="C6" s="4" t="s">
        <v>10</v>
      </c>
      <c r="D6" s="27">
        <v>33.4</v>
      </c>
      <c r="E6" s="16" t="s">
        <v>112</v>
      </c>
      <c r="F6" s="17">
        <f>15/1000</f>
        <v>1.4999999999999999E-2</v>
      </c>
      <c r="G6" s="18">
        <f>VLOOKUP(E6,WorkingDB[],2,FALSE)</f>
        <v>0.72099999999999997</v>
      </c>
      <c r="H6" s="19">
        <f>VLOOKUP(E6,WorkingDB[],3,FALSE)</f>
        <v>840</v>
      </c>
      <c r="I6" s="19">
        <f>VLOOKUP(E6,WorkingDB[],4,FALSE)</f>
        <v>1762</v>
      </c>
      <c r="J6" s="5">
        <f>VLOOKUP(E6,WorkingDB[],5,FALSE)</f>
        <v>0</v>
      </c>
      <c r="K6" s="5">
        <f>VLOOKUP(E6,WorkingDB[],6,FALSE)</f>
        <v>0</v>
      </c>
      <c r="L6" s="44">
        <f>VLOOKUP(E6,WorkingDB[],7,FALSE)*F6+VLOOKUP(E6,CostDB[],5,FALSE)</f>
        <v>339.1</v>
      </c>
      <c r="M6" s="16" t="s">
        <v>237</v>
      </c>
      <c r="N6" s="17">
        <f>25/1000</f>
        <v>2.5000000000000001E-2</v>
      </c>
      <c r="O6" s="18">
        <f>VLOOKUP(M6,WorkingDB[],2,FALSE)</f>
        <v>2.8000000000000001E-2</v>
      </c>
      <c r="P6" s="19">
        <f>VLOOKUP(M6,WorkingDB[],3,FALSE)</f>
        <v>1213</v>
      </c>
      <c r="Q6" s="19">
        <f>VLOOKUP(M6,WorkingDB[],4,FALSE)</f>
        <v>35</v>
      </c>
      <c r="R6" s="5">
        <f>VLOOKUP(M6,WorkingDB[],5,FALSE)</f>
        <v>0</v>
      </c>
      <c r="S6" s="5">
        <f>VLOOKUP(M6,WorkingDB[],6,FALSE)</f>
        <v>0</v>
      </c>
      <c r="T6" s="44">
        <f>VLOOKUP(M6,WorkingDB[],7,FALSE)*N6+VLOOKUP(M6,CostDB[],5,FALSE)</f>
        <v>575.65</v>
      </c>
      <c r="U6" s="16" t="s">
        <v>91</v>
      </c>
      <c r="V6" s="17">
        <v>0.23</v>
      </c>
      <c r="W6" s="18">
        <f>VLOOKUP(U6,WorkingDB[],2,FALSE)</f>
        <v>0.98</v>
      </c>
      <c r="X6" s="19">
        <f>VLOOKUP(U6,WorkingDB[],3,FALSE)</f>
        <v>800</v>
      </c>
      <c r="Y6" s="19">
        <f>VLOOKUP(U6,WorkingDB[],4,FALSE)</f>
        <v>1920</v>
      </c>
      <c r="Z6" s="5">
        <f>VLOOKUP(U6,WorkingDB[],5,FALSE)</f>
        <v>0</v>
      </c>
      <c r="AA6" s="5">
        <f>VLOOKUP(U6,WorkingDB[],6,FALSE)</f>
        <v>0</v>
      </c>
      <c r="AB6" s="44">
        <f>VLOOKUP(U6,WorkingDB[],7,FALSE)*V6+VLOOKUP(U6,CostDB[],5,FALSE)</f>
        <v>2681.7310000000002</v>
      </c>
      <c r="AC6" s="16" t="s">
        <v>112</v>
      </c>
      <c r="AD6" s="17">
        <f t="shared" si="1"/>
        <v>1.4999999999999999E-2</v>
      </c>
      <c r="AE6" s="18">
        <f>VLOOKUP(AC6,WorkingDB[],2,FALSE)</f>
        <v>0.72099999999999997</v>
      </c>
      <c r="AF6" s="19">
        <f>VLOOKUP(AC6,WorkingDB[],3,FALSE)</f>
        <v>840</v>
      </c>
      <c r="AG6" s="19">
        <f>VLOOKUP(AC6,WorkingDB[],4,FALSE)</f>
        <v>1762</v>
      </c>
      <c r="AH6" s="5">
        <f>VLOOKUP(AC6,WorkingDB[],5,FALSE)</f>
        <v>0</v>
      </c>
      <c r="AI6" s="5">
        <f>VLOOKUP(AC6,WorkingDB[],6,FALSE)</f>
        <v>0</v>
      </c>
      <c r="AJ6" s="44">
        <f>VLOOKUP(AC6,WorkingDB[],7,FALSE)*AD6+VLOOKUP(AC6,CostDB[],5,FALSE)</f>
        <v>339.1</v>
      </c>
      <c r="AK6" s="16" t="s">
        <v>90</v>
      </c>
      <c r="AL6" s="17">
        <v>0</v>
      </c>
      <c r="AM6" s="18">
        <f>VLOOKUP(AK6,WorkingDB[],2,FALSE)</f>
        <v>0</v>
      </c>
      <c r="AN6" s="19">
        <f>VLOOKUP(AK6,WorkingDB[],3,FALSE)</f>
        <v>0</v>
      </c>
      <c r="AO6" s="19">
        <f>VLOOKUP(AK6,WorkingDB[],4,FALSE)</f>
        <v>0</v>
      </c>
      <c r="AP6" s="5">
        <f>VLOOKUP(AK6,WorkingDB[],5,FALSE)</f>
        <v>0</v>
      </c>
      <c r="AQ6" s="5">
        <f>VLOOKUP(AK6,WorkingDB[],6,FALSE)</f>
        <v>0</v>
      </c>
      <c r="AR6" s="44" t="e">
        <f>VLOOKUP(AK6,WorkingDB[],7,FALSE)*AL6+VLOOKUP(AK6,CostDB[],5,FALSE)</f>
        <v>#N/A</v>
      </c>
      <c r="AS6" s="16" t="s">
        <v>90</v>
      </c>
      <c r="AT6" s="17">
        <v>0</v>
      </c>
      <c r="AU6" s="18">
        <f>VLOOKUP(AS6,WorkingDB[],2,FALSE)</f>
        <v>0</v>
      </c>
      <c r="AV6" s="19">
        <f>VLOOKUP(AS6,WorkingDB[],3,FALSE)</f>
        <v>0</v>
      </c>
      <c r="AW6" s="19">
        <f>VLOOKUP(AS6,WorkingDB[],4,FALSE)</f>
        <v>0</v>
      </c>
      <c r="AX6" s="5">
        <f>VLOOKUP(AS6,WorkingDB[],5,FALSE)</f>
        <v>0</v>
      </c>
      <c r="AY6" s="5">
        <f>VLOOKUP(AS6,WorkingDB[],6,FALSE)</f>
        <v>0</v>
      </c>
      <c r="AZ6" s="44" t="e">
        <f>VLOOKUP(AS6,WorkingDB[],7,FALSE)*AT6+VLOOKUP(AS6,CostDB[],5,FALSE)</f>
        <v>#N/A</v>
      </c>
      <c r="BA6" s="27">
        <v>8.35</v>
      </c>
      <c r="BB6" s="20">
        <f t="shared" ref="BB6:BB20" si="17">F6+N6+V6+AD6+AL6+AT6</f>
        <v>0.28500000000000003</v>
      </c>
      <c r="BC6" s="18">
        <f t="shared" ref="BC6:BC22" si="18">1/(1/D6+IF(E6&lt;&gt;"NA",F6/G6,0)+IF(M6&lt;&gt;"NA",N6/O6,0)+IF(U6&lt;&gt;"NA",V6/W6,0)+IF(AC6&lt;&gt;"NA",AD6/AE6,0)+IF(AK6&lt;&gt;"NA",AL6/AM6,0)+IF(AS6&lt;&gt;"NA",AT6/AU6,0)+1/BA6)</f>
        <v>0.75823030806263314</v>
      </c>
      <c r="BD6" s="18">
        <f t="shared" ref="BD6:BD20" si="19">BC6*BB6</f>
        <v>0.21609563779785046</v>
      </c>
      <c r="BE6" s="19">
        <f t="shared" ref="BE6:BE20" si="20">IF(E6&lt;&gt;"NA",F6*I6,0)+IF(M6&lt;&gt;"NA",N6*Q6,0)+IF(U6&lt;&gt;"NA",V6*Y6,0)+IF(AC6&lt;&gt;"NA",AD6*AG6,0)+IF(AK6&lt;&gt;"NA",AL6*AO6,0)+IF(AS6&lt;&gt;"NA",AT6*AW6,0)</f>
        <v>495.33500000000004</v>
      </c>
      <c r="BF6" s="19">
        <f t="shared" ref="BF6:BF20" si="21">BE6/BB6</f>
        <v>1738.0175438596491</v>
      </c>
      <c r="BG6" s="19">
        <f t="shared" ref="BG6:BG20" si="22">IF(E6&lt;&gt;"NA",F6*H6*I6,0)+IF(M6&lt;&gt;"NA",N6*P6*Q6,0)+IF(U6&lt;&gt;"NA",V6*X6*Y6,0)+IF(AC6&lt;&gt;"NA",AD6*AF6*AG6,0)+IF(AK6&lt;&gt;"NA",AL6*AN6*AO6,0)+IF(AS6&lt;&gt;"NA",AT6*AV6*AW6,0)</f>
        <v>398743.77500000002</v>
      </c>
      <c r="BH6" s="19">
        <f t="shared" ref="BH6:BH20" si="23">BG6/BE6</f>
        <v>804.99818304783628</v>
      </c>
      <c r="BI6" s="18">
        <f t="shared" ref="BI6:BI20" si="24">((BH6)*BF6*BB6*(1/BC6))/3600</f>
        <v>146.07983688390468</v>
      </c>
      <c r="BJ6" s="22">
        <f t="shared" ref="BJ6:BJ20" si="25">BD6/(BH6*BF6)</f>
        <v>1.5445321189625439E-7</v>
      </c>
      <c r="BK6" s="23">
        <f t="shared" ref="BK6:BK20" si="26">BJ6*3600</f>
        <v>5.5603156282651577E-4</v>
      </c>
      <c r="BL6" s="19">
        <f t="shared" si="0"/>
        <v>3935.5810000000001</v>
      </c>
      <c r="BM6" s="18"/>
      <c r="BO6" s="5">
        <v>1</v>
      </c>
      <c r="BP6" s="20">
        <f t="shared" si="2"/>
        <v>365.76031598513015</v>
      </c>
      <c r="BR6" s="45">
        <f t="shared" si="3"/>
        <v>22201.200000000001</v>
      </c>
      <c r="BS6" s="45">
        <f t="shared" si="4"/>
        <v>1061.375</v>
      </c>
      <c r="BT6" s="45">
        <f t="shared" si="5"/>
        <v>353280</v>
      </c>
      <c r="BU6" s="45">
        <f t="shared" si="6"/>
        <v>22201.200000000001</v>
      </c>
      <c r="BV6" s="45">
        <f t="shared" si="7"/>
        <v>0</v>
      </c>
      <c r="BW6" s="45">
        <f t="shared" si="8"/>
        <v>0</v>
      </c>
      <c r="BX6" s="46">
        <f t="shared" si="9"/>
        <v>2.0804438280166437E-2</v>
      </c>
      <c r="BY6" s="46">
        <f t="shared" si="10"/>
        <v>0.8928571428571429</v>
      </c>
      <c r="BZ6" s="46">
        <f t="shared" si="11"/>
        <v>0.23469387755102042</v>
      </c>
      <c r="CA6" s="46">
        <f t="shared" si="12"/>
        <v>2.0804438280166437E-2</v>
      </c>
      <c r="CB6" s="46">
        <f t="shared" si="13"/>
        <v>0</v>
      </c>
      <c r="CC6" s="46">
        <f t="shared" si="14"/>
        <v>0</v>
      </c>
      <c r="CD6" s="45">
        <f t="shared" si="15"/>
        <v>111.84049678675082</v>
      </c>
    </row>
    <row r="7" spans="1:82" ht="14.4" x14ac:dyDescent="0.3">
      <c r="A7" s="5" t="s">
        <v>305</v>
      </c>
      <c r="B7" s="5" t="s">
        <v>234</v>
      </c>
      <c r="C7" s="4" t="s">
        <v>10</v>
      </c>
      <c r="D7" s="27">
        <v>33.4</v>
      </c>
      <c r="E7" s="16" t="s">
        <v>112</v>
      </c>
      <c r="F7" s="17">
        <f t="shared" si="16"/>
        <v>1.4999999999999999E-2</v>
      </c>
      <c r="G7" s="18">
        <f>VLOOKUP(E7,WorkingDB[],2,FALSE)</f>
        <v>0.72099999999999997</v>
      </c>
      <c r="H7" s="19">
        <f>VLOOKUP(E7,WorkingDB[],3,FALSE)</f>
        <v>840</v>
      </c>
      <c r="I7" s="19">
        <f>VLOOKUP(E7,WorkingDB[],4,FALSE)</f>
        <v>1762</v>
      </c>
      <c r="J7" s="5">
        <f>VLOOKUP(E7,WorkingDB[],5,FALSE)</f>
        <v>0</v>
      </c>
      <c r="K7" s="5">
        <f>VLOOKUP(E7,WorkingDB[],6,FALSE)</f>
        <v>0</v>
      </c>
      <c r="L7" s="44">
        <f>VLOOKUP(E7,WorkingDB[],7,FALSE)*F7+VLOOKUP(E7,CostDB[],5,FALSE)</f>
        <v>339.1</v>
      </c>
      <c r="M7" s="16" t="s">
        <v>237</v>
      </c>
      <c r="N7" s="17">
        <f>50/1000</f>
        <v>0.05</v>
      </c>
      <c r="O7" s="18">
        <f>VLOOKUP(M7,WorkingDB[],2,FALSE)</f>
        <v>2.8000000000000001E-2</v>
      </c>
      <c r="P7" s="19">
        <f>VLOOKUP(M7,WorkingDB[],3,FALSE)</f>
        <v>1213</v>
      </c>
      <c r="Q7" s="19">
        <f>VLOOKUP(M7,WorkingDB[],4,FALSE)</f>
        <v>35</v>
      </c>
      <c r="R7" s="5">
        <f>VLOOKUP(M7,WorkingDB[],5,FALSE)</f>
        <v>0</v>
      </c>
      <c r="S7" s="5">
        <f>VLOOKUP(M7,WorkingDB[],6,FALSE)</f>
        <v>0</v>
      </c>
      <c r="T7" s="44">
        <f>VLOOKUP(M7,WorkingDB[],7,FALSE)*N7+VLOOKUP(M7,CostDB[],5,FALSE)</f>
        <v>850.65</v>
      </c>
      <c r="U7" s="16" t="s">
        <v>91</v>
      </c>
      <c r="V7" s="17">
        <v>0.23</v>
      </c>
      <c r="W7" s="18">
        <f>VLOOKUP(U7,WorkingDB[],2,FALSE)</f>
        <v>0.98</v>
      </c>
      <c r="X7" s="19">
        <f>VLOOKUP(U7,WorkingDB[],3,FALSE)</f>
        <v>800</v>
      </c>
      <c r="Y7" s="19">
        <f>VLOOKUP(U7,WorkingDB[],4,FALSE)</f>
        <v>1920</v>
      </c>
      <c r="Z7" s="5">
        <f>VLOOKUP(U7,WorkingDB[],5,FALSE)</f>
        <v>0</v>
      </c>
      <c r="AA7" s="5">
        <f>VLOOKUP(U7,WorkingDB[],6,FALSE)</f>
        <v>0</v>
      </c>
      <c r="AB7" s="44">
        <f>VLOOKUP(U7,WorkingDB[],7,FALSE)*V7+VLOOKUP(U7,CostDB[],5,FALSE)</f>
        <v>2681.7310000000002</v>
      </c>
      <c r="AC7" s="16" t="s">
        <v>112</v>
      </c>
      <c r="AD7" s="17">
        <f t="shared" si="1"/>
        <v>1.4999999999999999E-2</v>
      </c>
      <c r="AE7" s="18">
        <f>VLOOKUP(AC7,WorkingDB[],2,FALSE)</f>
        <v>0.72099999999999997</v>
      </c>
      <c r="AF7" s="19">
        <f>VLOOKUP(AC7,WorkingDB[],3,FALSE)</f>
        <v>840</v>
      </c>
      <c r="AG7" s="19">
        <f>VLOOKUP(AC7,WorkingDB[],4,FALSE)</f>
        <v>1762</v>
      </c>
      <c r="AH7" s="5">
        <f>VLOOKUP(AC7,WorkingDB[],5,FALSE)</f>
        <v>0</v>
      </c>
      <c r="AI7" s="5">
        <f>VLOOKUP(AC7,WorkingDB[],6,FALSE)</f>
        <v>0</v>
      </c>
      <c r="AJ7" s="44">
        <f>VLOOKUP(AC7,WorkingDB[],7,FALSE)*AD7+VLOOKUP(AC7,CostDB[],5,FALSE)</f>
        <v>339.1</v>
      </c>
      <c r="AK7" s="16" t="s">
        <v>90</v>
      </c>
      <c r="AL7" s="17">
        <v>0</v>
      </c>
      <c r="AM7" s="18">
        <f>VLOOKUP(AK7,WorkingDB[],2,FALSE)</f>
        <v>0</v>
      </c>
      <c r="AN7" s="19">
        <f>VLOOKUP(AK7,WorkingDB[],3,FALSE)</f>
        <v>0</v>
      </c>
      <c r="AO7" s="19">
        <f>VLOOKUP(AK7,WorkingDB[],4,FALSE)</f>
        <v>0</v>
      </c>
      <c r="AP7" s="5">
        <f>VLOOKUP(AK7,WorkingDB[],5,FALSE)</f>
        <v>0</v>
      </c>
      <c r="AQ7" s="5">
        <f>VLOOKUP(AK7,WorkingDB[],6,FALSE)</f>
        <v>0</v>
      </c>
      <c r="AR7" s="44" t="e">
        <f>VLOOKUP(AK7,WorkingDB[],7,FALSE)*AL7+VLOOKUP(AK7,CostDB[],5,FALSE)</f>
        <v>#N/A</v>
      </c>
      <c r="AS7" s="16" t="s">
        <v>90</v>
      </c>
      <c r="AT7" s="17">
        <v>0</v>
      </c>
      <c r="AU7" s="18">
        <f>VLOOKUP(AS7,WorkingDB[],2,FALSE)</f>
        <v>0</v>
      </c>
      <c r="AV7" s="19">
        <f>VLOOKUP(AS7,WorkingDB[],3,FALSE)</f>
        <v>0</v>
      </c>
      <c r="AW7" s="19">
        <f>VLOOKUP(AS7,WorkingDB[],4,FALSE)</f>
        <v>0</v>
      </c>
      <c r="AX7" s="5">
        <f>VLOOKUP(AS7,WorkingDB[],5,FALSE)</f>
        <v>0</v>
      </c>
      <c r="AY7" s="5">
        <f>VLOOKUP(AS7,WorkingDB[],6,FALSE)</f>
        <v>0</v>
      </c>
      <c r="AZ7" s="44" t="e">
        <f>VLOOKUP(AS7,WorkingDB[],7,FALSE)*AT7+VLOOKUP(AS7,CostDB[],5,FALSE)</f>
        <v>#N/A</v>
      </c>
      <c r="BA7" s="27">
        <v>8.35</v>
      </c>
      <c r="BB7" s="20">
        <f t="shared" si="17"/>
        <v>0.31000000000000005</v>
      </c>
      <c r="BC7" s="18">
        <f t="shared" si="18"/>
        <v>0.45213728124007591</v>
      </c>
      <c r="BD7" s="18">
        <f t="shared" si="19"/>
        <v>0.14016255718442355</v>
      </c>
      <c r="BE7" s="19">
        <f t="shared" si="20"/>
        <v>496.21000000000004</v>
      </c>
      <c r="BF7" s="19">
        <f t="shared" si="21"/>
        <v>1600.6774193548385</v>
      </c>
      <c r="BG7" s="19">
        <f t="shared" si="22"/>
        <v>399805.15</v>
      </c>
      <c r="BH7" s="19">
        <f t="shared" si="23"/>
        <v>805.71763970899417</v>
      </c>
      <c r="BI7" s="18">
        <f t="shared" si="24"/>
        <v>245.62669507481309</v>
      </c>
      <c r="BJ7" s="22">
        <f t="shared" si="25"/>
        <v>1.0867892203782594E-7</v>
      </c>
      <c r="BK7" s="23">
        <f t="shared" si="26"/>
        <v>3.9124411933617339E-4</v>
      </c>
      <c r="BL7" s="19">
        <f t="shared" si="0"/>
        <v>4210.5810000000001</v>
      </c>
      <c r="BM7" s="18"/>
      <c r="BO7" s="5">
        <v>1</v>
      </c>
      <c r="BP7" s="20">
        <f t="shared" si="2"/>
        <v>391.31793680297397</v>
      </c>
      <c r="BR7" s="45">
        <f t="shared" si="3"/>
        <v>22201.200000000001</v>
      </c>
      <c r="BS7" s="45">
        <f t="shared" si="4"/>
        <v>2122.75</v>
      </c>
      <c r="BT7" s="45">
        <f t="shared" si="5"/>
        <v>353280</v>
      </c>
      <c r="BU7" s="45">
        <f t="shared" si="6"/>
        <v>22201.200000000001</v>
      </c>
      <c r="BV7" s="45">
        <f t="shared" si="7"/>
        <v>0</v>
      </c>
      <c r="BW7" s="45">
        <f t="shared" si="8"/>
        <v>0</v>
      </c>
      <c r="BX7" s="46">
        <f t="shared" si="9"/>
        <v>2.0804438280166437E-2</v>
      </c>
      <c r="BY7" s="46">
        <f t="shared" si="10"/>
        <v>1.7857142857142858</v>
      </c>
      <c r="BZ7" s="46">
        <f t="shared" si="11"/>
        <v>0.23469387755102042</v>
      </c>
      <c r="CA7" s="46">
        <f t="shared" si="12"/>
        <v>2.0804438280166437E-2</v>
      </c>
      <c r="CB7" s="46">
        <f t="shared" si="13"/>
        <v>0</v>
      </c>
      <c r="CC7" s="46">
        <f t="shared" si="14"/>
        <v>0</v>
      </c>
      <c r="CD7" s="45">
        <f t="shared" si="15"/>
        <v>205.37561201143467</v>
      </c>
    </row>
    <row r="8" spans="1:82" ht="14.4" x14ac:dyDescent="0.3">
      <c r="A8" s="5" t="s">
        <v>309</v>
      </c>
      <c r="B8" s="5" t="s">
        <v>278</v>
      </c>
      <c r="C8" s="4" t="s">
        <v>10</v>
      </c>
      <c r="D8" s="27">
        <v>33.4</v>
      </c>
      <c r="E8" s="16" t="s">
        <v>112</v>
      </c>
      <c r="F8" s="17">
        <f>15/1000</f>
        <v>1.4999999999999999E-2</v>
      </c>
      <c r="G8" s="18">
        <f>VLOOKUP(E8,WorkingDB[],2,FALSE)</f>
        <v>0.72099999999999997</v>
      </c>
      <c r="H8" s="19">
        <f>VLOOKUP(E8,WorkingDB[],3,FALSE)</f>
        <v>840</v>
      </c>
      <c r="I8" s="19">
        <f>VLOOKUP(E8,WorkingDB[],4,FALSE)</f>
        <v>1762</v>
      </c>
      <c r="J8" s="5">
        <f>VLOOKUP(E8,WorkingDB[],5,FALSE)</f>
        <v>0</v>
      </c>
      <c r="K8" s="5">
        <f>VLOOKUP(E8,WorkingDB[],6,FALSE)</f>
        <v>0</v>
      </c>
      <c r="L8" s="44">
        <f>VLOOKUP(E8,WorkingDB[],7,FALSE)*F8+VLOOKUP(E8,CostDB[],5,FALSE)</f>
        <v>339.1</v>
      </c>
      <c r="M8" s="16" t="s">
        <v>238</v>
      </c>
      <c r="N8" s="17">
        <f>5/1000</f>
        <v>5.0000000000000001E-3</v>
      </c>
      <c r="O8" s="18">
        <f>VLOOKUP(M8,WorkingDB[],2,FALSE)</f>
        <v>3.7999999999999999E-2</v>
      </c>
      <c r="P8" s="19">
        <f>VLOOKUP(M8,WorkingDB[],3,FALSE)</f>
        <v>1213</v>
      </c>
      <c r="Q8" s="19">
        <f>VLOOKUP(M8,WorkingDB[],4,FALSE)</f>
        <v>28</v>
      </c>
      <c r="R8" s="5">
        <f>VLOOKUP(M8,WorkingDB[],5,FALSE)</f>
        <v>0</v>
      </c>
      <c r="S8" s="5">
        <f>VLOOKUP(M8,WorkingDB[],6,FALSE)</f>
        <v>0</v>
      </c>
      <c r="T8" s="44">
        <f>VLOOKUP(M8,WorkingDB[],7,FALSE)*N8+VLOOKUP(M8,CostDB[],5,FALSE)</f>
        <v>2702.4250000000002</v>
      </c>
      <c r="U8" s="16" t="s">
        <v>91</v>
      </c>
      <c r="V8" s="17">
        <v>0.23</v>
      </c>
      <c r="W8" s="18">
        <f>VLOOKUP(U8,WorkingDB[],2,FALSE)</f>
        <v>0.98</v>
      </c>
      <c r="X8" s="19">
        <f>VLOOKUP(U8,WorkingDB[],3,FALSE)</f>
        <v>800</v>
      </c>
      <c r="Y8" s="19">
        <f>VLOOKUP(U8,WorkingDB[],4,FALSE)</f>
        <v>1920</v>
      </c>
      <c r="Z8" s="5">
        <f>VLOOKUP(U8,WorkingDB[],5,FALSE)</f>
        <v>0</v>
      </c>
      <c r="AA8" s="5">
        <f>VLOOKUP(U8,WorkingDB[],6,FALSE)</f>
        <v>0</v>
      </c>
      <c r="AB8" s="44">
        <f>VLOOKUP(U8,WorkingDB[],7,FALSE)*V8+VLOOKUP(U8,CostDB[],5,FALSE)</f>
        <v>2681.7310000000002</v>
      </c>
      <c r="AC8" s="16" t="s">
        <v>112</v>
      </c>
      <c r="AD8" s="17">
        <f t="shared" si="1"/>
        <v>1.4999999999999999E-2</v>
      </c>
      <c r="AE8" s="18">
        <f>VLOOKUP(AC8,WorkingDB[],2,FALSE)</f>
        <v>0.72099999999999997</v>
      </c>
      <c r="AF8" s="19">
        <f>VLOOKUP(AC8,WorkingDB[],3,FALSE)</f>
        <v>840</v>
      </c>
      <c r="AG8" s="19">
        <f>VLOOKUP(AC8,WorkingDB[],4,FALSE)</f>
        <v>1762</v>
      </c>
      <c r="AH8" s="5">
        <f>VLOOKUP(AC8,WorkingDB[],5,FALSE)</f>
        <v>0</v>
      </c>
      <c r="AI8" s="5">
        <f>VLOOKUP(AC8,WorkingDB[],6,FALSE)</f>
        <v>0</v>
      </c>
      <c r="AJ8" s="44">
        <f>VLOOKUP(AC8,WorkingDB[],7,FALSE)*AD8+VLOOKUP(AC8,CostDB[],5,FALSE)</f>
        <v>339.1</v>
      </c>
      <c r="AK8" s="16" t="s">
        <v>90</v>
      </c>
      <c r="AL8" s="17">
        <v>0</v>
      </c>
      <c r="AM8" s="18">
        <f>VLOOKUP(AK8,WorkingDB[],2,FALSE)</f>
        <v>0</v>
      </c>
      <c r="AN8" s="19">
        <f>VLOOKUP(AK8,WorkingDB[],3,FALSE)</f>
        <v>0</v>
      </c>
      <c r="AO8" s="19">
        <f>VLOOKUP(AK8,WorkingDB[],4,FALSE)</f>
        <v>0</v>
      </c>
      <c r="AP8" s="5">
        <f>VLOOKUP(AK8,WorkingDB[],5,FALSE)</f>
        <v>0</v>
      </c>
      <c r="AQ8" s="5">
        <f>VLOOKUP(AK8,WorkingDB[],6,FALSE)</f>
        <v>0</v>
      </c>
      <c r="AR8" s="44" t="e">
        <f>VLOOKUP(AK8,WorkingDB[],7,FALSE)*AL8+VLOOKUP(AK8,CostDB[],5,FALSE)</f>
        <v>#N/A</v>
      </c>
      <c r="AS8" s="16" t="s">
        <v>90</v>
      </c>
      <c r="AT8" s="17">
        <v>0</v>
      </c>
      <c r="AU8" s="18">
        <f>VLOOKUP(AS8,WorkingDB[],2,FALSE)</f>
        <v>0</v>
      </c>
      <c r="AV8" s="19">
        <f>VLOOKUP(AS8,WorkingDB[],3,FALSE)</f>
        <v>0</v>
      </c>
      <c r="AW8" s="19">
        <f>VLOOKUP(AS8,WorkingDB[],4,FALSE)</f>
        <v>0</v>
      </c>
      <c r="AX8" s="5">
        <f>VLOOKUP(AS8,WorkingDB[],5,FALSE)</f>
        <v>0</v>
      </c>
      <c r="AY8" s="5">
        <f>VLOOKUP(AS8,WorkingDB[],6,FALSE)</f>
        <v>0</v>
      </c>
      <c r="AZ8" s="44" t="e">
        <f>VLOOKUP(AS8,WorkingDB[],7,FALSE)*AT8+VLOOKUP(AS8,CostDB[],5,FALSE)</f>
        <v>#N/A</v>
      </c>
      <c r="BA8" s="27">
        <v>8.35</v>
      </c>
      <c r="BB8" s="20">
        <f t="shared" si="17"/>
        <v>0.26500000000000001</v>
      </c>
      <c r="BC8" s="18">
        <f t="shared" si="18"/>
        <v>1.7934572160808206</v>
      </c>
      <c r="BD8" s="18">
        <f t="shared" si="19"/>
        <v>0.47526616226141749</v>
      </c>
      <c r="BE8" s="19">
        <f t="shared" si="20"/>
        <v>494.6</v>
      </c>
      <c r="BF8" s="19">
        <f t="shared" si="21"/>
        <v>1866.4150943396226</v>
      </c>
      <c r="BG8" s="19">
        <f t="shared" si="22"/>
        <v>397852.22000000003</v>
      </c>
      <c r="BH8" s="19">
        <f t="shared" si="23"/>
        <v>804.39187221997577</v>
      </c>
      <c r="BI8" s="18">
        <f t="shared" si="24"/>
        <v>61.62093222221327</v>
      </c>
      <c r="BJ8" s="22">
        <f t="shared" si="25"/>
        <v>3.1656360494677057E-7</v>
      </c>
      <c r="BK8" s="23">
        <f t="shared" si="26"/>
        <v>1.1396289778083742E-3</v>
      </c>
      <c r="BL8" s="19">
        <f t="shared" si="0"/>
        <v>6062.3560000000007</v>
      </c>
      <c r="BM8" s="18"/>
      <c r="BO8" s="5">
        <v>1</v>
      </c>
      <c r="BP8" s="20">
        <f t="shared" si="2"/>
        <v>563.41598513011161</v>
      </c>
      <c r="BR8" s="45">
        <f t="shared" si="3"/>
        <v>22201.200000000001</v>
      </c>
      <c r="BS8" s="45">
        <f t="shared" si="4"/>
        <v>169.82000000000002</v>
      </c>
      <c r="BT8" s="45">
        <f t="shared" si="5"/>
        <v>353280</v>
      </c>
      <c r="BU8" s="45">
        <f t="shared" si="6"/>
        <v>22201.200000000001</v>
      </c>
      <c r="BV8" s="45">
        <f t="shared" si="7"/>
        <v>0</v>
      </c>
      <c r="BW8" s="45">
        <f t="shared" si="8"/>
        <v>0</v>
      </c>
      <c r="BX8" s="46">
        <f t="shared" si="9"/>
        <v>2.0804438280166437E-2</v>
      </c>
      <c r="BY8" s="46">
        <f t="shared" si="10"/>
        <v>0.13157894736842105</v>
      </c>
      <c r="BZ8" s="46">
        <f t="shared" si="11"/>
        <v>0.23469387755102042</v>
      </c>
      <c r="CA8" s="46">
        <f t="shared" si="12"/>
        <v>2.0804438280166437E-2</v>
      </c>
      <c r="CB8" s="46">
        <f t="shared" si="13"/>
        <v>0</v>
      </c>
      <c r="CC8" s="46">
        <f t="shared" si="14"/>
        <v>0</v>
      </c>
      <c r="CD8" s="45">
        <f t="shared" si="15"/>
        <v>32.29784464870562</v>
      </c>
    </row>
    <row r="9" spans="1:82" ht="14.4" x14ac:dyDescent="0.3">
      <c r="A9" s="5" t="s">
        <v>306</v>
      </c>
      <c r="B9" s="5" t="s">
        <v>279</v>
      </c>
      <c r="C9" s="4" t="s">
        <v>10</v>
      </c>
      <c r="D9" s="27">
        <v>33.4</v>
      </c>
      <c r="E9" s="16" t="s">
        <v>112</v>
      </c>
      <c r="F9" s="17">
        <f t="shared" si="16"/>
        <v>1.4999999999999999E-2</v>
      </c>
      <c r="G9" s="18">
        <f>VLOOKUP(E9,WorkingDB[],2,FALSE)</f>
        <v>0.72099999999999997</v>
      </c>
      <c r="H9" s="19">
        <f>VLOOKUP(E9,WorkingDB[],3,FALSE)</f>
        <v>840</v>
      </c>
      <c r="I9" s="19">
        <f>VLOOKUP(E9,WorkingDB[],4,FALSE)</f>
        <v>1762</v>
      </c>
      <c r="J9" s="5">
        <f>VLOOKUP(E9,WorkingDB[],5,FALSE)</f>
        <v>0</v>
      </c>
      <c r="K9" s="5">
        <f>VLOOKUP(E9,WorkingDB[],6,FALSE)</f>
        <v>0</v>
      </c>
      <c r="L9" s="44">
        <f>VLOOKUP(E9,WorkingDB[],7,FALSE)*F9+VLOOKUP(E9,CostDB[],5,FALSE)</f>
        <v>339.1</v>
      </c>
      <c r="M9" s="16" t="s">
        <v>238</v>
      </c>
      <c r="N9" s="17">
        <f>10/1000</f>
        <v>0.01</v>
      </c>
      <c r="O9" s="18">
        <f>VLOOKUP(M9,WorkingDB[],2,FALSE)</f>
        <v>3.7999999999999999E-2</v>
      </c>
      <c r="P9" s="19">
        <f>VLOOKUP(M9,WorkingDB[],3,FALSE)</f>
        <v>1213</v>
      </c>
      <c r="Q9" s="19">
        <f>VLOOKUP(M9,WorkingDB[],4,FALSE)</f>
        <v>28</v>
      </c>
      <c r="R9" s="5">
        <f>VLOOKUP(M9,WorkingDB[],5,FALSE)</f>
        <v>0</v>
      </c>
      <c r="S9" s="5">
        <f>VLOOKUP(M9,WorkingDB[],6,FALSE)</f>
        <v>0</v>
      </c>
      <c r="T9" s="44">
        <f>VLOOKUP(M9,WorkingDB[],7,FALSE)*N9+VLOOKUP(M9,CostDB[],5,FALSE)</f>
        <v>2736.8</v>
      </c>
      <c r="U9" s="16" t="s">
        <v>91</v>
      </c>
      <c r="V9" s="17">
        <v>0.23</v>
      </c>
      <c r="W9" s="18">
        <f>VLOOKUP(U9,WorkingDB[],2,FALSE)</f>
        <v>0.98</v>
      </c>
      <c r="X9" s="19">
        <f>VLOOKUP(U9,WorkingDB[],3,FALSE)</f>
        <v>800</v>
      </c>
      <c r="Y9" s="19">
        <f>VLOOKUP(U9,WorkingDB[],4,FALSE)</f>
        <v>1920</v>
      </c>
      <c r="Z9" s="5">
        <f>VLOOKUP(U9,WorkingDB[],5,FALSE)</f>
        <v>0</v>
      </c>
      <c r="AA9" s="5">
        <f>VLOOKUP(U9,WorkingDB[],6,FALSE)</f>
        <v>0</v>
      </c>
      <c r="AB9" s="44">
        <f>VLOOKUP(U9,WorkingDB[],7,FALSE)*V9+VLOOKUP(U9,CostDB[],5,FALSE)</f>
        <v>2681.7310000000002</v>
      </c>
      <c r="AC9" s="16" t="s">
        <v>112</v>
      </c>
      <c r="AD9" s="17">
        <f t="shared" si="1"/>
        <v>1.4999999999999999E-2</v>
      </c>
      <c r="AE9" s="18">
        <f>VLOOKUP(AC9,WorkingDB[],2,FALSE)</f>
        <v>0.72099999999999997</v>
      </c>
      <c r="AF9" s="19">
        <f>VLOOKUP(AC9,WorkingDB[],3,FALSE)</f>
        <v>840</v>
      </c>
      <c r="AG9" s="19">
        <f>VLOOKUP(AC9,WorkingDB[],4,FALSE)</f>
        <v>1762</v>
      </c>
      <c r="AH9" s="5">
        <f>VLOOKUP(AC9,WorkingDB[],5,FALSE)</f>
        <v>0</v>
      </c>
      <c r="AI9" s="5">
        <f>VLOOKUP(AC9,WorkingDB[],6,FALSE)</f>
        <v>0</v>
      </c>
      <c r="AJ9" s="44">
        <f>VLOOKUP(AC9,WorkingDB[],7,FALSE)*AD9+VLOOKUP(AC9,CostDB[],5,FALSE)</f>
        <v>339.1</v>
      </c>
      <c r="AK9" s="16" t="s">
        <v>90</v>
      </c>
      <c r="AL9" s="17">
        <v>0</v>
      </c>
      <c r="AM9" s="18">
        <f>VLOOKUP(AK9,WorkingDB[],2,FALSE)</f>
        <v>0</v>
      </c>
      <c r="AN9" s="19">
        <f>VLOOKUP(AK9,WorkingDB[],3,FALSE)</f>
        <v>0</v>
      </c>
      <c r="AO9" s="19">
        <f>VLOOKUP(AK9,WorkingDB[],4,FALSE)</f>
        <v>0</v>
      </c>
      <c r="AP9" s="5">
        <f>VLOOKUP(AK9,WorkingDB[],5,FALSE)</f>
        <v>0</v>
      </c>
      <c r="AQ9" s="5">
        <f>VLOOKUP(AK9,WorkingDB[],6,FALSE)</f>
        <v>0</v>
      </c>
      <c r="AR9" s="44" t="e">
        <f>VLOOKUP(AK9,WorkingDB[],7,FALSE)*AL9+VLOOKUP(AK9,CostDB[],5,FALSE)</f>
        <v>#N/A</v>
      </c>
      <c r="AS9" s="16" t="s">
        <v>90</v>
      </c>
      <c r="AT9" s="17">
        <v>0</v>
      </c>
      <c r="AU9" s="18">
        <f>VLOOKUP(AS9,WorkingDB[],2,FALSE)</f>
        <v>0</v>
      </c>
      <c r="AV9" s="19">
        <f>VLOOKUP(AS9,WorkingDB[],3,FALSE)</f>
        <v>0</v>
      </c>
      <c r="AW9" s="19">
        <f>VLOOKUP(AS9,WorkingDB[],4,FALSE)</f>
        <v>0</v>
      </c>
      <c r="AX9" s="5">
        <f>VLOOKUP(AS9,WorkingDB[],5,FALSE)</f>
        <v>0</v>
      </c>
      <c r="AY9" s="5">
        <f>VLOOKUP(AS9,WorkingDB[],6,FALSE)</f>
        <v>0</v>
      </c>
      <c r="AZ9" s="44" t="e">
        <f>VLOOKUP(AS9,WorkingDB[],7,FALSE)*AT9+VLOOKUP(AS9,CostDB[],5,FALSE)</f>
        <v>#N/A</v>
      </c>
      <c r="BA9" s="27">
        <v>8.35</v>
      </c>
      <c r="BB9" s="20">
        <f t="shared" si="17"/>
        <v>0.27</v>
      </c>
      <c r="BC9" s="18">
        <f t="shared" si="18"/>
        <v>1.4510392210953318</v>
      </c>
      <c r="BD9" s="18">
        <f t="shared" si="19"/>
        <v>0.39178058969573959</v>
      </c>
      <c r="BE9" s="19">
        <f t="shared" si="20"/>
        <v>494.74</v>
      </c>
      <c r="BF9" s="19">
        <f t="shared" si="21"/>
        <v>1832.3703703703702</v>
      </c>
      <c r="BG9" s="19">
        <f t="shared" si="22"/>
        <v>398022.04000000004</v>
      </c>
      <c r="BH9" s="19">
        <f t="shared" si="23"/>
        <v>804.50749888830501</v>
      </c>
      <c r="BI9" s="18">
        <f t="shared" si="24"/>
        <v>76.194823799675916</v>
      </c>
      <c r="BJ9" s="22">
        <f t="shared" si="25"/>
        <v>2.6576608475713984E-7</v>
      </c>
      <c r="BK9" s="23">
        <f t="shared" si="26"/>
        <v>9.5675790512570347E-4</v>
      </c>
      <c r="BL9" s="19">
        <f t="shared" si="0"/>
        <v>6096.7310000000007</v>
      </c>
      <c r="BM9" s="18"/>
      <c r="BO9" s="5">
        <v>1</v>
      </c>
      <c r="BP9" s="20">
        <f t="shared" si="2"/>
        <v>566.61068773234206</v>
      </c>
      <c r="BR9" s="45">
        <f t="shared" si="3"/>
        <v>22201.200000000001</v>
      </c>
      <c r="BS9" s="45">
        <f t="shared" si="4"/>
        <v>339.64000000000004</v>
      </c>
      <c r="BT9" s="45">
        <f t="shared" si="5"/>
        <v>353280</v>
      </c>
      <c r="BU9" s="45">
        <f t="shared" si="6"/>
        <v>22201.200000000001</v>
      </c>
      <c r="BV9" s="45">
        <f t="shared" si="7"/>
        <v>0</v>
      </c>
      <c r="BW9" s="45">
        <f t="shared" si="8"/>
        <v>0</v>
      </c>
      <c r="BX9" s="46">
        <f t="shared" si="9"/>
        <v>2.0804438280166437E-2</v>
      </c>
      <c r="BY9" s="46">
        <f t="shared" si="10"/>
        <v>0.26315789473684209</v>
      </c>
      <c r="BZ9" s="46">
        <f t="shared" si="11"/>
        <v>0.23469387755102042</v>
      </c>
      <c r="CA9" s="46">
        <f t="shared" si="12"/>
        <v>2.0804438280166437E-2</v>
      </c>
      <c r="CB9" s="46">
        <f t="shared" si="13"/>
        <v>0</v>
      </c>
      <c r="CC9" s="46">
        <f t="shared" si="14"/>
        <v>0</v>
      </c>
      <c r="CD9" s="45">
        <f t="shared" si="15"/>
        <v>46.033276759467071</v>
      </c>
    </row>
    <row r="10" spans="1:82" ht="14.4" x14ac:dyDescent="0.3">
      <c r="A10" s="5" t="s">
        <v>304</v>
      </c>
      <c r="B10" s="5" t="s">
        <v>235</v>
      </c>
      <c r="C10" s="4" t="s">
        <v>10</v>
      </c>
      <c r="D10" s="27">
        <v>33.4</v>
      </c>
      <c r="E10" s="16" t="s">
        <v>112</v>
      </c>
      <c r="F10" s="17">
        <f t="shared" si="16"/>
        <v>1.4999999999999999E-2</v>
      </c>
      <c r="G10" s="18">
        <f>VLOOKUP(E10,WorkingDB[],2,FALSE)</f>
        <v>0.72099999999999997</v>
      </c>
      <c r="H10" s="19">
        <f>VLOOKUP(E10,WorkingDB[],3,FALSE)</f>
        <v>840</v>
      </c>
      <c r="I10" s="19">
        <f>VLOOKUP(E10,WorkingDB[],4,FALSE)</f>
        <v>1762</v>
      </c>
      <c r="J10" s="5">
        <f>VLOOKUP(E10,WorkingDB[],5,FALSE)</f>
        <v>0</v>
      </c>
      <c r="K10" s="5">
        <f>VLOOKUP(E10,WorkingDB[],6,FALSE)</f>
        <v>0</v>
      </c>
      <c r="L10" s="44">
        <f>VLOOKUP(E10,WorkingDB[],7,FALSE)*F10+VLOOKUP(E10,CostDB[],5,FALSE)</f>
        <v>339.1</v>
      </c>
      <c r="M10" s="16" t="s">
        <v>238</v>
      </c>
      <c r="N10" s="17">
        <f>25/1000</f>
        <v>2.5000000000000001E-2</v>
      </c>
      <c r="O10" s="18">
        <f>VLOOKUP(M10,WorkingDB[],2,FALSE)</f>
        <v>3.7999999999999999E-2</v>
      </c>
      <c r="P10" s="19">
        <f>VLOOKUP(M10,WorkingDB[],3,FALSE)</f>
        <v>1213</v>
      </c>
      <c r="Q10" s="19">
        <f>VLOOKUP(M10,WorkingDB[],4,FALSE)</f>
        <v>28</v>
      </c>
      <c r="R10" s="5">
        <f>VLOOKUP(M10,WorkingDB[],5,FALSE)</f>
        <v>0</v>
      </c>
      <c r="S10" s="5">
        <f>VLOOKUP(M10,WorkingDB[],6,FALSE)</f>
        <v>0</v>
      </c>
      <c r="T10" s="44">
        <f>VLOOKUP(M10,WorkingDB[],7,FALSE)*N10+VLOOKUP(M10,CostDB[],5,FALSE)</f>
        <v>2839.9250000000002</v>
      </c>
      <c r="U10" s="16" t="s">
        <v>91</v>
      </c>
      <c r="V10" s="17">
        <v>0.23</v>
      </c>
      <c r="W10" s="18">
        <f>VLOOKUP(U10,WorkingDB[],2,FALSE)</f>
        <v>0.98</v>
      </c>
      <c r="X10" s="19">
        <f>VLOOKUP(U10,WorkingDB[],3,FALSE)</f>
        <v>800</v>
      </c>
      <c r="Y10" s="19">
        <f>VLOOKUP(U10,WorkingDB[],4,FALSE)</f>
        <v>1920</v>
      </c>
      <c r="Z10" s="5">
        <f>VLOOKUP(U10,WorkingDB[],5,FALSE)</f>
        <v>0</v>
      </c>
      <c r="AA10" s="5">
        <f>VLOOKUP(U10,WorkingDB[],6,FALSE)</f>
        <v>0</v>
      </c>
      <c r="AB10" s="44">
        <f>VLOOKUP(U10,WorkingDB[],7,FALSE)*V10+VLOOKUP(U10,CostDB[],5,FALSE)</f>
        <v>2681.7310000000002</v>
      </c>
      <c r="AC10" s="16" t="s">
        <v>112</v>
      </c>
      <c r="AD10" s="17">
        <f t="shared" si="1"/>
        <v>1.4999999999999999E-2</v>
      </c>
      <c r="AE10" s="18">
        <f>VLOOKUP(AC10,WorkingDB[],2,FALSE)</f>
        <v>0.72099999999999997</v>
      </c>
      <c r="AF10" s="19">
        <f>VLOOKUP(AC10,WorkingDB[],3,FALSE)</f>
        <v>840</v>
      </c>
      <c r="AG10" s="19">
        <f>VLOOKUP(AC10,WorkingDB[],4,FALSE)</f>
        <v>1762</v>
      </c>
      <c r="AH10" s="5">
        <f>VLOOKUP(AC10,WorkingDB[],5,FALSE)</f>
        <v>0</v>
      </c>
      <c r="AI10" s="5">
        <f>VLOOKUP(AC10,WorkingDB[],6,FALSE)</f>
        <v>0</v>
      </c>
      <c r="AJ10" s="44">
        <f>VLOOKUP(AC10,WorkingDB[],7,FALSE)*AD10+VLOOKUP(AC10,CostDB[],5,FALSE)</f>
        <v>339.1</v>
      </c>
      <c r="AK10" s="16" t="s">
        <v>90</v>
      </c>
      <c r="AL10" s="17">
        <v>0</v>
      </c>
      <c r="AM10" s="18">
        <f>VLOOKUP(AK10,WorkingDB[],2,FALSE)</f>
        <v>0</v>
      </c>
      <c r="AN10" s="19">
        <f>VLOOKUP(AK10,WorkingDB[],3,FALSE)</f>
        <v>0</v>
      </c>
      <c r="AO10" s="19">
        <f>VLOOKUP(AK10,WorkingDB[],4,FALSE)</f>
        <v>0</v>
      </c>
      <c r="AP10" s="5">
        <f>VLOOKUP(AK10,WorkingDB[],5,FALSE)</f>
        <v>0</v>
      </c>
      <c r="AQ10" s="5">
        <f>VLOOKUP(AK10,WorkingDB[],6,FALSE)</f>
        <v>0</v>
      </c>
      <c r="AR10" s="44" t="e">
        <f>VLOOKUP(AK10,WorkingDB[],7,FALSE)*AL10+VLOOKUP(AK10,CostDB[],5,FALSE)</f>
        <v>#N/A</v>
      </c>
      <c r="AS10" s="16" t="s">
        <v>90</v>
      </c>
      <c r="AT10" s="17">
        <v>0</v>
      </c>
      <c r="AU10" s="18">
        <f>VLOOKUP(AS10,WorkingDB[],2,FALSE)</f>
        <v>0</v>
      </c>
      <c r="AV10" s="19">
        <f>VLOOKUP(AS10,WorkingDB[],3,FALSE)</f>
        <v>0</v>
      </c>
      <c r="AW10" s="19">
        <f>VLOOKUP(AS10,WorkingDB[],4,FALSE)</f>
        <v>0</v>
      </c>
      <c r="AX10" s="5">
        <f>VLOOKUP(AS10,WorkingDB[],5,FALSE)</f>
        <v>0</v>
      </c>
      <c r="AY10" s="5">
        <f>VLOOKUP(AS10,WorkingDB[],6,FALSE)</f>
        <v>0</v>
      </c>
      <c r="AZ10" s="44" t="e">
        <f>VLOOKUP(AS10,WorkingDB[],7,FALSE)*AT10+VLOOKUP(AS10,CostDB[],5,FALSE)</f>
        <v>#N/A</v>
      </c>
      <c r="BA10" s="27">
        <v>8.35</v>
      </c>
      <c r="BB10" s="20">
        <f t="shared" si="17"/>
        <v>0.28500000000000003</v>
      </c>
      <c r="BC10" s="18">
        <f t="shared" si="18"/>
        <v>0.92259596123584664</v>
      </c>
      <c r="BD10" s="18">
        <f t="shared" si="19"/>
        <v>0.26293984895221634</v>
      </c>
      <c r="BE10" s="19">
        <f t="shared" si="20"/>
        <v>495.16</v>
      </c>
      <c r="BF10" s="19">
        <f t="shared" si="21"/>
        <v>1737.4035087719296</v>
      </c>
      <c r="BG10" s="19">
        <f t="shared" si="22"/>
        <v>398531.5</v>
      </c>
      <c r="BH10" s="19">
        <f t="shared" si="23"/>
        <v>804.85398659019302</v>
      </c>
      <c r="BI10" s="18">
        <f t="shared" si="24"/>
        <v>119.99098098820417</v>
      </c>
      <c r="BJ10" s="22">
        <f t="shared" si="25"/>
        <v>1.8803496574645084E-7</v>
      </c>
      <c r="BK10" s="23">
        <f t="shared" si="26"/>
        <v>6.7692587668722302E-4</v>
      </c>
      <c r="BL10" s="19">
        <f t="shared" si="0"/>
        <v>6199.8560000000007</v>
      </c>
      <c r="BM10" s="18"/>
      <c r="BO10" s="5">
        <v>1</v>
      </c>
      <c r="BP10" s="20">
        <f t="shared" si="2"/>
        <v>576.19479553903352</v>
      </c>
      <c r="BR10" s="45">
        <f t="shared" si="3"/>
        <v>22201.200000000001</v>
      </c>
      <c r="BS10" s="45">
        <f t="shared" si="4"/>
        <v>849.10000000000014</v>
      </c>
      <c r="BT10" s="45">
        <f t="shared" si="5"/>
        <v>353280</v>
      </c>
      <c r="BU10" s="45">
        <f t="shared" si="6"/>
        <v>22201.200000000001</v>
      </c>
      <c r="BV10" s="45">
        <f t="shared" si="7"/>
        <v>0</v>
      </c>
      <c r="BW10" s="45">
        <f t="shared" si="8"/>
        <v>0</v>
      </c>
      <c r="BX10" s="46">
        <f t="shared" si="9"/>
        <v>2.0804438280166437E-2</v>
      </c>
      <c r="BY10" s="46">
        <f t="shared" si="10"/>
        <v>0.65789473684210531</v>
      </c>
      <c r="BZ10" s="46">
        <f t="shared" si="11"/>
        <v>0.23469387755102042</v>
      </c>
      <c r="CA10" s="46">
        <f t="shared" si="12"/>
        <v>2.0804438280166437E-2</v>
      </c>
      <c r="CB10" s="46">
        <f t="shared" si="13"/>
        <v>0</v>
      </c>
      <c r="CC10" s="46">
        <f t="shared" si="14"/>
        <v>0</v>
      </c>
      <c r="CD10" s="45">
        <f t="shared" si="15"/>
        <v>87.276814319821568</v>
      </c>
    </row>
    <row r="11" spans="1:82" ht="14.4" x14ac:dyDescent="0.3">
      <c r="A11" s="5" t="s">
        <v>310</v>
      </c>
      <c r="B11" s="5" t="s">
        <v>236</v>
      </c>
      <c r="C11" s="4" t="s">
        <v>10</v>
      </c>
      <c r="D11" s="27">
        <v>33.4</v>
      </c>
      <c r="E11" s="16" t="s">
        <v>112</v>
      </c>
      <c r="F11" s="17">
        <f t="shared" si="16"/>
        <v>1.4999999999999999E-2</v>
      </c>
      <c r="G11" s="18">
        <f>VLOOKUP(E11,WorkingDB[],2,FALSE)</f>
        <v>0.72099999999999997</v>
      </c>
      <c r="H11" s="19">
        <f>VLOOKUP(E11,WorkingDB[],3,FALSE)</f>
        <v>840</v>
      </c>
      <c r="I11" s="19">
        <f>VLOOKUP(E11,WorkingDB[],4,FALSE)</f>
        <v>1762</v>
      </c>
      <c r="J11" s="5">
        <f>VLOOKUP(E11,WorkingDB[],5,FALSE)</f>
        <v>0</v>
      </c>
      <c r="K11" s="5">
        <f>VLOOKUP(E11,WorkingDB[],6,FALSE)</f>
        <v>0</v>
      </c>
      <c r="L11" s="44">
        <f>VLOOKUP(E11,WorkingDB[],7,FALSE)*F11+VLOOKUP(E11,CostDB[],5,FALSE)</f>
        <v>339.1</v>
      </c>
      <c r="M11" s="16" t="s">
        <v>238</v>
      </c>
      <c r="N11" s="17">
        <f>50/1000</f>
        <v>0.05</v>
      </c>
      <c r="O11" s="18">
        <f>VLOOKUP(M11,WorkingDB[],2,FALSE)</f>
        <v>3.7999999999999999E-2</v>
      </c>
      <c r="P11" s="19">
        <f>VLOOKUP(M11,WorkingDB[],3,FALSE)</f>
        <v>1213</v>
      </c>
      <c r="Q11" s="19">
        <f>VLOOKUP(M11,WorkingDB[],4,FALSE)</f>
        <v>28</v>
      </c>
      <c r="R11" s="5">
        <f>VLOOKUP(M11,WorkingDB[],5,FALSE)</f>
        <v>0</v>
      </c>
      <c r="S11" s="5">
        <f>VLOOKUP(M11,WorkingDB[],6,FALSE)</f>
        <v>0</v>
      </c>
      <c r="T11" s="44">
        <f>VLOOKUP(M11,WorkingDB[],7,FALSE)*N11+VLOOKUP(M11,CostDB[],5,FALSE)</f>
        <v>3011.8</v>
      </c>
      <c r="U11" s="16" t="s">
        <v>91</v>
      </c>
      <c r="V11" s="17">
        <v>0.23</v>
      </c>
      <c r="W11" s="18">
        <f>VLOOKUP(U11,WorkingDB[],2,FALSE)</f>
        <v>0.98</v>
      </c>
      <c r="X11" s="19">
        <f>VLOOKUP(U11,WorkingDB[],3,FALSE)</f>
        <v>800</v>
      </c>
      <c r="Y11" s="19">
        <f>VLOOKUP(U11,WorkingDB[],4,FALSE)</f>
        <v>1920</v>
      </c>
      <c r="Z11" s="5">
        <f>VLOOKUP(U11,WorkingDB[],5,FALSE)</f>
        <v>0</v>
      </c>
      <c r="AA11" s="5">
        <f>VLOOKUP(U11,WorkingDB[],6,FALSE)</f>
        <v>0</v>
      </c>
      <c r="AB11" s="44">
        <f>VLOOKUP(U11,WorkingDB[],7,FALSE)*V11+VLOOKUP(U11,CostDB[],5,FALSE)</f>
        <v>2681.7310000000002</v>
      </c>
      <c r="AC11" s="16" t="s">
        <v>112</v>
      </c>
      <c r="AD11" s="17">
        <f t="shared" si="1"/>
        <v>1.4999999999999999E-2</v>
      </c>
      <c r="AE11" s="18">
        <f>VLOOKUP(AC11,WorkingDB[],2,FALSE)</f>
        <v>0.72099999999999997</v>
      </c>
      <c r="AF11" s="19">
        <f>VLOOKUP(AC11,WorkingDB[],3,FALSE)</f>
        <v>840</v>
      </c>
      <c r="AG11" s="19">
        <f>VLOOKUP(AC11,WorkingDB[],4,FALSE)</f>
        <v>1762</v>
      </c>
      <c r="AH11" s="5">
        <f>VLOOKUP(AC11,WorkingDB[],5,FALSE)</f>
        <v>0</v>
      </c>
      <c r="AI11" s="5">
        <f>VLOOKUP(AC11,WorkingDB[],6,FALSE)</f>
        <v>0</v>
      </c>
      <c r="AJ11" s="44">
        <f>VLOOKUP(AC11,WorkingDB[],7,FALSE)*AD11+VLOOKUP(AC11,CostDB[],5,FALSE)</f>
        <v>339.1</v>
      </c>
      <c r="AK11" s="16" t="s">
        <v>90</v>
      </c>
      <c r="AL11" s="17">
        <v>0</v>
      </c>
      <c r="AM11" s="18">
        <f>VLOOKUP(AK11,WorkingDB[],2,FALSE)</f>
        <v>0</v>
      </c>
      <c r="AN11" s="19">
        <f>VLOOKUP(AK11,WorkingDB[],3,FALSE)</f>
        <v>0</v>
      </c>
      <c r="AO11" s="19">
        <f>VLOOKUP(AK11,WorkingDB[],4,FALSE)</f>
        <v>0</v>
      </c>
      <c r="AP11" s="5">
        <f>VLOOKUP(AK11,WorkingDB[],5,FALSE)</f>
        <v>0</v>
      </c>
      <c r="AQ11" s="5">
        <f>VLOOKUP(AK11,WorkingDB[],6,FALSE)</f>
        <v>0</v>
      </c>
      <c r="AR11" s="44" t="e">
        <f>VLOOKUP(AK11,WorkingDB[],7,FALSE)*AL11+VLOOKUP(AK11,CostDB[],5,FALSE)</f>
        <v>#N/A</v>
      </c>
      <c r="AS11" s="16" t="s">
        <v>90</v>
      </c>
      <c r="AT11" s="17">
        <v>0</v>
      </c>
      <c r="AU11" s="18">
        <f>VLOOKUP(AS11,WorkingDB[],2,FALSE)</f>
        <v>0</v>
      </c>
      <c r="AV11" s="19">
        <f>VLOOKUP(AS11,WorkingDB[],3,FALSE)</f>
        <v>0</v>
      </c>
      <c r="AW11" s="19">
        <f>VLOOKUP(AS11,WorkingDB[],4,FALSE)</f>
        <v>0</v>
      </c>
      <c r="AX11" s="5">
        <f>VLOOKUP(AS11,WorkingDB[],5,FALSE)</f>
        <v>0</v>
      </c>
      <c r="AY11" s="5">
        <f>VLOOKUP(AS11,WorkingDB[],6,FALSE)</f>
        <v>0</v>
      </c>
      <c r="AZ11" s="44" t="e">
        <f>VLOOKUP(AS11,WorkingDB[],7,FALSE)*AT11+VLOOKUP(AS11,CostDB[],5,FALSE)</f>
        <v>#N/A</v>
      </c>
      <c r="BA11" s="27">
        <v>8.35</v>
      </c>
      <c r="BB11" s="20">
        <f t="shared" si="17"/>
        <v>0.31000000000000005</v>
      </c>
      <c r="BC11" s="18">
        <f t="shared" si="18"/>
        <v>0.57412109220427976</v>
      </c>
      <c r="BD11" s="18">
        <f t="shared" si="19"/>
        <v>0.17797753858332677</v>
      </c>
      <c r="BE11" s="19">
        <f t="shared" si="20"/>
        <v>495.86</v>
      </c>
      <c r="BF11" s="19">
        <f t="shared" si="21"/>
        <v>1599.5483870967739</v>
      </c>
      <c r="BG11" s="19">
        <f t="shared" si="22"/>
        <v>399380.60000000003</v>
      </c>
      <c r="BH11" s="19">
        <f t="shared" si="23"/>
        <v>805.43016173920068</v>
      </c>
      <c r="BI11" s="18">
        <f t="shared" si="24"/>
        <v>193.23285115621917</v>
      </c>
      <c r="BJ11" s="22">
        <f t="shared" si="25"/>
        <v>1.3814651227633815E-7</v>
      </c>
      <c r="BK11" s="23">
        <f t="shared" si="26"/>
        <v>4.9732744419481731E-4</v>
      </c>
      <c r="BL11" s="19">
        <f t="shared" si="0"/>
        <v>6371.7310000000007</v>
      </c>
      <c r="BM11" s="18"/>
      <c r="BO11" s="5">
        <v>1</v>
      </c>
      <c r="BP11" s="20">
        <f t="shared" si="2"/>
        <v>592.168308550186</v>
      </c>
      <c r="BR11" s="45">
        <f t="shared" si="3"/>
        <v>22201.200000000001</v>
      </c>
      <c r="BS11" s="45">
        <f t="shared" si="4"/>
        <v>1698.2000000000003</v>
      </c>
      <c r="BT11" s="45">
        <f t="shared" si="5"/>
        <v>353280</v>
      </c>
      <c r="BU11" s="45">
        <f t="shared" si="6"/>
        <v>22201.200000000001</v>
      </c>
      <c r="BV11" s="45">
        <f t="shared" si="7"/>
        <v>0</v>
      </c>
      <c r="BW11" s="45">
        <f t="shared" si="8"/>
        <v>0</v>
      </c>
      <c r="BX11" s="46">
        <f t="shared" si="9"/>
        <v>2.0804438280166437E-2</v>
      </c>
      <c r="BY11" s="46">
        <f t="shared" si="10"/>
        <v>1.3157894736842106</v>
      </c>
      <c r="BZ11" s="46">
        <f t="shared" si="11"/>
        <v>0.23469387755102042</v>
      </c>
      <c r="CA11" s="46">
        <f t="shared" si="12"/>
        <v>2.0804438280166437E-2</v>
      </c>
      <c r="CB11" s="46">
        <f t="shared" si="13"/>
        <v>0</v>
      </c>
      <c r="CC11" s="46">
        <f t="shared" si="14"/>
        <v>0</v>
      </c>
      <c r="CD11" s="45">
        <f t="shared" si="15"/>
        <v>156.14018101397969</v>
      </c>
    </row>
    <row r="12" spans="1:82" ht="14.4" x14ac:dyDescent="0.3">
      <c r="A12" s="5" t="s">
        <v>311</v>
      </c>
      <c r="B12" s="5" t="s">
        <v>240</v>
      </c>
      <c r="C12" s="4" t="s">
        <v>10</v>
      </c>
      <c r="D12" s="27">
        <v>33.4</v>
      </c>
      <c r="E12" s="16" t="s">
        <v>112</v>
      </c>
      <c r="F12" s="17">
        <f t="shared" si="16"/>
        <v>1.4999999999999999E-2</v>
      </c>
      <c r="G12" s="18">
        <f>VLOOKUP(E12,WorkingDB[],2,FALSE)</f>
        <v>0.72099999999999997</v>
      </c>
      <c r="H12" s="19">
        <f>VLOOKUP(E12,WorkingDB[],3,FALSE)</f>
        <v>840</v>
      </c>
      <c r="I12" s="19">
        <f>VLOOKUP(E12,WorkingDB[],4,FALSE)</f>
        <v>1762</v>
      </c>
      <c r="J12" s="5">
        <f>VLOOKUP(E12,WorkingDB[],5,FALSE)</f>
        <v>0</v>
      </c>
      <c r="K12" s="5">
        <f>VLOOKUP(E12,WorkingDB[],6,FALSE)</f>
        <v>0</v>
      </c>
      <c r="L12" s="44">
        <f>VLOOKUP(E12,WorkingDB[],7,FALSE)*F12+VLOOKUP(E12,CostDB[],5,FALSE)</f>
        <v>339.1</v>
      </c>
      <c r="M12" s="16" t="s">
        <v>239</v>
      </c>
      <c r="N12" s="17">
        <f>25/1000</f>
        <v>2.5000000000000001E-2</v>
      </c>
      <c r="O12" s="18">
        <f>VLOOKUP(M12,WorkingDB[],2,FALSE)</f>
        <v>2.5999999999999999E-2</v>
      </c>
      <c r="P12" s="19">
        <f>VLOOKUP(M12,WorkingDB[],3,FALSE)</f>
        <v>1590</v>
      </c>
      <c r="Q12" s="19">
        <f>VLOOKUP(M12,WorkingDB[],4,FALSE)</f>
        <v>40</v>
      </c>
      <c r="R12" s="5">
        <f>VLOOKUP(M12,WorkingDB[],5,FALSE)</f>
        <v>0</v>
      </c>
      <c r="S12" s="5">
        <f>VLOOKUP(M12,WorkingDB[],6,FALSE)</f>
        <v>0</v>
      </c>
      <c r="T12" s="44">
        <f>VLOOKUP(M12,WorkingDB[],7,FALSE)*N12+VLOOKUP(M12,CostDB[],5,FALSE)</f>
        <v>240.625</v>
      </c>
      <c r="U12" s="16" t="s">
        <v>91</v>
      </c>
      <c r="V12" s="17">
        <v>0.23</v>
      </c>
      <c r="W12" s="18">
        <f>VLOOKUP(U12,WorkingDB[],2,FALSE)</f>
        <v>0.98</v>
      </c>
      <c r="X12" s="19">
        <f>VLOOKUP(U12,WorkingDB[],3,FALSE)</f>
        <v>800</v>
      </c>
      <c r="Y12" s="19">
        <f>VLOOKUP(U12,WorkingDB[],4,FALSE)</f>
        <v>1920</v>
      </c>
      <c r="Z12" s="5">
        <f>VLOOKUP(U12,WorkingDB[],5,FALSE)</f>
        <v>0</v>
      </c>
      <c r="AA12" s="5">
        <f>VLOOKUP(U12,WorkingDB[],6,FALSE)</f>
        <v>0</v>
      </c>
      <c r="AB12" s="44">
        <f>VLOOKUP(U12,WorkingDB[],7,FALSE)*V12+VLOOKUP(U12,CostDB[],5,FALSE)</f>
        <v>2681.7310000000002</v>
      </c>
      <c r="AC12" s="16" t="s">
        <v>112</v>
      </c>
      <c r="AD12" s="17">
        <f t="shared" si="1"/>
        <v>1.4999999999999999E-2</v>
      </c>
      <c r="AE12" s="18">
        <f>VLOOKUP(AC12,WorkingDB[],2,FALSE)</f>
        <v>0.72099999999999997</v>
      </c>
      <c r="AF12" s="19">
        <f>VLOOKUP(AC12,WorkingDB[],3,FALSE)</f>
        <v>840</v>
      </c>
      <c r="AG12" s="19">
        <f>VLOOKUP(AC12,WorkingDB[],4,FALSE)</f>
        <v>1762</v>
      </c>
      <c r="AH12" s="5">
        <f>VLOOKUP(AC12,WorkingDB[],5,FALSE)</f>
        <v>0</v>
      </c>
      <c r="AI12" s="5">
        <f>VLOOKUP(AC12,WorkingDB[],6,FALSE)</f>
        <v>0</v>
      </c>
      <c r="AJ12" s="44">
        <f>VLOOKUP(AC12,WorkingDB[],7,FALSE)*AD12+VLOOKUP(AC12,CostDB[],5,FALSE)</f>
        <v>339.1</v>
      </c>
      <c r="AK12" s="16" t="s">
        <v>90</v>
      </c>
      <c r="AL12" s="17">
        <v>0</v>
      </c>
      <c r="AM12" s="18">
        <f>VLOOKUP(AK12,WorkingDB[],2,FALSE)</f>
        <v>0</v>
      </c>
      <c r="AN12" s="19">
        <f>VLOOKUP(AK12,WorkingDB[],3,FALSE)</f>
        <v>0</v>
      </c>
      <c r="AO12" s="19">
        <f>VLOOKUP(AK12,WorkingDB[],4,FALSE)</f>
        <v>0</v>
      </c>
      <c r="AP12" s="5">
        <f>VLOOKUP(AK12,WorkingDB[],5,FALSE)</f>
        <v>0</v>
      </c>
      <c r="AQ12" s="5">
        <f>VLOOKUP(AK12,WorkingDB[],6,FALSE)</f>
        <v>0</v>
      </c>
      <c r="AR12" s="44" t="e">
        <f>VLOOKUP(AK12,WorkingDB[],7,FALSE)*AL12+VLOOKUP(AK12,CostDB[],5,FALSE)</f>
        <v>#N/A</v>
      </c>
      <c r="AS12" s="16" t="s">
        <v>90</v>
      </c>
      <c r="AT12" s="17">
        <v>0</v>
      </c>
      <c r="AU12" s="18">
        <f>VLOOKUP(AS12,WorkingDB[],2,FALSE)</f>
        <v>0</v>
      </c>
      <c r="AV12" s="19">
        <f>VLOOKUP(AS12,WorkingDB[],3,FALSE)</f>
        <v>0</v>
      </c>
      <c r="AW12" s="19">
        <f>VLOOKUP(AS12,WorkingDB[],4,FALSE)</f>
        <v>0</v>
      </c>
      <c r="AX12" s="5">
        <f>VLOOKUP(AS12,WorkingDB[],5,FALSE)</f>
        <v>0</v>
      </c>
      <c r="AY12" s="5">
        <f>VLOOKUP(AS12,WorkingDB[],6,FALSE)</f>
        <v>0</v>
      </c>
      <c r="AZ12" s="44" t="e">
        <f>VLOOKUP(AS12,WorkingDB[],7,FALSE)*AT12+VLOOKUP(AS12,CostDB[],5,FALSE)</f>
        <v>#N/A</v>
      </c>
      <c r="BA12" s="27">
        <v>8.35</v>
      </c>
      <c r="BB12" s="20">
        <f t="shared" si="17"/>
        <v>0.28500000000000003</v>
      </c>
      <c r="BC12" s="18">
        <f t="shared" si="18"/>
        <v>0.72069900134490106</v>
      </c>
      <c r="BD12" s="18">
        <f t="shared" si="19"/>
        <v>0.20539921538329683</v>
      </c>
      <c r="BE12" s="19">
        <f t="shared" si="20"/>
        <v>495.46000000000004</v>
      </c>
      <c r="BF12" s="19">
        <f t="shared" si="21"/>
        <v>1738.4561403508771</v>
      </c>
      <c r="BG12" s="19">
        <f t="shared" si="22"/>
        <v>399272.4</v>
      </c>
      <c r="BH12" s="19">
        <f t="shared" si="23"/>
        <v>805.86202720703989</v>
      </c>
      <c r="BI12" s="18">
        <f t="shared" si="24"/>
        <v>153.89087509908018</v>
      </c>
      <c r="BJ12" s="22">
        <f t="shared" si="25"/>
        <v>1.4661363115567119E-7</v>
      </c>
      <c r="BK12" s="23">
        <f t="shared" si="26"/>
        <v>5.2780907216041627E-4</v>
      </c>
      <c r="BL12" s="19">
        <f t="shared" si="0"/>
        <v>3600.556</v>
      </c>
      <c r="BM12" s="18"/>
      <c r="BO12" s="5">
        <v>1</v>
      </c>
      <c r="BP12" s="20">
        <f t="shared" si="2"/>
        <v>334.62416356877327</v>
      </c>
      <c r="BR12" s="45">
        <f t="shared" si="3"/>
        <v>22201.200000000001</v>
      </c>
      <c r="BS12" s="45">
        <f t="shared" si="4"/>
        <v>1590</v>
      </c>
      <c r="BT12" s="45">
        <f t="shared" si="5"/>
        <v>353280</v>
      </c>
      <c r="BU12" s="45">
        <f t="shared" si="6"/>
        <v>22201.200000000001</v>
      </c>
      <c r="BV12" s="45">
        <f t="shared" si="7"/>
        <v>0</v>
      </c>
      <c r="BW12" s="45">
        <f t="shared" si="8"/>
        <v>0</v>
      </c>
      <c r="BX12" s="46">
        <f t="shared" si="9"/>
        <v>2.0804438280166437E-2</v>
      </c>
      <c r="BY12" s="46">
        <f t="shared" si="10"/>
        <v>0.96153846153846168</v>
      </c>
      <c r="BZ12" s="46">
        <f t="shared" si="11"/>
        <v>0.23469387755102042</v>
      </c>
      <c r="CA12" s="46">
        <f t="shared" si="12"/>
        <v>2.0804438280166437E-2</v>
      </c>
      <c r="CB12" s="46">
        <f t="shared" si="13"/>
        <v>0</v>
      </c>
      <c r="CC12" s="46">
        <f t="shared" si="14"/>
        <v>0</v>
      </c>
      <c r="CD12" s="45">
        <f t="shared" si="15"/>
        <v>119.0921533839623</v>
      </c>
    </row>
    <row r="13" spans="1:82" ht="14.4" x14ac:dyDescent="0.3">
      <c r="A13" s="5" t="s">
        <v>312</v>
      </c>
      <c r="B13" s="5" t="s">
        <v>241</v>
      </c>
      <c r="C13" s="4" t="s">
        <v>10</v>
      </c>
      <c r="D13" s="27">
        <v>33.4</v>
      </c>
      <c r="E13" s="16" t="s">
        <v>112</v>
      </c>
      <c r="F13" s="17">
        <f t="shared" si="16"/>
        <v>1.4999999999999999E-2</v>
      </c>
      <c r="G13" s="18">
        <f>VLOOKUP(E13,WorkingDB[],2,FALSE)</f>
        <v>0.72099999999999997</v>
      </c>
      <c r="H13" s="19">
        <f>VLOOKUP(E13,WorkingDB[],3,FALSE)</f>
        <v>840</v>
      </c>
      <c r="I13" s="19">
        <f>VLOOKUP(E13,WorkingDB[],4,FALSE)</f>
        <v>1762</v>
      </c>
      <c r="J13" s="5">
        <f>VLOOKUP(E13,WorkingDB[],5,FALSE)</f>
        <v>0</v>
      </c>
      <c r="K13" s="5">
        <f>VLOOKUP(E13,WorkingDB[],6,FALSE)</f>
        <v>0</v>
      </c>
      <c r="L13" s="44">
        <f>VLOOKUP(E13,WorkingDB[],7,FALSE)*F13+VLOOKUP(E13,CostDB[],5,FALSE)</f>
        <v>339.1</v>
      </c>
      <c r="M13" s="16" t="s">
        <v>239</v>
      </c>
      <c r="N13" s="17">
        <f>50/1000</f>
        <v>0.05</v>
      </c>
      <c r="O13" s="18">
        <f>VLOOKUP(M13,WorkingDB[],2,FALSE)</f>
        <v>2.5999999999999999E-2</v>
      </c>
      <c r="P13" s="19">
        <f>VLOOKUP(M13,WorkingDB[],3,FALSE)</f>
        <v>1590</v>
      </c>
      <c r="Q13" s="19">
        <f>VLOOKUP(M13,WorkingDB[],4,FALSE)</f>
        <v>40</v>
      </c>
      <c r="R13" s="5">
        <f>VLOOKUP(M13,WorkingDB[],5,FALSE)</f>
        <v>0</v>
      </c>
      <c r="S13" s="5">
        <f>VLOOKUP(M13,WorkingDB[],6,FALSE)</f>
        <v>0</v>
      </c>
      <c r="T13" s="44">
        <f>VLOOKUP(M13,WorkingDB[],7,FALSE)*N13+VLOOKUP(M13,CostDB[],5,FALSE)</f>
        <v>481.25</v>
      </c>
      <c r="U13" s="16" t="s">
        <v>91</v>
      </c>
      <c r="V13" s="17">
        <v>0.23</v>
      </c>
      <c r="W13" s="18">
        <f>VLOOKUP(U13,WorkingDB[],2,FALSE)</f>
        <v>0.98</v>
      </c>
      <c r="X13" s="19">
        <f>VLOOKUP(U13,WorkingDB[],3,FALSE)</f>
        <v>800</v>
      </c>
      <c r="Y13" s="19">
        <f>VLOOKUP(U13,WorkingDB[],4,FALSE)</f>
        <v>1920</v>
      </c>
      <c r="Z13" s="5">
        <f>VLOOKUP(U13,WorkingDB[],5,FALSE)</f>
        <v>0</v>
      </c>
      <c r="AA13" s="5">
        <f>VLOOKUP(U13,WorkingDB[],6,FALSE)</f>
        <v>0</v>
      </c>
      <c r="AB13" s="44">
        <f>VLOOKUP(U13,WorkingDB[],7,FALSE)*V13+VLOOKUP(U13,CostDB[],5,FALSE)</f>
        <v>2681.7310000000002</v>
      </c>
      <c r="AC13" s="16" t="s">
        <v>112</v>
      </c>
      <c r="AD13" s="17">
        <f t="shared" si="1"/>
        <v>1.4999999999999999E-2</v>
      </c>
      <c r="AE13" s="18">
        <f>VLOOKUP(AC13,WorkingDB[],2,FALSE)</f>
        <v>0.72099999999999997</v>
      </c>
      <c r="AF13" s="19">
        <f>VLOOKUP(AC13,WorkingDB[],3,FALSE)</f>
        <v>840</v>
      </c>
      <c r="AG13" s="19">
        <f>VLOOKUP(AC13,WorkingDB[],4,FALSE)</f>
        <v>1762</v>
      </c>
      <c r="AH13" s="5">
        <f>VLOOKUP(AC13,WorkingDB[],5,FALSE)</f>
        <v>0</v>
      </c>
      <c r="AI13" s="5">
        <f>VLOOKUP(AC13,WorkingDB[],6,FALSE)</f>
        <v>0</v>
      </c>
      <c r="AJ13" s="44">
        <f>VLOOKUP(AC13,WorkingDB[],7,FALSE)*AD13+VLOOKUP(AC13,CostDB[],5,FALSE)</f>
        <v>339.1</v>
      </c>
      <c r="AK13" s="16" t="s">
        <v>90</v>
      </c>
      <c r="AL13" s="17">
        <v>0</v>
      </c>
      <c r="AM13" s="18">
        <f>VLOOKUP(AK13,WorkingDB[],2,FALSE)</f>
        <v>0</v>
      </c>
      <c r="AN13" s="19">
        <f>VLOOKUP(AK13,WorkingDB[],3,FALSE)</f>
        <v>0</v>
      </c>
      <c r="AO13" s="19">
        <f>VLOOKUP(AK13,WorkingDB[],4,FALSE)</f>
        <v>0</v>
      </c>
      <c r="AP13" s="5">
        <f>VLOOKUP(AK13,WorkingDB[],5,FALSE)</f>
        <v>0</v>
      </c>
      <c r="AQ13" s="5">
        <f>VLOOKUP(AK13,WorkingDB[],6,FALSE)</f>
        <v>0</v>
      </c>
      <c r="AR13" s="44" t="e">
        <f>VLOOKUP(AK13,WorkingDB[],7,FALSE)*AL13+VLOOKUP(AK13,CostDB[],5,FALSE)</f>
        <v>#N/A</v>
      </c>
      <c r="AS13" s="16" t="s">
        <v>90</v>
      </c>
      <c r="AT13" s="17">
        <v>0</v>
      </c>
      <c r="AU13" s="18">
        <f>VLOOKUP(AS13,WorkingDB[],2,FALSE)</f>
        <v>0</v>
      </c>
      <c r="AV13" s="19">
        <f>VLOOKUP(AS13,WorkingDB[],3,FALSE)</f>
        <v>0</v>
      </c>
      <c r="AW13" s="19">
        <f>VLOOKUP(AS13,WorkingDB[],4,FALSE)</f>
        <v>0</v>
      </c>
      <c r="AX13" s="5">
        <f>VLOOKUP(AS13,WorkingDB[],5,FALSE)</f>
        <v>0</v>
      </c>
      <c r="AY13" s="5">
        <f>VLOOKUP(AS13,WorkingDB[],6,FALSE)</f>
        <v>0</v>
      </c>
      <c r="AZ13" s="44" t="e">
        <f>VLOOKUP(AS13,WorkingDB[],7,FALSE)*AT13+VLOOKUP(AS13,CostDB[],5,FALSE)</f>
        <v>#N/A</v>
      </c>
      <c r="BA13" s="27">
        <v>8.35</v>
      </c>
      <c r="BB13" s="20">
        <f t="shared" si="17"/>
        <v>0.31000000000000005</v>
      </c>
      <c r="BC13" s="18">
        <f t="shared" si="18"/>
        <v>0.4256985213407713</v>
      </c>
      <c r="BD13" s="18">
        <f t="shared" si="19"/>
        <v>0.13196654161563912</v>
      </c>
      <c r="BE13" s="19">
        <f t="shared" si="20"/>
        <v>496.46000000000004</v>
      </c>
      <c r="BF13" s="19">
        <f t="shared" si="21"/>
        <v>1601.4838709677417</v>
      </c>
      <c r="BG13" s="19">
        <f t="shared" si="22"/>
        <v>400862.4</v>
      </c>
      <c r="BH13" s="19">
        <f t="shared" si="23"/>
        <v>807.44148571888968</v>
      </c>
      <c r="BI13" s="18">
        <f t="shared" si="24"/>
        <v>261.57165478507864</v>
      </c>
      <c r="BJ13" s="22">
        <f t="shared" si="25"/>
        <v>1.020540412392086E-7</v>
      </c>
      <c r="BK13" s="23">
        <f t="shared" si="26"/>
        <v>3.6739454846115095E-4</v>
      </c>
      <c r="BL13" s="19">
        <f t="shared" si="0"/>
        <v>3841.181</v>
      </c>
      <c r="BM13" s="18"/>
      <c r="BO13" s="5">
        <v>1</v>
      </c>
      <c r="BP13" s="20">
        <f t="shared" si="2"/>
        <v>356.98708178438665</v>
      </c>
      <c r="BR13" s="45">
        <f t="shared" si="3"/>
        <v>22201.200000000001</v>
      </c>
      <c r="BS13" s="45">
        <f t="shared" si="4"/>
        <v>3180</v>
      </c>
      <c r="BT13" s="45">
        <f t="shared" si="5"/>
        <v>353280</v>
      </c>
      <c r="BU13" s="45">
        <f t="shared" si="6"/>
        <v>22201.200000000001</v>
      </c>
      <c r="BV13" s="45">
        <f t="shared" si="7"/>
        <v>0</v>
      </c>
      <c r="BW13" s="45">
        <f t="shared" si="8"/>
        <v>0</v>
      </c>
      <c r="BX13" s="46">
        <f t="shared" si="9"/>
        <v>2.0804438280166437E-2</v>
      </c>
      <c r="BY13" s="46">
        <f t="shared" si="10"/>
        <v>1.9230769230769234</v>
      </c>
      <c r="BZ13" s="46">
        <f t="shared" si="11"/>
        <v>0.23469387755102042</v>
      </c>
      <c r="CA13" s="46">
        <f t="shared" si="12"/>
        <v>2.0804438280166437E-2</v>
      </c>
      <c r="CB13" s="46">
        <f t="shared" si="13"/>
        <v>0</v>
      </c>
      <c r="CC13" s="46">
        <f t="shared" si="14"/>
        <v>0</v>
      </c>
      <c r="CD13" s="45">
        <f t="shared" si="15"/>
        <v>220.04036684581493</v>
      </c>
    </row>
    <row r="14" spans="1:82" ht="14.4" x14ac:dyDescent="0.3">
      <c r="A14" s="5" t="s">
        <v>313</v>
      </c>
      <c r="B14" s="5" t="s">
        <v>292</v>
      </c>
      <c r="C14" s="4" t="s">
        <v>10</v>
      </c>
      <c r="D14" s="27">
        <v>33.4</v>
      </c>
      <c r="E14" s="16" t="s">
        <v>112</v>
      </c>
      <c r="F14" s="17">
        <f t="shared" si="16"/>
        <v>1.4999999999999999E-2</v>
      </c>
      <c r="G14" s="18">
        <f>VLOOKUP(E14,WorkingDB[],2,FALSE)</f>
        <v>0.72099999999999997</v>
      </c>
      <c r="H14" s="19">
        <f>VLOOKUP(E14,WorkingDB[],3,FALSE)</f>
        <v>840</v>
      </c>
      <c r="I14" s="19">
        <f>VLOOKUP(E14,WorkingDB[],4,FALSE)</f>
        <v>1762</v>
      </c>
      <c r="J14" s="5">
        <f>VLOOKUP(E14,WorkingDB[],5,FALSE)</f>
        <v>0</v>
      </c>
      <c r="K14" s="5">
        <f>VLOOKUP(E14,WorkingDB[],6,FALSE)</f>
        <v>0</v>
      </c>
      <c r="L14" s="44">
        <f>VLOOKUP(E14,WorkingDB[],7,FALSE)*F14+VLOOKUP(E14,CostDB[],5,FALSE)</f>
        <v>339.1</v>
      </c>
      <c r="M14" s="16" t="s">
        <v>105</v>
      </c>
      <c r="N14" s="17">
        <v>0.3</v>
      </c>
      <c r="O14" s="18">
        <f>VLOOKUP(M14,WorkingDB[],2,FALSE)</f>
        <v>0.184</v>
      </c>
      <c r="P14" s="19">
        <f>VLOOKUP(M14,WorkingDB[],3,FALSE)</f>
        <v>1240</v>
      </c>
      <c r="Q14" s="19">
        <f>VLOOKUP(M14,WorkingDB[],4,FALSE)</f>
        <v>642</v>
      </c>
      <c r="R14" s="5">
        <f>VLOOKUP(M14,WorkingDB[],5,FALSE)</f>
        <v>0</v>
      </c>
      <c r="S14" s="5">
        <f>VLOOKUP(M14,WorkingDB[],6,FALSE)</f>
        <v>0</v>
      </c>
      <c r="T14" s="44">
        <f>VLOOKUP(M14,WorkingDB[],7,FALSE)*N14+VLOOKUP(M14,CostDB[],5,FALSE)</f>
        <v>2164.0499999999997</v>
      </c>
      <c r="U14" s="16" t="s">
        <v>112</v>
      </c>
      <c r="V14" s="17">
        <v>1.4999999999999999E-2</v>
      </c>
      <c r="W14" s="18">
        <f>VLOOKUP(U14,WorkingDB[],2,FALSE)</f>
        <v>0.72099999999999997</v>
      </c>
      <c r="X14" s="19">
        <f>VLOOKUP(U14,WorkingDB[],3,FALSE)</f>
        <v>840</v>
      </c>
      <c r="Y14" s="19">
        <f>VLOOKUP(U14,WorkingDB[],4,FALSE)</f>
        <v>1762</v>
      </c>
      <c r="Z14" s="5">
        <f>VLOOKUP(U14,WorkingDB[],5,FALSE)</f>
        <v>0</v>
      </c>
      <c r="AA14" s="5">
        <f>VLOOKUP(U14,WorkingDB[],6,FALSE)</f>
        <v>0</v>
      </c>
      <c r="AB14" s="44">
        <f>VLOOKUP(U14,WorkingDB[],7,FALSE)*V14+VLOOKUP(U14,CostDB[],5,FALSE)</f>
        <v>339.1</v>
      </c>
      <c r="AC14" s="16" t="s">
        <v>90</v>
      </c>
      <c r="AD14" s="17">
        <v>0</v>
      </c>
      <c r="AE14" s="18">
        <f>VLOOKUP(AC14,WorkingDB[],2,FALSE)</f>
        <v>0</v>
      </c>
      <c r="AF14" s="19">
        <f>VLOOKUP(AC14,WorkingDB[],3,FALSE)</f>
        <v>0</v>
      </c>
      <c r="AG14" s="19">
        <f>VLOOKUP(AC14,WorkingDB[],4,FALSE)</f>
        <v>0</v>
      </c>
      <c r="AH14" s="5">
        <f>VLOOKUP(AC14,WorkingDB[],5,FALSE)</f>
        <v>0</v>
      </c>
      <c r="AI14" s="5">
        <f>VLOOKUP(AC14,WorkingDB[],6,FALSE)</f>
        <v>0</v>
      </c>
      <c r="AJ14" s="44" t="e">
        <f>VLOOKUP(AC14,WorkingDB[],7,FALSE)*AD14+VLOOKUP(AC14,CostDB[],5,FALSE)</f>
        <v>#N/A</v>
      </c>
      <c r="AK14" s="16" t="s">
        <v>90</v>
      </c>
      <c r="AL14" s="17">
        <v>0</v>
      </c>
      <c r="AM14" s="18">
        <f>VLOOKUP(AK14,WorkingDB[],2,FALSE)</f>
        <v>0</v>
      </c>
      <c r="AN14" s="19">
        <f>VLOOKUP(AK14,WorkingDB[],3,FALSE)</f>
        <v>0</v>
      </c>
      <c r="AO14" s="19">
        <f>VLOOKUP(AK14,WorkingDB[],4,FALSE)</f>
        <v>0</v>
      </c>
      <c r="AP14" s="5">
        <f>VLOOKUP(AK14,WorkingDB[],5,FALSE)</f>
        <v>0</v>
      </c>
      <c r="AQ14" s="5">
        <f>VLOOKUP(AK14,WorkingDB[],6,FALSE)</f>
        <v>0</v>
      </c>
      <c r="AR14" s="44" t="e">
        <f>VLOOKUP(AK14,WorkingDB[],7,FALSE)*AL14+VLOOKUP(AK14,CostDB[],5,FALSE)</f>
        <v>#N/A</v>
      </c>
      <c r="AS14" s="16" t="s">
        <v>90</v>
      </c>
      <c r="AT14" s="17">
        <v>0</v>
      </c>
      <c r="AU14" s="18">
        <f>VLOOKUP(AS14,WorkingDB[],2,FALSE)</f>
        <v>0</v>
      </c>
      <c r="AV14" s="19">
        <f>VLOOKUP(AS14,WorkingDB[],3,FALSE)</f>
        <v>0</v>
      </c>
      <c r="AW14" s="19">
        <f>VLOOKUP(AS14,WorkingDB[],4,FALSE)</f>
        <v>0</v>
      </c>
      <c r="AX14" s="5">
        <f>VLOOKUP(AS14,WorkingDB[],5,FALSE)</f>
        <v>0</v>
      </c>
      <c r="AY14" s="5">
        <f>VLOOKUP(AS14,WorkingDB[],6,FALSE)</f>
        <v>0</v>
      </c>
      <c r="AZ14" s="44" t="e">
        <f>VLOOKUP(AS14,WorkingDB[],7,FALSE)*AT14+VLOOKUP(AS14,CostDB[],5,FALSE)</f>
        <v>#N/A</v>
      </c>
      <c r="BA14" s="27">
        <v>8.35</v>
      </c>
      <c r="BB14" s="20">
        <f>F14+N14+V14+AD14+AL14+AT14</f>
        <v>0.33</v>
      </c>
      <c r="BC14" s="18">
        <f>1/(1/D14+IF(E14&lt;&gt;"NA",F14/G14,0)+IF(M14&lt;&gt;"NA",N14/O14,0)+IF(U14&lt;&gt;"NA",V14/W14,0)+IF(AC14&lt;&gt;"NA",AD14/AE14,0)+IF(AK14&lt;&gt;"NA",AL14/AM14,0)+IF(AS14&lt;&gt;"NA",AT14/AU14,0)+1/BA14)</f>
        <v>0.54892446929600058</v>
      </c>
      <c r="BD14" s="18">
        <f>BC14*BB14</f>
        <v>0.18114507486768019</v>
      </c>
      <c r="BE14" s="19">
        <f>IF(E14&lt;&gt;"NA",F14*I14,0)+IF(M14&lt;&gt;"NA",N14*Q14,0)+IF(U14&lt;&gt;"NA",V14*Y14,0)+IF(AC14&lt;&gt;"NA",AD14*AG14,0)+IF(AK14&lt;&gt;"NA",AL14*AO14,0)+IF(AS14&lt;&gt;"NA",AT14*AW14,0)</f>
        <v>245.46</v>
      </c>
      <c r="BF14" s="19">
        <f>BE14/BB14</f>
        <v>743.81818181818176</v>
      </c>
      <c r="BG14" s="19">
        <f>IF(E14&lt;&gt;"NA",F14*H14*I14,0)+IF(M14&lt;&gt;"NA",N14*P14*Q14,0)+IF(U14&lt;&gt;"NA",V14*X14*Y14,0)+IF(AC14&lt;&gt;"NA",AD14*AF14*AG14,0)+IF(AK14&lt;&gt;"NA",AL14*AN14*AO14,0)+IF(AS14&lt;&gt;"NA",AT14*AV14*AW14,0)</f>
        <v>283226.40000000002</v>
      </c>
      <c r="BH14" s="19">
        <f>BG14/BE14</f>
        <v>1153.8596920068444</v>
      </c>
      <c r="BI14" s="18">
        <f>((BH14)*BF14*BB14*(1/BC14))/3600</f>
        <v>143.32390775164379</v>
      </c>
      <c r="BJ14" s="22">
        <f>BD14/(BH14*BF14)</f>
        <v>2.1106039093225229E-7</v>
      </c>
      <c r="BK14" s="23">
        <f>BJ14*3600</f>
        <v>7.5981740735610824E-4</v>
      </c>
      <c r="BL14" s="19">
        <f t="shared" si="0"/>
        <v>2842.2499999999995</v>
      </c>
      <c r="BM14" s="18"/>
      <c r="BO14" s="5">
        <v>1</v>
      </c>
      <c r="BP14" s="20">
        <f t="shared" si="2"/>
        <v>264.14962825278809</v>
      </c>
      <c r="BR14" s="45">
        <f t="shared" si="3"/>
        <v>22201.200000000001</v>
      </c>
      <c r="BS14" s="45">
        <f t="shared" si="4"/>
        <v>238824</v>
      </c>
      <c r="BT14" s="45">
        <f t="shared" si="5"/>
        <v>22201.200000000001</v>
      </c>
      <c r="BU14" s="45">
        <f t="shared" si="6"/>
        <v>0</v>
      </c>
      <c r="BV14" s="45">
        <f t="shared" si="7"/>
        <v>0</v>
      </c>
      <c r="BW14" s="45">
        <f t="shared" si="8"/>
        <v>0</v>
      </c>
      <c r="BX14" s="46">
        <f t="shared" si="9"/>
        <v>2.0804438280166437E-2</v>
      </c>
      <c r="BY14" s="46">
        <f t="shared" si="10"/>
        <v>1.6304347826086956</v>
      </c>
      <c r="BZ14" s="46">
        <f t="shared" si="11"/>
        <v>2.0804438280166437E-2</v>
      </c>
      <c r="CA14" s="46">
        <f t="shared" si="12"/>
        <v>0</v>
      </c>
      <c r="CB14" s="46">
        <f t="shared" si="13"/>
        <v>0</v>
      </c>
      <c r="CC14" s="46">
        <f t="shared" si="14"/>
        <v>0</v>
      </c>
      <c r="CD14" s="45">
        <f t="shared" si="15"/>
        <v>68.128690402768001</v>
      </c>
    </row>
    <row r="15" spans="1:82" ht="14.4" x14ac:dyDescent="0.3">
      <c r="A15" s="5" t="s">
        <v>314</v>
      </c>
      <c r="B15" s="5" t="s">
        <v>242</v>
      </c>
      <c r="C15" s="4" t="s">
        <v>10</v>
      </c>
      <c r="D15" s="27">
        <v>33.4</v>
      </c>
      <c r="E15" s="16" t="s">
        <v>112</v>
      </c>
      <c r="F15" s="17">
        <f t="shared" si="16"/>
        <v>1.4999999999999999E-2</v>
      </c>
      <c r="G15" s="18">
        <f>VLOOKUP(E15,WorkingDB[],2,FALSE)</f>
        <v>0.72099999999999997</v>
      </c>
      <c r="H15" s="19">
        <f>VLOOKUP(E15,WorkingDB[],3,FALSE)</f>
        <v>840</v>
      </c>
      <c r="I15" s="19">
        <f>VLOOKUP(E15,WorkingDB[],4,FALSE)</f>
        <v>1762</v>
      </c>
      <c r="J15" s="5">
        <f>VLOOKUP(E15,WorkingDB[],5,FALSE)</f>
        <v>0</v>
      </c>
      <c r="K15" s="5">
        <f>VLOOKUP(E15,WorkingDB[],6,FALSE)</f>
        <v>0</v>
      </c>
      <c r="L15" s="44">
        <f>VLOOKUP(E15,WorkingDB[],7,FALSE)*F15+VLOOKUP(E15,CostDB[],5,FALSE)</f>
        <v>339.1</v>
      </c>
      <c r="M15" s="16" t="s">
        <v>105</v>
      </c>
      <c r="N15" s="17">
        <v>0.2</v>
      </c>
      <c r="O15" s="18">
        <f>VLOOKUP(M15,WorkingDB[],2,FALSE)</f>
        <v>0.184</v>
      </c>
      <c r="P15" s="19">
        <f>VLOOKUP(M15,WorkingDB[],3,FALSE)</f>
        <v>1240</v>
      </c>
      <c r="Q15" s="19">
        <f>VLOOKUP(M15,WorkingDB[],4,FALSE)</f>
        <v>642</v>
      </c>
      <c r="R15" s="5">
        <f>VLOOKUP(M15,WorkingDB[],5,FALSE)</f>
        <v>0</v>
      </c>
      <c r="S15" s="5">
        <f>VLOOKUP(M15,WorkingDB[],6,FALSE)</f>
        <v>0</v>
      </c>
      <c r="T15" s="44">
        <f>VLOOKUP(M15,WorkingDB[],7,FALSE)*N15+VLOOKUP(M15,CostDB[],5,FALSE)</f>
        <v>1442.7</v>
      </c>
      <c r="U15" s="16" t="s">
        <v>112</v>
      </c>
      <c r="V15" s="17">
        <v>1.4999999999999999E-2</v>
      </c>
      <c r="W15" s="18">
        <f>VLOOKUP(U15,WorkingDB[],2,FALSE)</f>
        <v>0.72099999999999997</v>
      </c>
      <c r="X15" s="19">
        <f>VLOOKUP(U15,WorkingDB[],3,FALSE)</f>
        <v>840</v>
      </c>
      <c r="Y15" s="19">
        <f>VLOOKUP(U15,WorkingDB[],4,FALSE)</f>
        <v>1762</v>
      </c>
      <c r="Z15" s="5">
        <f>VLOOKUP(U15,WorkingDB[],5,FALSE)</f>
        <v>0</v>
      </c>
      <c r="AA15" s="5">
        <f>VLOOKUP(U15,WorkingDB[],6,FALSE)</f>
        <v>0</v>
      </c>
      <c r="AB15" s="44">
        <f>VLOOKUP(U15,WorkingDB[],7,FALSE)*V15+VLOOKUP(U15,CostDB[],5,FALSE)</f>
        <v>339.1</v>
      </c>
      <c r="AC15" s="16" t="s">
        <v>90</v>
      </c>
      <c r="AD15" s="17">
        <v>0</v>
      </c>
      <c r="AE15" s="18">
        <f>VLOOKUP(AC15,WorkingDB[],2,FALSE)</f>
        <v>0</v>
      </c>
      <c r="AF15" s="19">
        <f>VLOOKUP(AC15,WorkingDB[],3,FALSE)</f>
        <v>0</v>
      </c>
      <c r="AG15" s="19">
        <f>VLOOKUP(AC15,WorkingDB[],4,FALSE)</f>
        <v>0</v>
      </c>
      <c r="AH15" s="5">
        <f>VLOOKUP(AC15,WorkingDB[],5,FALSE)</f>
        <v>0</v>
      </c>
      <c r="AI15" s="5">
        <f>VLOOKUP(AC15,WorkingDB[],6,FALSE)</f>
        <v>0</v>
      </c>
      <c r="AJ15" s="44" t="e">
        <f>VLOOKUP(AC15,WorkingDB[],7,FALSE)*AD15+VLOOKUP(AC15,CostDB[],5,FALSE)</f>
        <v>#N/A</v>
      </c>
      <c r="AK15" s="16" t="s">
        <v>90</v>
      </c>
      <c r="AL15" s="17">
        <v>0</v>
      </c>
      <c r="AM15" s="18">
        <f>VLOOKUP(AK15,WorkingDB[],2,FALSE)</f>
        <v>0</v>
      </c>
      <c r="AN15" s="19">
        <f>VLOOKUP(AK15,WorkingDB[],3,FALSE)</f>
        <v>0</v>
      </c>
      <c r="AO15" s="19">
        <f>VLOOKUP(AK15,WorkingDB[],4,FALSE)</f>
        <v>0</v>
      </c>
      <c r="AP15" s="5">
        <f>VLOOKUP(AK15,WorkingDB[],5,FALSE)</f>
        <v>0</v>
      </c>
      <c r="AQ15" s="5">
        <f>VLOOKUP(AK15,WorkingDB[],6,FALSE)</f>
        <v>0</v>
      </c>
      <c r="AR15" s="44" t="e">
        <f>VLOOKUP(AK15,WorkingDB[],7,FALSE)*AL15+VLOOKUP(AK15,CostDB[],5,FALSE)</f>
        <v>#N/A</v>
      </c>
      <c r="AS15" s="16" t="s">
        <v>90</v>
      </c>
      <c r="AT15" s="17">
        <v>0</v>
      </c>
      <c r="AU15" s="18">
        <f>VLOOKUP(AS15,WorkingDB[],2,FALSE)</f>
        <v>0</v>
      </c>
      <c r="AV15" s="19">
        <f>VLOOKUP(AS15,WorkingDB[],3,FALSE)</f>
        <v>0</v>
      </c>
      <c r="AW15" s="19">
        <f>VLOOKUP(AS15,WorkingDB[],4,FALSE)</f>
        <v>0</v>
      </c>
      <c r="AX15" s="5">
        <f>VLOOKUP(AS15,WorkingDB[],5,FALSE)</f>
        <v>0</v>
      </c>
      <c r="AY15" s="5">
        <f>VLOOKUP(AS15,WorkingDB[],6,FALSE)</f>
        <v>0</v>
      </c>
      <c r="AZ15" s="44" t="e">
        <f>VLOOKUP(AS15,WorkingDB[],7,FALSE)*AT15+VLOOKUP(AS15,CostDB[],5,FALSE)</f>
        <v>#N/A</v>
      </c>
      <c r="BA15" s="27">
        <v>8.35</v>
      </c>
      <c r="BB15" s="20">
        <f t="shared" si="17"/>
        <v>0.23000000000000004</v>
      </c>
      <c r="BC15" s="18">
        <f t="shared" si="18"/>
        <v>0.78230978706094378</v>
      </c>
      <c r="BD15" s="18">
        <f t="shared" si="19"/>
        <v>0.17993125102401711</v>
      </c>
      <c r="BE15" s="19">
        <f t="shared" si="20"/>
        <v>181.26000000000002</v>
      </c>
      <c r="BF15" s="19">
        <f t="shared" si="21"/>
        <v>788.08695652173913</v>
      </c>
      <c r="BG15" s="19">
        <f t="shared" si="22"/>
        <v>203618.40000000002</v>
      </c>
      <c r="BH15" s="19">
        <f t="shared" si="23"/>
        <v>1123.3498841443231</v>
      </c>
      <c r="BI15" s="18">
        <f t="shared" si="24"/>
        <v>72.299576973412542</v>
      </c>
      <c r="BJ15" s="22">
        <f t="shared" si="25"/>
        <v>2.0324385092665463E-7</v>
      </c>
      <c r="BK15" s="23">
        <f t="shared" si="26"/>
        <v>7.3167786333595667E-4</v>
      </c>
      <c r="BL15" s="19">
        <f t="shared" si="0"/>
        <v>2120.9</v>
      </c>
      <c r="BM15" s="18"/>
      <c r="BO15" s="5">
        <v>1</v>
      </c>
      <c r="BP15" s="20">
        <f t="shared" si="2"/>
        <v>197.1096654275093</v>
      </c>
      <c r="BR15" s="45">
        <f t="shared" si="3"/>
        <v>22201.200000000001</v>
      </c>
      <c r="BS15" s="45">
        <f t="shared" si="4"/>
        <v>159216</v>
      </c>
      <c r="BT15" s="45">
        <f t="shared" si="5"/>
        <v>22201.200000000001</v>
      </c>
      <c r="BU15" s="45">
        <f t="shared" si="6"/>
        <v>0</v>
      </c>
      <c r="BV15" s="45">
        <f t="shared" si="7"/>
        <v>0</v>
      </c>
      <c r="BW15" s="45">
        <f t="shared" si="8"/>
        <v>0</v>
      </c>
      <c r="BX15" s="46">
        <f t="shared" si="9"/>
        <v>2.0804438280166437E-2</v>
      </c>
      <c r="BY15" s="46">
        <f t="shared" si="10"/>
        <v>1.0869565217391306</v>
      </c>
      <c r="BZ15" s="46">
        <f t="shared" si="11"/>
        <v>2.0804438280166437E-2</v>
      </c>
      <c r="CA15" s="46">
        <f t="shared" si="12"/>
        <v>0</v>
      </c>
      <c r="CB15" s="46">
        <f t="shared" si="13"/>
        <v>0</v>
      </c>
      <c r="CC15" s="46">
        <f t="shared" si="14"/>
        <v>0</v>
      </c>
      <c r="CD15" s="45">
        <f t="shared" si="15"/>
        <v>33.60963878610746</v>
      </c>
    </row>
    <row r="16" spans="1:82" ht="14.4" x14ac:dyDescent="0.3">
      <c r="A16" s="5" t="s">
        <v>315</v>
      </c>
      <c r="B16" s="5" t="s">
        <v>243</v>
      </c>
      <c r="C16" s="4" t="s">
        <v>10</v>
      </c>
      <c r="D16" s="27">
        <v>33.4</v>
      </c>
      <c r="E16" s="16" t="s">
        <v>112</v>
      </c>
      <c r="F16" s="17">
        <f t="shared" si="16"/>
        <v>1.4999999999999999E-2</v>
      </c>
      <c r="G16" s="18">
        <f>VLOOKUP(E16,WorkingDB[],2,FALSE)</f>
        <v>0.72099999999999997</v>
      </c>
      <c r="H16" s="19">
        <f>VLOOKUP(E16,WorkingDB[],3,FALSE)</f>
        <v>840</v>
      </c>
      <c r="I16" s="19">
        <f>VLOOKUP(E16,WorkingDB[],4,FALSE)</f>
        <v>1762</v>
      </c>
      <c r="J16" s="5">
        <f>VLOOKUP(E16,WorkingDB[],5,FALSE)</f>
        <v>0</v>
      </c>
      <c r="K16" s="5">
        <f>VLOOKUP(E16,WorkingDB[],6,FALSE)</f>
        <v>0</v>
      </c>
      <c r="L16" s="44">
        <f>VLOOKUP(E16,WorkingDB[],7,FALSE)*F16+VLOOKUP(E16,CostDB[],5,FALSE)</f>
        <v>339.1</v>
      </c>
      <c r="M16" s="16" t="s">
        <v>237</v>
      </c>
      <c r="N16" s="17">
        <f>25/1000</f>
        <v>2.5000000000000001E-2</v>
      </c>
      <c r="O16" s="18">
        <f>VLOOKUP(M16,WorkingDB[],2,FALSE)</f>
        <v>2.8000000000000001E-2</v>
      </c>
      <c r="P16" s="19">
        <f>VLOOKUP(M16,WorkingDB[],3,FALSE)</f>
        <v>1213</v>
      </c>
      <c r="Q16" s="19">
        <f>VLOOKUP(M16,WorkingDB[],4,FALSE)</f>
        <v>35</v>
      </c>
      <c r="R16" s="5">
        <f>VLOOKUP(M16,WorkingDB[],5,FALSE)</f>
        <v>0</v>
      </c>
      <c r="S16" s="5">
        <f>VLOOKUP(M16,WorkingDB[],6,FALSE)</f>
        <v>0</v>
      </c>
      <c r="T16" s="44">
        <f>VLOOKUP(M16,WorkingDB[],7,FALSE)*N16+VLOOKUP(M16,CostDB[],5,FALSE)</f>
        <v>575.65</v>
      </c>
      <c r="U16" s="16" t="s">
        <v>105</v>
      </c>
      <c r="V16" s="17">
        <v>0.2</v>
      </c>
      <c r="W16" s="18">
        <f>VLOOKUP(U16,WorkingDB[],2,FALSE)</f>
        <v>0.184</v>
      </c>
      <c r="X16" s="19">
        <f>VLOOKUP(U16,WorkingDB[],3,FALSE)</f>
        <v>1240</v>
      </c>
      <c r="Y16" s="19">
        <f>VLOOKUP(U16,WorkingDB[],4,FALSE)</f>
        <v>642</v>
      </c>
      <c r="Z16" s="5">
        <f>VLOOKUP(U16,WorkingDB[],5,FALSE)</f>
        <v>0</v>
      </c>
      <c r="AA16" s="5">
        <f>VLOOKUP(U16,WorkingDB[],6,FALSE)</f>
        <v>0</v>
      </c>
      <c r="AB16" s="44">
        <f>VLOOKUP(U16,WorkingDB[],7,FALSE)*V16+VLOOKUP(U16,CostDB[],5,FALSE)</f>
        <v>1442.7</v>
      </c>
      <c r="AC16" s="16" t="s">
        <v>112</v>
      </c>
      <c r="AD16" s="17">
        <f t="shared" ref="AD16:AD21" si="27">15/1000</f>
        <v>1.4999999999999999E-2</v>
      </c>
      <c r="AE16" s="18">
        <f>VLOOKUP(AC16,WorkingDB[],2,FALSE)</f>
        <v>0.72099999999999997</v>
      </c>
      <c r="AF16" s="19">
        <f>VLOOKUP(AC16,WorkingDB[],3,FALSE)</f>
        <v>840</v>
      </c>
      <c r="AG16" s="19">
        <f>VLOOKUP(AC16,WorkingDB[],4,FALSE)</f>
        <v>1762</v>
      </c>
      <c r="AH16" s="5">
        <f>VLOOKUP(AC16,WorkingDB[],5,FALSE)</f>
        <v>0</v>
      </c>
      <c r="AI16" s="5">
        <f>VLOOKUP(AC16,WorkingDB[],6,FALSE)</f>
        <v>0</v>
      </c>
      <c r="AJ16" s="44">
        <f>VLOOKUP(AC16,WorkingDB[],7,FALSE)*AD16+VLOOKUP(AC16,CostDB[],5,FALSE)</f>
        <v>339.1</v>
      </c>
      <c r="AK16" s="16" t="s">
        <v>90</v>
      </c>
      <c r="AL16" s="17">
        <v>0</v>
      </c>
      <c r="AM16" s="18">
        <f>VLOOKUP(AK16,WorkingDB[],2,FALSE)</f>
        <v>0</v>
      </c>
      <c r="AN16" s="19">
        <f>VLOOKUP(AK16,WorkingDB[],3,FALSE)</f>
        <v>0</v>
      </c>
      <c r="AO16" s="19">
        <f>VLOOKUP(AK16,WorkingDB[],4,FALSE)</f>
        <v>0</v>
      </c>
      <c r="AP16" s="5">
        <f>VLOOKUP(AK16,WorkingDB[],5,FALSE)</f>
        <v>0</v>
      </c>
      <c r="AQ16" s="5">
        <f>VLOOKUP(AK16,WorkingDB[],6,FALSE)</f>
        <v>0</v>
      </c>
      <c r="AR16" s="44" t="e">
        <f>VLOOKUP(AK16,WorkingDB[],7,FALSE)*AL16+VLOOKUP(AK16,CostDB[],5,FALSE)</f>
        <v>#N/A</v>
      </c>
      <c r="AS16" s="16" t="s">
        <v>90</v>
      </c>
      <c r="AT16" s="17">
        <v>0</v>
      </c>
      <c r="AU16" s="18">
        <f>VLOOKUP(AS16,WorkingDB[],2,FALSE)</f>
        <v>0</v>
      </c>
      <c r="AV16" s="19">
        <f>VLOOKUP(AS16,WorkingDB[],3,FALSE)</f>
        <v>0</v>
      </c>
      <c r="AW16" s="19">
        <f>VLOOKUP(AS16,WorkingDB[],4,FALSE)</f>
        <v>0</v>
      </c>
      <c r="AX16" s="5">
        <f>VLOOKUP(AS16,WorkingDB[],5,FALSE)</f>
        <v>0</v>
      </c>
      <c r="AY16" s="5">
        <f>VLOOKUP(AS16,WorkingDB[],6,FALSE)</f>
        <v>0</v>
      </c>
      <c r="AZ16" s="44" t="e">
        <f>VLOOKUP(AS16,WorkingDB[],7,FALSE)*AT16+VLOOKUP(AS16,CostDB[],5,FALSE)</f>
        <v>#N/A</v>
      </c>
      <c r="BA16" s="27">
        <v>8.35</v>
      </c>
      <c r="BB16" s="20">
        <f t="shared" si="17"/>
        <v>0.255</v>
      </c>
      <c r="BC16" s="18">
        <f t="shared" si="18"/>
        <v>0.46059110217897803</v>
      </c>
      <c r="BD16" s="18">
        <f t="shared" si="19"/>
        <v>0.1174507310556394</v>
      </c>
      <c r="BE16" s="19">
        <f t="shared" si="20"/>
        <v>182.13500000000002</v>
      </c>
      <c r="BF16" s="19">
        <f t="shared" si="21"/>
        <v>714.25490196078442</v>
      </c>
      <c r="BG16" s="19">
        <f t="shared" si="22"/>
        <v>204679.77500000002</v>
      </c>
      <c r="BH16" s="19">
        <f t="shared" si="23"/>
        <v>1123.7805748483268</v>
      </c>
      <c r="BI16" s="18">
        <f t="shared" si="24"/>
        <v>123.44027660669498</v>
      </c>
      <c r="BJ16" s="22">
        <f t="shared" si="25"/>
        <v>1.4632582246676812E-7</v>
      </c>
      <c r="BK16" s="23">
        <f t="shared" si="26"/>
        <v>5.2677296088036519E-4</v>
      </c>
      <c r="BL16" s="19">
        <f t="shared" si="0"/>
        <v>2696.5499999999997</v>
      </c>
      <c r="BM16" s="18"/>
      <c r="BO16" s="5">
        <v>1</v>
      </c>
      <c r="BP16" s="20">
        <f t="shared" si="2"/>
        <v>250.60873605947953</v>
      </c>
      <c r="BR16" s="45">
        <f t="shared" si="3"/>
        <v>22201.200000000001</v>
      </c>
      <c r="BS16" s="45">
        <f t="shared" si="4"/>
        <v>1061.375</v>
      </c>
      <c r="BT16" s="45">
        <f t="shared" si="5"/>
        <v>159216</v>
      </c>
      <c r="BU16" s="45">
        <f t="shared" si="6"/>
        <v>22201.200000000001</v>
      </c>
      <c r="BV16" s="45">
        <f t="shared" si="7"/>
        <v>0</v>
      </c>
      <c r="BW16" s="45">
        <f t="shared" si="8"/>
        <v>0</v>
      </c>
      <c r="BX16" s="46">
        <f t="shared" si="9"/>
        <v>2.0804438280166437E-2</v>
      </c>
      <c r="BY16" s="46">
        <f t="shared" si="10"/>
        <v>0.8928571428571429</v>
      </c>
      <c r="BZ16" s="46">
        <f t="shared" si="11"/>
        <v>1.0869565217391306</v>
      </c>
      <c r="CA16" s="46">
        <f t="shared" si="12"/>
        <v>2.0804438280166437E-2</v>
      </c>
      <c r="CB16" s="46">
        <f t="shared" si="13"/>
        <v>0</v>
      </c>
      <c r="CC16" s="46">
        <f t="shared" si="14"/>
        <v>0</v>
      </c>
      <c r="CD16" s="45">
        <f t="shared" si="15"/>
        <v>78.750563782616709</v>
      </c>
    </row>
    <row r="17" spans="1:82" ht="14.4" x14ac:dyDescent="0.3">
      <c r="A17" s="5" t="s">
        <v>316</v>
      </c>
      <c r="B17" s="5" t="s">
        <v>244</v>
      </c>
      <c r="C17" s="4" t="s">
        <v>10</v>
      </c>
      <c r="D17" s="27">
        <v>33.4</v>
      </c>
      <c r="E17" s="16" t="s">
        <v>112</v>
      </c>
      <c r="F17" s="17">
        <f t="shared" si="16"/>
        <v>1.4999999999999999E-2</v>
      </c>
      <c r="G17" s="18">
        <f>VLOOKUP(E17,WorkingDB[],2,FALSE)</f>
        <v>0.72099999999999997</v>
      </c>
      <c r="H17" s="19">
        <f>VLOOKUP(E17,WorkingDB[],3,FALSE)</f>
        <v>840</v>
      </c>
      <c r="I17" s="19">
        <f>VLOOKUP(E17,WorkingDB[],4,FALSE)</f>
        <v>1762</v>
      </c>
      <c r="J17" s="5">
        <f>VLOOKUP(E17,WorkingDB[],5,FALSE)</f>
        <v>0</v>
      </c>
      <c r="K17" s="5">
        <f>VLOOKUP(E17,WorkingDB[],6,FALSE)</f>
        <v>0</v>
      </c>
      <c r="L17" s="44">
        <f>VLOOKUP(E17,WorkingDB[],7,FALSE)*F17+VLOOKUP(E17,CostDB[],5,FALSE)</f>
        <v>339.1</v>
      </c>
      <c r="M17" s="16" t="s">
        <v>237</v>
      </c>
      <c r="N17" s="17">
        <f>50/1000</f>
        <v>0.05</v>
      </c>
      <c r="O17" s="18">
        <f>VLOOKUP(M17,WorkingDB[],2,FALSE)</f>
        <v>2.8000000000000001E-2</v>
      </c>
      <c r="P17" s="19">
        <f>VLOOKUP(M17,WorkingDB[],3,FALSE)</f>
        <v>1213</v>
      </c>
      <c r="Q17" s="19">
        <f>VLOOKUP(M17,WorkingDB[],4,FALSE)</f>
        <v>35</v>
      </c>
      <c r="R17" s="5">
        <f>VLOOKUP(M17,WorkingDB[],5,FALSE)</f>
        <v>0</v>
      </c>
      <c r="S17" s="5">
        <f>VLOOKUP(M17,WorkingDB[],6,FALSE)</f>
        <v>0</v>
      </c>
      <c r="T17" s="44">
        <f>VLOOKUP(M17,WorkingDB[],7,FALSE)*N17+VLOOKUP(M17,CostDB[],5,FALSE)</f>
        <v>850.65</v>
      </c>
      <c r="U17" s="16" t="s">
        <v>105</v>
      </c>
      <c r="V17" s="17">
        <v>0.2</v>
      </c>
      <c r="W17" s="18">
        <f>VLOOKUP(U17,WorkingDB[],2,FALSE)</f>
        <v>0.184</v>
      </c>
      <c r="X17" s="19">
        <f>VLOOKUP(U17,WorkingDB[],3,FALSE)</f>
        <v>1240</v>
      </c>
      <c r="Y17" s="19">
        <f>VLOOKUP(U17,WorkingDB[],4,FALSE)</f>
        <v>642</v>
      </c>
      <c r="Z17" s="5">
        <f>VLOOKUP(U17,WorkingDB[],5,FALSE)</f>
        <v>0</v>
      </c>
      <c r="AA17" s="5">
        <f>VLOOKUP(U17,WorkingDB[],6,FALSE)</f>
        <v>0</v>
      </c>
      <c r="AB17" s="44">
        <f>VLOOKUP(U17,WorkingDB[],7,FALSE)*V17+VLOOKUP(U17,CostDB[],5,FALSE)</f>
        <v>1442.7</v>
      </c>
      <c r="AC17" s="16" t="s">
        <v>112</v>
      </c>
      <c r="AD17" s="17">
        <f t="shared" si="27"/>
        <v>1.4999999999999999E-2</v>
      </c>
      <c r="AE17" s="18">
        <f>VLOOKUP(AC17,WorkingDB[],2,FALSE)</f>
        <v>0.72099999999999997</v>
      </c>
      <c r="AF17" s="19">
        <f>VLOOKUP(AC17,WorkingDB[],3,FALSE)</f>
        <v>840</v>
      </c>
      <c r="AG17" s="19">
        <f>VLOOKUP(AC17,WorkingDB[],4,FALSE)</f>
        <v>1762</v>
      </c>
      <c r="AH17" s="5">
        <f>VLOOKUP(AC17,WorkingDB[],5,FALSE)</f>
        <v>0</v>
      </c>
      <c r="AI17" s="5">
        <f>VLOOKUP(AC17,WorkingDB[],6,FALSE)</f>
        <v>0</v>
      </c>
      <c r="AJ17" s="44">
        <f>VLOOKUP(AC17,WorkingDB[],7,FALSE)*AD17+VLOOKUP(AC17,CostDB[],5,FALSE)</f>
        <v>339.1</v>
      </c>
      <c r="AK17" s="16" t="s">
        <v>90</v>
      </c>
      <c r="AL17" s="17">
        <v>0</v>
      </c>
      <c r="AM17" s="18">
        <f>VLOOKUP(AK17,WorkingDB[],2,FALSE)</f>
        <v>0</v>
      </c>
      <c r="AN17" s="19">
        <f>VLOOKUP(AK17,WorkingDB[],3,FALSE)</f>
        <v>0</v>
      </c>
      <c r="AO17" s="19">
        <f>VLOOKUP(AK17,WorkingDB[],4,FALSE)</f>
        <v>0</v>
      </c>
      <c r="AP17" s="5">
        <f>VLOOKUP(AK17,WorkingDB[],5,FALSE)</f>
        <v>0</v>
      </c>
      <c r="AQ17" s="5">
        <f>VLOOKUP(AK17,WorkingDB[],6,FALSE)</f>
        <v>0</v>
      </c>
      <c r="AR17" s="44" t="e">
        <f>VLOOKUP(AK17,WorkingDB[],7,FALSE)*AL17+VLOOKUP(AK17,CostDB[],5,FALSE)</f>
        <v>#N/A</v>
      </c>
      <c r="AS17" s="16" t="s">
        <v>90</v>
      </c>
      <c r="AT17" s="17">
        <v>0</v>
      </c>
      <c r="AU17" s="18">
        <f>VLOOKUP(AS17,WorkingDB[],2,FALSE)</f>
        <v>0</v>
      </c>
      <c r="AV17" s="19">
        <f>VLOOKUP(AS17,WorkingDB[],3,FALSE)</f>
        <v>0</v>
      </c>
      <c r="AW17" s="19">
        <f>VLOOKUP(AS17,WorkingDB[],4,FALSE)</f>
        <v>0</v>
      </c>
      <c r="AX17" s="5">
        <f>VLOOKUP(AS17,WorkingDB[],5,FALSE)</f>
        <v>0</v>
      </c>
      <c r="AY17" s="5">
        <f>VLOOKUP(AS17,WorkingDB[],6,FALSE)</f>
        <v>0</v>
      </c>
      <c r="AZ17" s="44" t="e">
        <f>VLOOKUP(AS17,WorkingDB[],7,FALSE)*AT17+VLOOKUP(AS17,CostDB[],5,FALSE)</f>
        <v>#N/A</v>
      </c>
      <c r="BA17" s="27">
        <v>8.35</v>
      </c>
      <c r="BB17" s="20">
        <f t="shared" si="17"/>
        <v>0.28000000000000003</v>
      </c>
      <c r="BC17" s="18">
        <f t="shared" si="18"/>
        <v>0.32637285742612115</v>
      </c>
      <c r="BD17" s="18">
        <f t="shared" si="19"/>
        <v>9.1384400079313935E-2</v>
      </c>
      <c r="BE17" s="19">
        <f t="shared" si="20"/>
        <v>183.01000000000002</v>
      </c>
      <c r="BF17" s="19">
        <f t="shared" si="21"/>
        <v>653.60714285714289</v>
      </c>
      <c r="BG17" s="19">
        <f t="shared" si="22"/>
        <v>205741.15000000002</v>
      </c>
      <c r="BH17" s="19">
        <f t="shared" si="23"/>
        <v>1124.2071471504289</v>
      </c>
      <c r="BI17" s="18">
        <f t="shared" si="24"/>
        <v>175.1074519344219</v>
      </c>
      <c r="BJ17" s="22">
        <f t="shared" si="25"/>
        <v>1.2436808106792394E-7</v>
      </c>
      <c r="BK17" s="23">
        <f t="shared" si="26"/>
        <v>4.4772509184452618E-4</v>
      </c>
      <c r="BL17" s="19">
        <f t="shared" si="0"/>
        <v>2971.5499999999997</v>
      </c>
      <c r="BM17" s="18"/>
      <c r="BO17" s="5">
        <v>1</v>
      </c>
      <c r="BP17" s="20">
        <f t="shared" si="2"/>
        <v>276.16635687732338</v>
      </c>
      <c r="BR17" s="45">
        <f t="shared" si="3"/>
        <v>22201.200000000001</v>
      </c>
      <c r="BS17" s="45">
        <f t="shared" si="4"/>
        <v>2122.75</v>
      </c>
      <c r="BT17" s="45">
        <f t="shared" si="5"/>
        <v>159216</v>
      </c>
      <c r="BU17" s="45">
        <f t="shared" si="6"/>
        <v>22201.200000000001</v>
      </c>
      <c r="BV17" s="45">
        <f t="shared" si="7"/>
        <v>0</v>
      </c>
      <c r="BW17" s="45">
        <f t="shared" si="8"/>
        <v>0</v>
      </c>
      <c r="BX17" s="46">
        <f t="shared" si="9"/>
        <v>2.0804438280166437E-2</v>
      </c>
      <c r="BY17" s="46">
        <f t="shared" si="10"/>
        <v>1.7857142857142858</v>
      </c>
      <c r="BZ17" s="46">
        <f t="shared" si="11"/>
        <v>1.0869565217391306</v>
      </c>
      <c r="CA17" s="46">
        <f t="shared" si="12"/>
        <v>2.0804438280166437E-2</v>
      </c>
      <c r="CB17" s="46">
        <f t="shared" si="13"/>
        <v>0</v>
      </c>
      <c r="CC17" s="46">
        <f t="shared" si="14"/>
        <v>0</v>
      </c>
      <c r="CD17" s="45">
        <f t="shared" si="15"/>
        <v>124.15472662634818</v>
      </c>
    </row>
    <row r="18" spans="1:82" ht="14.4" x14ac:dyDescent="0.3">
      <c r="A18" s="5" t="s">
        <v>317</v>
      </c>
      <c r="B18" s="5" t="s">
        <v>245</v>
      </c>
      <c r="C18" s="4" t="s">
        <v>10</v>
      </c>
      <c r="D18" s="27">
        <v>33.4</v>
      </c>
      <c r="E18" s="16" t="s">
        <v>112</v>
      </c>
      <c r="F18" s="17">
        <f t="shared" si="16"/>
        <v>1.4999999999999999E-2</v>
      </c>
      <c r="G18" s="18">
        <f>VLOOKUP(E18,WorkingDB[],2,FALSE)</f>
        <v>0.72099999999999997</v>
      </c>
      <c r="H18" s="19">
        <f>VLOOKUP(E18,WorkingDB[],3,FALSE)</f>
        <v>840</v>
      </c>
      <c r="I18" s="19">
        <f>VLOOKUP(E18,WorkingDB[],4,FALSE)</f>
        <v>1762</v>
      </c>
      <c r="J18" s="5">
        <f>VLOOKUP(E18,WorkingDB[],5,FALSE)</f>
        <v>0</v>
      </c>
      <c r="K18" s="5">
        <f>VLOOKUP(E18,WorkingDB[],6,FALSE)</f>
        <v>0</v>
      </c>
      <c r="L18" s="44">
        <f>VLOOKUP(E18,WorkingDB[],7,FALSE)*F18+VLOOKUP(E18,CostDB[],5,FALSE)</f>
        <v>339.1</v>
      </c>
      <c r="M18" s="16" t="s">
        <v>238</v>
      </c>
      <c r="N18" s="17">
        <f>25/1000</f>
        <v>2.5000000000000001E-2</v>
      </c>
      <c r="O18" s="18">
        <f>VLOOKUP(M18,WorkingDB[],2,FALSE)</f>
        <v>3.7999999999999999E-2</v>
      </c>
      <c r="P18" s="19">
        <f>VLOOKUP(M18,WorkingDB[],3,FALSE)</f>
        <v>1213</v>
      </c>
      <c r="Q18" s="19">
        <f>VLOOKUP(M18,WorkingDB[],4,FALSE)</f>
        <v>28</v>
      </c>
      <c r="R18" s="5">
        <f>VLOOKUP(M18,WorkingDB[],5,FALSE)</f>
        <v>0</v>
      </c>
      <c r="S18" s="5">
        <f>VLOOKUP(M18,WorkingDB[],6,FALSE)</f>
        <v>0</v>
      </c>
      <c r="T18" s="44">
        <f>VLOOKUP(M18,WorkingDB[],7,FALSE)*N18+VLOOKUP(M18,CostDB[],5,FALSE)</f>
        <v>2839.9250000000002</v>
      </c>
      <c r="U18" s="16" t="s">
        <v>105</v>
      </c>
      <c r="V18" s="17">
        <v>0.2</v>
      </c>
      <c r="W18" s="18">
        <f>VLOOKUP(U18,WorkingDB[],2,FALSE)</f>
        <v>0.184</v>
      </c>
      <c r="X18" s="19">
        <f>VLOOKUP(U18,WorkingDB[],3,FALSE)</f>
        <v>1240</v>
      </c>
      <c r="Y18" s="19">
        <f>VLOOKUP(U18,WorkingDB[],4,FALSE)</f>
        <v>642</v>
      </c>
      <c r="Z18" s="5">
        <f>VLOOKUP(U18,WorkingDB[],5,FALSE)</f>
        <v>0</v>
      </c>
      <c r="AA18" s="5">
        <f>VLOOKUP(U18,WorkingDB[],6,FALSE)</f>
        <v>0</v>
      </c>
      <c r="AB18" s="44">
        <f>VLOOKUP(U18,WorkingDB[],7,FALSE)*V18+VLOOKUP(U18,CostDB[],5,FALSE)</f>
        <v>1442.7</v>
      </c>
      <c r="AC18" s="16" t="s">
        <v>112</v>
      </c>
      <c r="AD18" s="17">
        <f t="shared" si="27"/>
        <v>1.4999999999999999E-2</v>
      </c>
      <c r="AE18" s="18">
        <f>VLOOKUP(AC18,WorkingDB[],2,FALSE)</f>
        <v>0.72099999999999997</v>
      </c>
      <c r="AF18" s="19">
        <f>VLOOKUP(AC18,WorkingDB[],3,FALSE)</f>
        <v>840</v>
      </c>
      <c r="AG18" s="19">
        <f>VLOOKUP(AC18,WorkingDB[],4,FALSE)</f>
        <v>1762</v>
      </c>
      <c r="AH18" s="5">
        <f>VLOOKUP(AC18,WorkingDB[],5,FALSE)</f>
        <v>0</v>
      </c>
      <c r="AI18" s="5">
        <f>VLOOKUP(AC18,WorkingDB[],6,FALSE)</f>
        <v>0</v>
      </c>
      <c r="AJ18" s="44">
        <f>VLOOKUP(AC18,WorkingDB[],7,FALSE)*AD18+VLOOKUP(AC18,CostDB[],5,FALSE)</f>
        <v>339.1</v>
      </c>
      <c r="AK18" s="16" t="s">
        <v>90</v>
      </c>
      <c r="AL18" s="17">
        <v>0</v>
      </c>
      <c r="AM18" s="18">
        <f>VLOOKUP(AK18,WorkingDB[],2,FALSE)</f>
        <v>0</v>
      </c>
      <c r="AN18" s="19">
        <f>VLOOKUP(AK18,WorkingDB[],3,FALSE)</f>
        <v>0</v>
      </c>
      <c r="AO18" s="19">
        <f>VLOOKUP(AK18,WorkingDB[],4,FALSE)</f>
        <v>0</v>
      </c>
      <c r="AP18" s="5">
        <f>VLOOKUP(AK18,WorkingDB[],5,FALSE)</f>
        <v>0</v>
      </c>
      <c r="AQ18" s="5">
        <f>VLOOKUP(AK18,WorkingDB[],6,FALSE)</f>
        <v>0</v>
      </c>
      <c r="AR18" s="44" t="e">
        <f>VLOOKUP(AK18,WorkingDB[],7,FALSE)*AL18+VLOOKUP(AK18,CostDB[],5,FALSE)</f>
        <v>#N/A</v>
      </c>
      <c r="AS18" s="16" t="s">
        <v>90</v>
      </c>
      <c r="AT18" s="17">
        <v>0</v>
      </c>
      <c r="AU18" s="18">
        <f>VLOOKUP(AS18,WorkingDB[],2,FALSE)</f>
        <v>0</v>
      </c>
      <c r="AV18" s="19">
        <f>VLOOKUP(AS18,WorkingDB[],3,FALSE)</f>
        <v>0</v>
      </c>
      <c r="AW18" s="19">
        <f>VLOOKUP(AS18,WorkingDB[],4,FALSE)</f>
        <v>0</v>
      </c>
      <c r="AX18" s="5">
        <f>VLOOKUP(AS18,WorkingDB[],5,FALSE)</f>
        <v>0</v>
      </c>
      <c r="AY18" s="5">
        <f>VLOOKUP(AS18,WorkingDB[],6,FALSE)</f>
        <v>0</v>
      </c>
      <c r="AZ18" s="44" t="e">
        <f>VLOOKUP(AS18,WorkingDB[],7,FALSE)*AT18+VLOOKUP(AS18,CostDB[],5,FALSE)</f>
        <v>#N/A</v>
      </c>
      <c r="BA18" s="27">
        <v>8.35</v>
      </c>
      <c r="BB18" s="20">
        <f t="shared" si="17"/>
        <v>0.255</v>
      </c>
      <c r="BC18" s="18">
        <f t="shared" si="18"/>
        <v>0.51648604502116813</v>
      </c>
      <c r="BD18" s="18">
        <f t="shared" si="19"/>
        <v>0.13170394148039788</v>
      </c>
      <c r="BE18" s="19">
        <f t="shared" si="20"/>
        <v>181.96</v>
      </c>
      <c r="BF18" s="19">
        <f t="shared" si="21"/>
        <v>713.56862745098044</v>
      </c>
      <c r="BG18" s="19">
        <f t="shared" si="22"/>
        <v>204467.5</v>
      </c>
      <c r="BH18" s="19">
        <f t="shared" si="23"/>
        <v>1123.6947680808969</v>
      </c>
      <c r="BI18" s="18">
        <f t="shared" si="24"/>
        <v>109.96720690769095</v>
      </c>
      <c r="BJ18" s="22">
        <f t="shared" si="25"/>
        <v>1.6425351255090153E-7</v>
      </c>
      <c r="BK18" s="23">
        <f t="shared" si="26"/>
        <v>5.9131264518324557E-4</v>
      </c>
      <c r="BL18" s="19">
        <f t="shared" si="0"/>
        <v>4960.8250000000007</v>
      </c>
      <c r="BM18" s="18"/>
      <c r="BO18" s="5">
        <v>1</v>
      </c>
      <c r="BP18" s="20">
        <f t="shared" si="2"/>
        <v>461.04321561338298</v>
      </c>
      <c r="BR18" s="45">
        <f t="shared" si="3"/>
        <v>22201.200000000001</v>
      </c>
      <c r="BS18" s="45">
        <f t="shared" si="4"/>
        <v>849.10000000000014</v>
      </c>
      <c r="BT18" s="45">
        <f t="shared" si="5"/>
        <v>159216</v>
      </c>
      <c r="BU18" s="45">
        <f t="shared" si="6"/>
        <v>22201.200000000001</v>
      </c>
      <c r="BV18" s="45">
        <f t="shared" si="7"/>
        <v>0</v>
      </c>
      <c r="BW18" s="45">
        <f t="shared" si="8"/>
        <v>0</v>
      </c>
      <c r="BX18" s="46">
        <f t="shared" si="9"/>
        <v>2.0804438280166437E-2</v>
      </c>
      <c r="BY18" s="46">
        <f t="shared" si="10"/>
        <v>0.65789473684210531</v>
      </c>
      <c r="BZ18" s="46">
        <f t="shared" si="11"/>
        <v>1.0869565217391306</v>
      </c>
      <c r="CA18" s="46">
        <f t="shared" si="12"/>
        <v>2.0804438280166437E-2</v>
      </c>
      <c r="CB18" s="46">
        <f t="shared" si="13"/>
        <v>0</v>
      </c>
      <c r="CC18" s="46">
        <f t="shared" si="14"/>
        <v>0</v>
      </c>
      <c r="CD18" s="45">
        <f t="shared" si="15"/>
        <v>66.85292141593807</v>
      </c>
    </row>
    <row r="19" spans="1:82" ht="14.4" x14ac:dyDescent="0.3">
      <c r="A19" s="5" t="s">
        <v>318</v>
      </c>
      <c r="B19" s="5" t="s">
        <v>246</v>
      </c>
      <c r="C19" s="4" t="s">
        <v>10</v>
      </c>
      <c r="D19" s="27">
        <v>33.4</v>
      </c>
      <c r="E19" s="16" t="s">
        <v>112</v>
      </c>
      <c r="F19" s="17">
        <f t="shared" si="16"/>
        <v>1.4999999999999999E-2</v>
      </c>
      <c r="G19" s="18">
        <f>VLOOKUP(E19,WorkingDB[],2,FALSE)</f>
        <v>0.72099999999999997</v>
      </c>
      <c r="H19" s="19">
        <f>VLOOKUP(E19,WorkingDB[],3,FALSE)</f>
        <v>840</v>
      </c>
      <c r="I19" s="19">
        <f>VLOOKUP(E19,WorkingDB[],4,FALSE)</f>
        <v>1762</v>
      </c>
      <c r="J19" s="5">
        <f>VLOOKUP(E19,WorkingDB[],5,FALSE)</f>
        <v>0</v>
      </c>
      <c r="K19" s="5">
        <f>VLOOKUP(E19,WorkingDB[],6,FALSE)</f>
        <v>0</v>
      </c>
      <c r="L19" s="44">
        <f>VLOOKUP(E19,WorkingDB[],7,FALSE)*F19+VLOOKUP(E19,CostDB[],5,FALSE)</f>
        <v>339.1</v>
      </c>
      <c r="M19" s="16" t="s">
        <v>238</v>
      </c>
      <c r="N19" s="17">
        <f>50/1000</f>
        <v>0.05</v>
      </c>
      <c r="O19" s="18">
        <f>VLOOKUP(M19,WorkingDB[],2,FALSE)</f>
        <v>3.7999999999999999E-2</v>
      </c>
      <c r="P19" s="19">
        <f>VLOOKUP(M19,WorkingDB[],3,FALSE)</f>
        <v>1213</v>
      </c>
      <c r="Q19" s="19">
        <f>VLOOKUP(M19,WorkingDB[],4,FALSE)</f>
        <v>28</v>
      </c>
      <c r="R19" s="5">
        <f>VLOOKUP(M19,WorkingDB[],5,FALSE)</f>
        <v>0</v>
      </c>
      <c r="S19" s="5">
        <f>VLOOKUP(M19,WorkingDB[],6,FALSE)</f>
        <v>0</v>
      </c>
      <c r="T19" s="44">
        <f>VLOOKUP(M19,WorkingDB[],7,FALSE)*N19+VLOOKUP(M19,CostDB[],5,FALSE)</f>
        <v>3011.8</v>
      </c>
      <c r="U19" s="16" t="s">
        <v>105</v>
      </c>
      <c r="V19" s="17">
        <v>0.2</v>
      </c>
      <c r="W19" s="18">
        <f>VLOOKUP(U19,WorkingDB[],2,FALSE)</f>
        <v>0.184</v>
      </c>
      <c r="X19" s="19">
        <f>VLOOKUP(U19,WorkingDB[],3,FALSE)</f>
        <v>1240</v>
      </c>
      <c r="Y19" s="19">
        <f>VLOOKUP(U19,WorkingDB[],4,FALSE)</f>
        <v>642</v>
      </c>
      <c r="Z19" s="5">
        <f>VLOOKUP(U19,WorkingDB[],5,FALSE)</f>
        <v>0</v>
      </c>
      <c r="AA19" s="5">
        <f>VLOOKUP(U19,WorkingDB[],6,FALSE)</f>
        <v>0</v>
      </c>
      <c r="AB19" s="44">
        <f>VLOOKUP(U19,WorkingDB[],7,FALSE)*V19+VLOOKUP(U19,CostDB[],5,FALSE)</f>
        <v>1442.7</v>
      </c>
      <c r="AC19" s="16" t="s">
        <v>112</v>
      </c>
      <c r="AD19" s="17">
        <f t="shared" si="27"/>
        <v>1.4999999999999999E-2</v>
      </c>
      <c r="AE19" s="18">
        <f>VLOOKUP(AC19,WorkingDB[],2,FALSE)</f>
        <v>0.72099999999999997</v>
      </c>
      <c r="AF19" s="19">
        <f>VLOOKUP(AC19,WorkingDB[],3,FALSE)</f>
        <v>840</v>
      </c>
      <c r="AG19" s="19">
        <f>VLOOKUP(AC19,WorkingDB[],4,FALSE)</f>
        <v>1762</v>
      </c>
      <c r="AH19" s="5">
        <f>VLOOKUP(AC19,WorkingDB[],5,FALSE)</f>
        <v>0</v>
      </c>
      <c r="AI19" s="5">
        <f>VLOOKUP(AC19,WorkingDB[],6,FALSE)</f>
        <v>0</v>
      </c>
      <c r="AJ19" s="44">
        <f>VLOOKUP(AC19,WorkingDB[],7,FALSE)*AD19+VLOOKUP(AC19,CostDB[],5,FALSE)</f>
        <v>339.1</v>
      </c>
      <c r="AK19" s="16" t="s">
        <v>90</v>
      </c>
      <c r="AL19" s="17">
        <v>0</v>
      </c>
      <c r="AM19" s="18">
        <f>VLOOKUP(AK19,WorkingDB[],2,FALSE)</f>
        <v>0</v>
      </c>
      <c r="AN19" s="19">
        <f>VLOOKUP(AK19,WorkingDB[],3,FALSE)</f>
        <v>0</v>
      </c>
      <c r="AO19" s="19">
        <f>VLOOKUP(AK19,WorkingDB[],4,FALSE)</f>
        <v>0</v>
      </c>
      <c r="AP19" s="5">
        <f>VLOOKUP(AK19,WorkingDB[],5,FALSE)</f>
        <v>0</v>
      </c>
      <c r="AQ19" s="5">
        <f>VLOOKUP(AK19,WorkingDB[],6,FALSE)</f>
        <v>0</v>
      </c>
      <c r="AR19" s="44" t="e">
        <f>VLOOKUP(AK19,WorkingDB[],7,FALSE)*AL19+VLOOKUP(AK19,CostDB[],5,FALSE)</f>
        <v>#N/A</v>
      </c>
      <c r="AS19" s="16" t="s">
        <v>90</v>
      </c>
      <c r="AT19" s="17">
        <v>0</v>
      </c>
      <c r="AU19" s="18">
        <f>VLOOKUP(AS19,WorkingDB[],2,FALSE)</f>
        <v>0</v>
      </c>
      <c r="AV19" s="19">
        <f>VLOOKUP(AS19,WorkingDB[],3,FALSE)</f>
        <v>0</v>
      </c>
      <c r="AW19" s="19">
        <f>VLOOKUP(AS19,WorkingDB[],4,FALSE)</f>
        <v>0</v>
      </c>
      <c r="AX19" s="5">
        <f>VLOOKUP(AS19,WorkingDB[],5,FALSE)</f>
        <v>0</v>
      </c>
      <c r="AY19" s="5">
        <f>VLOOKUP(AS19,WorkingDB[],6,FALSE)</f>
        <v>0</v>
      </c>
      <c r="AZ19" s="44" t="e">
        <f>VLOOKUP(AS19,WorkingDB[],7,FALSE)*AT19+VLOOKUP(AS19,CostDB[],5,FALSE)</f>
        <v>#N/A</v>
      </c>
      <c r="BA19" s="27">
        <v>8.35</v>
      </c>
      <c r="BB19" s="20">
        <f t="shared" si="17"/>
        <v>0.28000000000000003</v>
      </c>
      <c r="BC19" s="18">
        <f t="shared" si="18"/>
        <v>0.38549676799971155</v>
      </c>
      <c r="BD19" s="18">
        <f t="shared" si="19"/>
        <v>0.10793909503991925</v>
      </c>
      <c r="BE19" s="19">
        <f t="shared" si="20"/>
        <v>182.66000000000003</v>
      </c>
      <c r="BF19" s="19">
        <f t="shared" si="21"/>
        <v>652.35714285714289</v>
      </c>
      <c r="BG19" s="19">
        <f t="shared" si="22"/>
        <v>205316.6</v>
      </c>
      <c r="BH19" s="19">
        <f t="shared" si="23"/>
        <v>1124.0370086499506</v>
      </c>
      <c r="BI19" s="18">
        <f t="shared" si="24"/>
        <v>147.94518040922088</v>
      </c>
      <c r="BJ19" s="22">
        <f t="shared" si="25"/>
        <v>1.4720167103476966E-7</v>
      </c>
      <c r="BK19" s="23">
        <f t="shared" si="26"/>
        <v>5.2992601572517074E-4</v>
      </c>
      <c r="BL19" s="19">
        <f t="shared" si="0"/>
        <v>5132.7000000000007</v>
      </c>
      <c r="BM19" s="18"/>
      <c r="BO19" s="5">
        <v>1</v>
      </c>
      <c r="BP19" s="20">
        <f t="shared" si="2"/>
        <v>477.0167286245354</v>
      </c>
      <c r="BR19" s="45">
        <f t="shared" si="3"/>
        <v>22201.200000000001</v>
      </c>
      <c r="BS19" s="45">
        <f t="shared" si="4"/>
        <v>1698.2000000000003</v>
      </c>
      <c r="BT19" s="45">
        <f t="shared" si="5"/>
        <v>159216</v>
      </c>
      <c r="BU19" s="45">
        <f t="shared" si="6"/>
        <v>22201.200000000001</v>
      </c>
      <c r="BV19" s="45">
        <f t="shared" si="7"/>
        <v>0</v>
      </c>
      <c r="BW19" s="45">
        <f t="shared" si="8"/>
        <v>0</v>
      </c>
      <c r="BX19" s="46">
        <f t="shared" si="9"/>
        <v>2.0804438280166437E-2</v>
      </c>
      <c r="BY19" s="46">
        <f t="shared" si="10"/>
        <v>1.3157894736842106</v>
      </c>
      <c r="BZ19" s="46">
        <f t="shared" si="11"/>
        <v>1.0869565217391306</v>
      </c>
      <c r="CA19" s="46">
        <f t="shared" si="12"/>
        <v>2.0804438280166437E-2</v>
      </c>
      <c r="CB19" s="46">
        <f t="shared" si="13"/>
        <v>0</v>
      </c>
      <c r="CC19" s="46">
        <f t="shared" si="14"/>
        <v>0</v>
      </c>
      <c r="CD19" s="45">
        <f t="shared" si="15"/>
        <v>100.25137582939445</v>
      </c>
    </row>
    <row r="20" spans="1:82" ht="14.4" x14ac:dyDescent="0.3">
      <c r="A20" s="5" t="s">
        <v>319</v>
      </c>
      <c r="B20" s="5" t="s">
        <v>247</v>
      </c>
      <c r="C20" s="4" t="s">
        <v>10</v>
      </c>
      <c r="D20" s="27">
        <v>33.4</v>
      </c>
      <c r="E20" s="16" t="s">
        <v>112</v>
      </c>
      <c r="F20" s="17">
        <f t="shared" si="16"/>
        <v>1.4999999999999999E-2</v>
      </c>
      <c r="G20" s="18">
        <f>VLOOKUP(E20,WorkingDB[],2,FALSE)</f>
        <v>0.72099999999999997</v>
      </c>
      <c r="H20" s="19">
        <f>VLOOKUP(E20,WorkingDB[],3,FALSE)</f>
        <v>840</v>
      </c>
      <c r="I20" s="19">
        <f>VLOOKUP(E20,WorkingDB[],4,FALSE)</f>
        <v>1762</v>
      </c>
      <c r="J20" s="5">
        <f>VLOOKUP(E20,WorkingDB[],5,FALSE)</f>
        <v>0</v>
      </c>
      <c r="K20" s="5">
        <f>VLOOKUP(E20,WorkingDB[],6,FALSE)</f>
        <v>0</v>
      </c>
      <c r="L20" s="44">
        <f>VLOOKUP(E20,WorkingDB[],7,FALSE)*F20+VLOOKUP(E20,CostDB[],5,FALSE)</f>
        <v>339.1</v>
      </c>
      <c r="M20" s="16" t="s">
        <v>239</v>
      </c>
      <c r="N20" s="17">
        <f>25/1000</f>
        <v>2.5000000000000001E-2</v>
      </c>
      <c r="O20" s="18">
        <f>VLOOKUP(M20,WorkingDB[],2,FALSE)</f>
        <v>2.5999999999999999E-2</v>
      </c>
      <c r="P20" s="19">
        <f>VLOOKUP(M20,WorkingDB[],3,FALSE)</f>
        <v>1590</v>
      </c>
      <c r="Q20" s="19">
        <f>VLOOKUP(M20,WorkingDB[],4,FALSE)</f>
        <v>40</v>
      </c>
      <c r="R20" s="5">
        <f>VLOOKUP(M20,WorkingDB[],5,FALSE)</f>
        <v>0</v>
      </c>
      <c r="S20" s="5">
        <f>VLOOKUP(M20,WorkingDB[],6,FALSE)</f>
        <v>0</v>
      </c>
      <c r="T20" s="44">
        <f>VLOOKUP(M20,WorkingDB[],7,FALSE)*N20+VLOOKUP(M20,CostDB[],5,FALSE)</f>
        <v>240.625</v>
      </c>
      <c r="U20" s="16" t="s">
        <v>105</v>
      </c>
      <c r="V20" s="17">
        <v>0.2</v>
      </c>
      <c r="W20" s="18">
        <f>VLOOKUP(U20,WorkingDB[],2,FALSE)</f>
        <v>0.184</v>
      </c>
      <c r="X20" s="19">
        <f>VLOOKUP(U20,WorkingDB[],3,FALSE)</f>
        <v>1240</v>
      </c>
      <c r="Y20" s="19">
        <f>VLOOKUP(U20,WorkingDB[],4,FALSE)</f>
        <v>642</v>
      </c>
      <c r="Z20" s="5">
        <f>VLOOKUP(U20,WorkingDB[],5,FALSE)</f>
        <v>0</v>
      </c>
      <c r="AA20" s="5">
        <f>VLOOKUP(U20,WorkingDB[],6,FALSE)</f>
        <v>0</v>
      </c>
      <c r="AB20" s="44">
        <f>VLOOKUP(U20,WorkingDB[],7,FALSE)*V20+VLOOKUP(U20,CostDB[],5,FALSE)</f>
        <v>1442.7</v>
      </c>
      <c r="AC20" s="16" t="s">
        <v>112</v>
      </c>
      <c r="AD20" s="17">
        <f t="shared" si="27"/>
        <v>1.4999999999999999E-2</v>
      </c>
      <c r="AE20" s="18">
        <f>VLOOKUP(AC20,WorkingDB[],2,FALSE)</f>
        <v>0.72099999999999997</v>
      </c>
      <c r="AF20" s="19">
        <f>VLOOKUP(AC20,WorkingDB[],3,FALSE)</f>
        <v>840</v>
      </c>
      <c r="AG20" s="19">
        <f>VLOOKUP(AC20,WorkingDB[],4,FALSE)</f>
        <v>1762</v>
      </c>
      <c r="AH20" s="5">
        <f>VLOOKUP(AC20,WorkingDB[],5,FALSE)</f>
        <v>0</v>
      </c>
      <c r="AI20" s="5">
        <f>VLOOKUP(AC20,WorkingDB[],6,FALSE)</f>
        <v>0</v>
      </c>
      <c r="AJ20" s="44">
        <f>VLOOKUP(AC20,WorkingDB[],7,FALSE)*AD20+VLOOKUP(AC20,CostDB[],5,FALSE)</f>
        <v>339.1</v>
      </c>
      <c r="AK20" s="16" t="s">
        <v>90</v>
      </c>
      <c r="AL20" s="17">
        <v>0</v>
      </c>
      <c r="AM20" s="18">
        <f>VLOOKUP(AK20,WorkingDB[],2,FALSE)</f>
        <v>0</v>
      </c>
      <c r="AN20" s="19">
        <f>VLOOKUP(AK20,WorkingDB[],3,FALSE)</f>
        <v>0</v>
      </c>
      <c r="AO20" s="19">
        <f>VLOOKUP(AK20,WorkingDB[],4,FALSE)</f>
        <v>0</v>
      </c>
      <c r="AP20" s="5">
        <f>VLOOKUP(AK20,WorkingDB[],5,FALSE)</f>
        <v>0</v>
      </c>
      <c r="AQ20" s="5">
        <f>VLOOKUP(AK20,WorkingDB[],6,FALSE)</f>
        <v>0</v>
      </c>
      <c r="AR20" s="44" t="e">
        <f>VLOOKUP(AK20,WorkingDB[],7,FALSE)*AL20+VLOOKUP(AK20,CostDB[],5,FALSE)</f>
        <v>#N/A</v>
      </c>
      <c r="AS20" s="16" t="s">
        <v>90</v>
      </c>
      <c r="AT20" s="17">
        <v>0</v>
      </c>
      <c r="AU20" s="18">
        <f>VLOOKUP(AS20,WorkingDB[],2,FALSE)</f>
        <v>0</v>
      </c>
      <c r="AV20" s="19">
        <f>VLOOKUP(AS20,WorkingDB[],3,FALSE)</f>
        <v>0</v>
      </c>
      <c r="AW20" s="19">
        <f>VLOOKUP(AS20,WorkingDB[],4,FALSE)</f>
        <v>0</v>
      </c>
      <c r="AX20" s="5">
        <f>VLOOKUP(AS20,WorkingDB[],5,FALSE)</f>
        <v>0</v>
      </c>
      <c r="AY20" s="5">
        <f>VLOOKUP(AS20,WorkingDB[],6,FALSE)</f>
        <v>0</v>
      </c>
      <c r="AZ20" s="44" t="e">
        <f>VLOOKUP(AS20,WorkingDB[],7,FALSE)*AT20+VLOOKUP(AS20,CostDB[],5,FALSE)</f>
        <v>#N/A</v>
      </c>
      <c r="BA20" s="27">
        <v>8.35</v>
      </c>
      <c r="BB20" s="20">
        <f t="shared" si="17"/>
        <v>0.255</v>
      </c>
      <c r="BC20" s="18">
        <f t="shared" si="18"/>
        <v>0.44646754592454585</v>
      </c>
      <c r="BD20" s="18">
        <f t="shared" si="19"/>
        <v>0.1138492242107592</v>
      </c>
      <c r="BE20" s="19">
        <f t="shared" si="20"/>
        <v>182.26000000000002</v>
      </c>
      <c r="BF20" s="19">
        <f t="shared" si="21"/>
        <v>714.7450980392158</v>
      </c>
      <c r="BG20" s="19">
        <f t="shared" si="22"/>
        <v>205208.40000000002</v>
      </c>
      <c r="BH20" s="19">
        <f t="shared" si="23"/>
        <v>1125.9102381213652</v>
      </c>
      <c r="BI20" s="18">
        <f t="shared" si="24"/>
        <v>127.6740803529018</v>
      </c>
      <c r="BJ20" s="22">
        <f t="shared" si="25"/>
        <v>1.4147350777913375E-7</v>
      </c>
      <c r="BK20" s="23">
        <f t="shared" si="26"/>
        <v>5.0930462800488152E-4</v>
      </c>
      <c r="BL20" s="19">
        <f t="shared" si="0"/>
        <v>2361.5250000000001</v>
      </c>
      <c r="BM20" s="18"/>
      <c r="BO20" s="5">
        <v>1</v>
      </c>
      <c r="BP20" s="20">
        <f t="shared" si="2"/>
        <v>219.47258364312268</v>
      </c>
      <c r="BR20" s="45">
        <f t="shared" si="3"/>
        <v>22201.200000000001</v>
      </c>
      <c r="BS20" s="45">
        <f t="shared" si="4"/>
        <v>1590</v>
      </c>
      <c r="BT20" s="45">
        <f t="shared" si="5"/>
        <v>159216</v>
      </c>
      <c r="BU20" s="45">
        <f t="shared" si="6"/>
        <v>22201.200000000001</v>
      </c>
      <c r="BV20" s="45">
        <f t="shared" si="7"/>
        <v>0</v>
      </c>
      <c r="BW20" s="45">
        <f t="shared" si="8"/>
        <v>0</v>
      </c>
      <c r="BX20" s="46">
        <f t="shared" si="9"/>
        <v>2.0804438280166437E-2</v>
      </c>
      <c r="BY20" s="46">
        <f t="shared" si="10"/>
        <v>0.96153846153846168</v>
      </c>
      <c r="BZ20" s="46">
        <f t="shared" si="11"/>
        <v>1.0869565217391306</v>
      </c>
      <c r="CA20" s="46">
        <f t="shared" si="12"/>
        <v>2.0804438280166437E-2</v>
      </c>
      <c r="CB20" s="46">
        <f t="shared" si="13"/>
        <v>0</v>
      </c>
      <c r="CC20" s="46">
        <f t="shared" si="14"/>
        <v>0</v>
      </c>
      <c r="CD20" s="45">
        <f t="shared" si="15"/>
        <v>82.299839427447225</v>
      </c>
    </row>
    <row r="21" spans="1:82" ht="14.4" x14ac:dyDescent="0.3">
      <c r="A21" s="5" t="s">
        <v>320</v>
      </c>
      <c r="B21" s="5" t="s">
        <v>248</v>
      </c>
      <c r="C21" s="4" t="s">
        <v>10</v>
      </c>
      <c r="D21" s="27">
        <v>33.4</v>
      </c>
      <c r="E21" s="16" t="s">
        <v>112</v>
      </c>
      <c r="F21" s="17">
        <f>15/1000</f>
        <v>1.4999999999999999E-2</v>
      </c>
      <c r="G21" s="18">
        <f>VLOOKUP(E21,WorkingDB[],2,FALSE)</f>
        <v>0.72099999999999997</v>
      </c>
      <c r="H21" s="19">
        <f>VLOOKUP(E21,WorkingDB[],3,FALSE)</f>
        <v>840</v>
      </c>
      <c r="I21" s="19">
        <f>VLOOKUP(E21,WorkingDB[],4,FALSE)</f>
        <v>1762</v>
      </c>
      <c r="J21" s="5">
        <f>VLOOKUP(E21,WorkingDB[],5,FALSE)</f>
        <v>0</v>
      </c>
      <c r="K21" s="5">
        <f>VLOOKUP(E21,WorkingDB[],6,FALSE)</f>
        <v>0</v>
      </c>
      <c r="L21" s="44">
        <f>VLOOKUP(E21,WorkingDB[],7,FALSE)*F21+VLOOKUP(E21,CostDB[],5,FALSE)</f>
        <v>339.1</v>
      </c>
      <c r="M21" s="16" t="s">
        <v>239</v>
      </c>
      <c r="N21" s="17">
        <f>50/1000</f>
        <v>0.05</v>
      </c>
      <c r="O21" s="18">
        <f>VLOOKUP(M21,WorkingDB[],2,FALSE)</f>
        <v>2.5999999999999999E-2</v>
      </c>
      <c r="P21" s="19">
        <f>VLOOKUP(M21,WorkingDB[],3,FALSE)</f>
        <v>1590</v>
      </c>
      <c r="Q21" s="19">
        <f>VLOOKUP(M21,WorkingDB[],4,FALSE)</f>
        <v>40</v>
      </c>
      <c r="R21" s="5">
        <f>VLOOKUP(M21,WorkingDB[],5,FALSE)</f>
        <v>0</v>
      </c>
      <c r="S21" s="5">
        <f>VLOOKUP(M21,WorkingDB[],6,FALSE)</f>
        <v>0</v>
      </c>
      <c r="T21" s="44">
        <f>VLOOKUP(M21,WorkingDB[],7,FALSE)*N21+VLOOKUP(M21,CostDB[],5,FALSE)</f>
        <v>481.25</v>
      </c>
      <c r="U21" s="16" t="s">
        <v>105</v>
      </c>
      <c r="V21" s="17">
        <v>0.2</v>
      </c>
      <c r="W21" s="18">
        <f>VLOOKUP(U21,WorkingDB[],2,FALSE)</f>
        <v>0.184</v>
      </c>
      <c r="X21" s="19">
        <f>VLOOKUP(U21,WorkingDB[],3,FALSE)</f>
        <v>1240</v>
      </c>
      <c r="Y21" s="19">
        <f>VLOOKUP(U21,WorkingDB[],4,FALSE)</f>
        <v>642</v>
      </c>
      <c r="Z21" s="5">
        <f>VLOOKUP(U21,WorkingDB[],5,FALSE)</f>
        <v>0</v>
      </c>
      <c r="AA21" s="5">
        <f>VLOOKUP(U21,WorkingDB[],6,FALSE)</f>
        <v>0</v>
      </c>
      <c r="AB21" s="44">
        <f>VLOOKUP(U21,WorkingDB[],7,FALSE)*V21+VLOOKUP(U21,CostDB[],5,FALSE)</f>
        <v>1442.7</v>
      </c>
      <c r="AC21" s="16" t="s">
        <v>112</v>
      </c>
      <c r="AD21" s="17">
        <f t="shared" si="27"/>
        <v>1.4999999999999999E-2</v>
      </c>
      <c r="AE21" s="18">
        <f>VLOOKUP(AC21,WorkingDB[],2,FALSE)</f>
        <v>0.72099999999999997</v>
      </c>
      <c r="AF21" s="19">
        <f>VLOOKUP(AC21,WorkingDB[],3,FALSE)</f>
        <v>840</v>
      </c>
      <c r="AG21" s="19">
        <f>VLOOKUP(AC21,WorkingDB[],4,FALSE)</f>
        <v>1762</v>
      </c>
      <c r="AH21" s="5">
        <f>VLOOKUP(AC21,WorkingDB[],5,FALSE)</f>
        <v>0</v>
      </c>
      <c r="AI21" s="5">
        <f>VLOOKUP(AC21,WorkingDB[],6,FALSE)</f>
        <v>0</v>
      </c>
      <c r="AJ21" s="44">
        <f>VLOOKUP(AC21,WorkingDB[],7,FALSE)*AD21+VLOOKUP(AC21,CostDB[],5,FALSE)</f>
        <v>339.1</v>
      </c>
      <c r="AK21" s="16" t="s">
        <v>90</v>
      </c>
      <c r="AL21" s="17">
        <v>0</v>
      </c>
      <c r="AM21" s="18">
        <f>VLOOKUP(AK21,WorkingDB[],2,FALSE)</f>
        <v>0</v>
      </c>
      <c r="AN21" s="19">
        <f>VLOOKUP(AK21,WorkingDB[],3,FALSE)</f>
        <v>0</v>
      </c>
      <c r="AO21" s="19">
        <f>VLOOKUP(AK21,WorkingDB[],4,FALSE)</f>
        <v>0</v>
      </c>
      <c r="AP21" s="5">
        <f>VLOOKUP(AK21,WorkingDB[],5,FALSE)</f>
        <v>0</v>
      </c>
      <c r="AQ21" s="5">
        <f>VLOOKUP(AK21,WorkingDB[],6,FALSE)</f>
        <v>0</v>
      </c>
      <c r="AR21" s="44" t="e">
        <f>VLOOKUP(AK21,WorkingDB[],7,FALSE)*AL21+VLOOKUP(AK21,CostDB[],5,FALSE)</f>
        <v>#N/A</v>
      </c>
      <c r="AS21" s="16" t="s">
        <v>90</v>
      </c>
      <c r="AT21" s="17">
        <v>0</v>
      </c>
      <c r="AU21" s="18">
        <f>VLOOKUP(AS21,WorkingDB[],2,FALSE)</f>
        <v>0</v>
      </c>
      <c r="AV21" s="19">
        <f>VLOOKUP(AS21,WorkingDB[],3,FALSE)</f>
        <v>0</v>
      </c>
      <c r="AW21" s="19">
        <f>VLOOKUP(AS21,WorkingDB[],4,FALSE)</f>
        <v>0</v>
      </c>
      <c r="AX21" s="5">
        <f>VLOOKUP(AS21,WorkingDB[],5,FALSE)</f>
        <v>0</v>
      </c>
      <c r="AY21" s="5">
        <f>VLOOKUP(AS21,WorkingDB[],6,FALSE)</f>
        <v>0</v>
      </c>
      <c r="AZ21" s="44" t="e">
        <f>VLOOKUP(AS21,WorkingDB[],7,FALSE)*AT21+VLOOKUP(AS21,CostDB[],5,FALSE)</f>
        <v>#N/A</v>
      </c>
      <c r="BA21" s="27">
        <v>8.35</v>
      </c>
      <c r="BB21" s="20">
        <f>F21+N21+V21+AD21+AL21+AT21</f>
        <v>0.28000000000000003</v>
      </c>
      <c r="BC21" s="18">
        <f t="shared" si="18"/>
        <v>0.31236891046466025</v>
      </c>
      <c r="BD21" s="18">
        <f>BC21*BB21</f>
        <v>8.7463294930104879E-2</v>
      </c>
      <c r="BE21" s="19">
        <f>IF(E21&lt;&gt;"NA",F21*I21,0)+IF(M21&lt;&gt;"NA",N21*Q21,0)+IF(U21&lt;&gt;"NA",V21*Y21,0)+IF(AC21&lt;&gt;"NA",AD21*AG21,0)+IF(AK21&lt;&gt;"NA",AL21*AO21,0)+IF(AS21&lt;&gt;"NA",AT21*AW21,0)</f>
        <v>183.26000000000002</v>
      </c>
      <c r="BF21" s="19">
        <f>BE21/BB21</f>
        <v>654.5</v>
      </c>
      <c r="BG21" s="19">
        <f>IF(E21&lt;&gt;"NA",F21*H21*I21,0)+IF(M21&lt;&gt;"NA",N21*P21*Q21,0)+IF(U21&lt;&gt;"NA",V21*X21*Y21,0)+IF(AC21&lt;&gt;"NA",AD21*AF21*AG21,0)+IF(AK21&lt;&gt;"NA",AL21*AN21*AO21,0)+IF(AS21&lt;&gt;"NA",AT21*AV21*AW21,0)</f>
        <v>206798.40000000002</v>
      </c>
      <c r="BH21" s="19">
        <f>BG21/BE21</f>
        <v>1128.4426497871875</v>
      </c>
      <c r="BI21" s="18">
        <f>((BH21)*BF21*BB21*(1/BC21))/3600</f>
        <v>183.89794270674994</v>
      </c>
      <c r="BJ21" s="22">
        <f>BD21/(BH21*BF21)</f>
        <v>1.1842317242507373E-7</v>
      </c>
      <c r="BK21" s="23">
        <f>BJ21*3600</f>
        <v>4.2632342073026545E-4</v>
      </c>
      <c r="BL21" s="19">
        <f t="shared" si="0"/>
        <v>2602.15</v>
      </c>
      <c r="BM21" s="18"/>
      <c r="BO21" s="5">
        <v>1</v>
      </c>
      <c r="BP21" s="20">
        <f t="shared" si="2"/>
        <v>241.83550185873608</v>
      </c>
      <c r="BR21" s="45">
        <f t="shared" si="3"/>
        <v>22201.200000000001</v>
      </c>
      <c r="BS21" s="45">
        <f t="shared" si="4"/>
        <v>3180</v>
      </c>
      <c r="BT21" s="45">
        <f t="shared" si="5"/>
        <v>159216</v>
      </c>
      <c r="BU21" s="45">
        <f t="shared" si="6"/>
        <v>22201.200000000001</v>
      </c>
      <c r="BV21" s="45">
        <f t="shared" si="7"/>
        <v>0</v>
      </c>
      <c r="BW21" s="45">
        <f t="shared" si="8"/>
        <v>0</v>
      </c>
      <c r="BX21" s="46">
        <f t="shared" si="9"/>
        <v>2.0804438280166437E-2</v>
      </c>
      <c r="BY21" s="46">
        <f t="shared" si="10"/>
        <v>1.9230769230769234</v>
      </c>
      <c r="BZ21" s="46">
        <f t="shared" si="11"/>
        <v>1.0869565217391306</v>
      </c>
      <c r="CA21" s="46">
        <f t="shared" si="12"/>
        <v>2.0804438280166437E-2</v>
      </c>
      <c r="CB21" s="46">
        <f t="shared" si="13"/>
        <v>0</v>
      </c>
      <c r="CC21" s="46">
        <f t="shared" si="14"/>
        <v>0</v>
      </c>
      <c r="CD21" s="45">
        <f t="shared" si="15"/>
        <v>131.41471955596649</v>
      </c>
    </row>
    <row r="22" spans="1:82" ht="14.4" x14ac:dyDescent="0.3">
      <c r="A22" s="5" t="s">
        <v>321</v>
      </c>
      <c r="B22" s="5" t="s">
        <v>249</v>
      </c>
      <c r="C22" s="4" t="s">
        <v>10</v>
      </c>
      <c r="D22" s="27">
        <v>33.4</v>
      </c>
      <c r="E22" s="16" t="s">
        <v>112</v>
      </c>
      <c r="F22" s="17">
        <f>15/1000</f>
        <v>1.4999999999999999E-2</v>
      </c>
      <c r="G22" s="18">
        <f>VLOOKUP(E22,WorkingDB[],2,FALSE)</f>
        <v>0.72099999999999997</v>
      </c>
      <c r="H22" s="19">
        <f>VLOOKUP(E22,WorkingDB[],3,FALSE)</f>
        <v>840</v>
      </c>
      <c r="I22" s="19">
        <f>VLOOKUP(E22,WorkingDB[],4,FALSE)</f>
        <v>1762</v>
      </c>
      <c r="J22" s="5">
        <f>VLOOKUP(E22,WorkingDB[],5,FALSE)</f>
        <v>0</v>
      </c>
      <c r="K22" s="5">
        <f>VLOOKUP(E22,WorkingDB[],6,FALSE)</f>
        <v>0</v>
      </c>
      <c r="L22" s="44">
        <f>VLOOKUP(E22,WorkingDB[],7,FALSE)*F22+VLOOKUP(E22,CostDB[],5,FALSE)</f>
        <v>339.1</v>
      </c>
      <c r="M22" s="16" t="s">
        <v>102</v>
      </c>
      <c r="N22" s="17">
        <v>0.23</v>
      </c>
      <c r="O22" s="18">
        <f>VLOOKUP(M22,WorkingDB[],2,FALSE)</f>
        <v>0.85599999999999998</v>
      </c>
      <c r="P22" s="19">
        <f>VLOOKUP(M22,WorkingDB[],3,FALSE)</f>
        <v>930</v>
      </c>
      <c r="Q22" s="19">
        <f>VLOOKUP(M22,WorkingDB[],4,FALSE)</f>
        <v>1650</v>
      </c>
      <c r="R22" s="5">
        <f>VLOOKUP(M22,WorkingDB[],5,FALSE)</f>
        <v>0</v>
      </c>
      <c r="S22" s="5">
        <f>VLOOKUP(M22,WorkingDB[],6,FALSE)</f>
        <v>0</v>
      </c>
      <c r="T22" s="44">
        <f>VLOOKUP(M22,WorkingDB[],7,FALSE)*N22+VLOOKUP(M22,CostDB[],5,FALSE)</f>
        <v>1935.3695</v>
      </c>
      <c r="U22" s="16" t="s">
        <v>112</v>
      </c>
      <c r="V22" s="17">
        <v>1.4999999999999999E-2</v>
      </c>
      <c r="W22" s="18">
        <f>VLOOKUP(U22,WorkingDB[],2,FALSE)</f>
        <v>0.72099999999999997</v>
      </c>
      <c r="X22" s="19">
        <f>VLOOKUP(U22,WorkingDB[],3,FALSE)</f>
        <v>840</v>
      </c>
      <c r="Y22" s="19">
        <f>VLOOKUP(U22,WorkingDB[],4,FALSE)</f>
        <v>1762</v>
      </c>
      <c r="Z22" s="5">
        <f>VLOOKUP(U22,WorkingDB[],5,FALSE)</f>
        <v>0</v>
      </c>
      <c r="AA22" s="5">
        <f>VLOOKUP(U22,WorkingDB[],6,FALSE)</f>
        <v>0</v>
      </c>
      <c r="AB22" s="44">
        <f>VLOOKUP(U22,WorkingDB[],7,FALSE)*V22+VLOOKUP(U22,CostDB[],5,FALSE)</f>
        <v>339.1</v>
      </c>
      <c r="AC22" s="16" t="s">
        <v>90</v>
      </c>
      <c r="AD22" s="17">
        <v>0</v>
      </c>
      <c r="AE22" s="18">
        <f>VLOOKUP(AC22,WorkingDB[],2,FALSE)</f>
        <v>0</v>
      </c>
      <c r="AF22" s="19">
        <f>VLOOKUP(AC22,WorkingDB[],3,FALSE)</f>
        <v>0</v>
      </c>
      <c r="AG22" s="19">
        <f>VLOOKUP(AC22,WorkingDB[],4,FALSE)</f>
        <v>0</v>
      </c>
      <c r="AH22" s="5">
        <f>VLOOKUP(AC22,WorkingDB[],5,FALSE)</f>
        <v>0</v>
      </c>
      <c r="AI22" s="5">
        <f>VLOOKUP(AC22,WorkingDB[],6,FALSE)</f>
        <v>0</v>
      </c>
      <c r="AJ22" s="44" t="e">
        <f>VLOOKUP(AC22,WorkingDB[],7,FALSE)*AD22+VLOOKUP(AC22,CostDB[],5,FALSE)</f>
        <v>#N/A</v>
      </c>
      <c r="AK22" s="16" t="s">
        <v>90</v>
      </c>
      <c r="AL22" s="17">
        <v>0</v>
      </c>
      <c r="AM22" s="18">
        <f>VLOOKUP(AK22,WorkingDB[],2,FALSE)</f>
        <v>0</v>
      </c>
      <c r="AN22" s="19">
        <f>VLOOKUP(AK22,WorkingDB[],3,FALSE)</f>
        <v>0</v>
      </c>
      <c r="AO22" s="19">
        <f>VLOOKUP(AK22,WorkingDB[],4,FALSE)</f>
        <v>0</v>
      </c>
      <c r="AP22" s="5">
        <f>VLOOKUP(AK22,WorkingDB[],5,FALSE)</f>
        <v>0</v>
      </c>
      <c r="AQ22" s="5">
        <f>VLOOKUP(AK22,WorkingDB[],6,FALSE)</f>
        <v>0</v>
      </c>
      <c r="AR22" s="44" t="e">
        <f>VLOOKUP(AK22,WorkingDB[],7,FALSE)*AL22+VLOOKUP(AK22,CostDB[],5,FALSE)</f>
        <v>#N/A</v>
      </c>
      <c r="AS22" s="16" t="s">
        <v>90</v>
      </c>
      <c r="AT22" s="17">
        <v>0</v>
      </c>
      <c r="AU22" s="18">
        <f>VLOOKUP(AS22,WorkingDB[],2,FALSE)</f>
        <v>0</v>
      </c>
      <c r="AV22" s="19">
        <f>VLOOKUP(AS22,WorkingDB[],3,FALSE)</f>
        <v>0</v>
      </c>
      <c r="AW22" s="19">
        <f>VLOOKUP(AS22,WorkingDB[],4,FALSE)</f>
        <v>0</v>
      </c>
      <c r="AX22" s="5">
        <f>VLOOKUP(AS22,WorkingDB[],5,FALSE)</f>
        <v>0</v>
      </c>
      <c r="AY22" s="5">
        <f>VLOOKUP(AS22,WorkingDB[],6,FALSE)</f>
        <v>0</v>
      </c>
      <c r="AZ22" s="44" t="e">
        <f>VLOOKUP(AS22,WorkingDB[],7,FALSE)*AT22+VLOOKUP(AS22,CostDB[],5,FALSE)</f>
        <v>#N/A</v>
      </c>
      <c r="BA22" s="27">
        <v>8.35</v>
      </c>
      <c r="BB22" s="20">
        <f>F22+N22+V22+AD22+AL22+AT22</f>
        <v>0.26</v>
      </c>
      <c r="BC22" s="18">
        <f t="shared" si="18"/>
        <v>2.1739080144361389</v>
      </c>
      <c r="BD22" s="18">
        <f>BC22*BB22</f>
        <v>0.56521608375339616</v>
      </c>
      <c r="BE22" s="19">
        <f>IF(E22&lt;&gt;"NA",F22*I22,0)+IF(M22&lt;&gt;"NA",N22*Q22,0)+IF(U22&lt;&gt;"NA",V22*Y22,0)+IF(AC22&lt;&gt;"NA",AD22*AG22,0)+IF(AK22&lt;&gt;"NA",AL22*AO22,0)+IF(AS22&lt;&gt;"NA",AT22*AW22,0)</f>
        <v>432.36</v>
      </c>
      <c r="BF22" s="19">
        <f>BE22/BB22</f>
        <v>1662.9230769230769</v>
      </c>
      <c r="BG22" s="19">
        <f>IF(E22&lt;&gt;"NA",F22*H22*I22,0)+IF(M22&lt;&gt;"NA",N22*P22*Q22,0)+IF(U22&lt;&gt;"NA",V22*X22*Y22,0)+IF(AC22&lt;&gt;"NA",AD22*AF22*AG22,0)+IF(AK22&lt;&gt;"NA",AL22*AN22*AO22,0)+IF(AS22&lt;&gt;"NA",AT22*AV22*AW22,0)</f>
        <v>397337.4</v>
      </c>
      <c r="BH22" s="19">
        <f>BG22/BE22</f>
        <v>918.99666944213163</v>
      </c>
      <c r="BI22" s="18">
        <f>((BH22)*BF22*BB22*(1/BC22))/3600</f>
        <v>50.771007451586129</v>
      </c>
      <c r="BJ22" s="22">
        <f>BD22/(BH22*BF22)</f>
        <v>3.6985237678578207E-7</v>
      </c>
      <c r="BK22" s="23">
        <f>BJ22*3600</f>
        <v>1.3314685564288155E-3</v>
      </c>
      <c r="BL22" s="19">
        <f t="shared" si="0"/>
        <v>2613.5695000000001</v>
      </c>
      <c r="BM22" s="18"/>
      <c r="BO22" s="5">
        <v>1</v>
      </c>
      <c r="BP22" s="20">
        <f t="shared" si="2"/>
        <v>242.89679368029741</v>
      </c>
      <c r="BR22" s="45">
        <f t="shared" si="3"/>
        <v>22201.200000000001</v>
      </c>
      <c r="BS22" s="45">
        <f t="shared" si="4"/>
        <v>352935</v>
      </c>
      <c r="BT22" s="45">
        <f t="shared" si="5"/>
        <v>22201.200000000001</v>
      </c>
      <c r="BU22" s="45">
        <f t="shared" si="6"/>
        <v>0</v>
      </c>
      <c r="BV22" s="45">
        <f t="shared" si="7"/>
        <v>0</v>
      </c>
      <c r="BW22" s="45">
        <f t="shared" si="8"/>
        <v>0</v>
      </c>
      <c r="BX22" s="46">
        <f t="shared" si="9"/>
        <v>2.0804438280166437E-2</v>
      </c>
      <c r="BY22" s="46">
        <f t="shared" si="10"/>
        <v>0.26869158878504673</v>
      </c>
      <c r="BZ22" s="46">
        <f t="shared" si="11"/>
        <v>2.0804438280166437E-2</v>
      </c>
      <c r="CA22" s="46">
        <f t="shared" si="12"/>
        <v>0</v>
      </c>
      <c r="CB22" s="46">
        <f t="shared" si="13"/>
        <v>0</v>
      </c>
      <c r="CC22" s="46">
        <f t="shared" si="14"/>
        <v>0</v>
      </c>
      <c r="CD22" s="45">
        <f t="shared" si="15"/>
        <v>20.428699833577497</v>
      </c>
    </row>
    <row r="23" spans="1:82" ht="14.4" x14ac:dyDescent="0.3">
      <c r="A23" s="5" t="s">
        <v>322</v>
      </c>
      <c r="B23" s="5" t="s">
        <v>250</v>
      </c>
      <c r="C23" s="4" t="s">
        <v>10</v>
      </c>
      <c r="D23" s="27">
        <v>33.4</v>
      </c>
      <c r="E23" s="16" t="s">
        <v>112</v>
      </c>
      <c r="F23" s="17">
        <f t="shared" ref="F23:F64" si="28">15/1000</f>
        <v>1.4999999999999999E-2</v>
      </c>
      <c r="G23" s="18">
        <f>VLOOKUP(E23,WorkingDB[],2,FALSE)</f>
        <v>0.72099999999999997</v>
      </c>
      <c r="H23" s="19">
        <f>VLOOKUP(E23,WorkingDB[],3,FALSE)</f>
        <v>840</v>
      </c>
      <c r="I23" s="19">
        <f>VLOOKUP(E23,WorkingDB[],4,FALSE)</f>
        <v>1762</v>
      </c>
      <c r="J23" s="5">
        <f>VLOOKUP(E23,WorkingDB[],5,FALSE)</f>
        <v>0</v>
      </c>
      <c r="K23" s="5">
        <f>VLOOKUP(E23,WorkingDB[],6,FALSE)</f>
        <v>0</v>
      </c>
      <c r="L23" s="44">
        <f>VLOOKUP(E23,WorkingDB[],7,FALSE)*F23+VLOOKUP(E23,CostDB[],5,FALSE)</f>
        <v>339.1</v>
      </c>
      <c r="M23" s="16" t="s">
        <v>237</v>
      </c>
      <c r="N23" s="17">
        <f>25/1000</f>
        <v>2.5000000000000001E-2</v>
      </c>
      <c r="O23" s="18">
        <f>VLOOKUP(M23,WorkingDB[],2,FALSE)</f>
        <v>2.8000000000000001E-2</v>
      </c>
      <c r="P23" s="19">
        <f>VLOOKUP(M23,WorkingDB[],3,FALSE)</f>
        <v>1213</v>
      </c>
      <c r="Q23" s="19">
        <f>VLOOKUP(M23,WorkingDB[],4,FALSE)</f>
        <v>35</v>
      </c>
      <c r="R23" s="5">
        <f>VLOOKUP(M23,WorkingDB[],5,FALSE)</f>
        <v>0</v>
      </c>
      <c r="S23" s="5">
        <f>VLOOKUP(M23,WorkingDB[],6,FALSE)</f>
        <v>0</v>
      </c>
      <c r="T23" s="44">
        <f>VLOOKUP(M23,WorkingDB[],7,FALSE)*N23+VLOOKUP(M23,CostDB[],5,FALSE)</f>
        <v>575.65</v>
      </c>
      <c r="U23" s="16" t="s">
        <v>102</v>
      </c>
      <c r="V23" s="17">
        <v>0.23</v>
      </c>
      <c r="W23" s="18">
        <f>VLOOKUP(U23,WorkingDB[],2,FALSE)</f>
        <v>0.85599999999999998</v>
      </c>
      <c r="X23" s="19">
        <f>VLOOKUP(U23,WorkingDB[],3,FALSE)</f>
        <v>930</v>
      </c>
      <c r="Y23" s="19">
        <f>VLOOKUP(U23,WorkingDB[],4,FALSE)</f>
        <v>1650</v>
      </c>
      <c r="Z23" s="5">
        <f>VLOOKUP(U23,WorkingDB[],5,FALSE)</f>
        <v>0</v>
      </c>
      <c r="AA23" s="5">
        <f>VLOOKUP(U23,WorkingDB[],6,FALSE)</f>
        <v>0</v>
      </c>
      <c r="AB23" s="44">
        <f>VLOOKUP(U23,WorkingDB[],7,FALSE)*V23+VLOOKUP(U23,CostDB[],5,FALSE)</f>
        <v>1935.3695</v>
      </c>
      <c r="AC23" s="16" t="s">
        <v>90</v>
      </c>
      <c r="AD23" s="17">
        <v>0</v>
      </c>
      <c r="AE23" s="18">
        <f>VLOOKUP(AC23,WorkingDB[],2,FALSE)</f>
        <v>0</v>
      </c>
      <c r="AF23" s="19">
        <f>VLOOKUP(AC23,WorkingDB[],3,FALSE)</f>
        <v>0</v>
      </c>
      <c r="AG23" s="19">
        <f>VLOOKUP(AC23,WorkingDB[],4,FALSE)</f>
        <v>0</v>
      </c>
      <c r="AH23" s="5">
        <f>VLOOKUP(AC23,WorkingDB[],5,FALSE)</f>
        <v>0</v>
      </c>
      <c r="AI23" s="5">
        <f>VLOOKUP(AC23,WorkingDB[],6,FALSE)</f>
        <v>0</v>
      </c>
      <c r="AJ23" s="44" t="e">
        <f>VLOOKUP(AC23,WorkingDB[],7,FALSE)*AD23+VLOOKUP(AC23,CostDB[],5,FALSE)</f>
        <v>#N/A</v>
      </c>
      <c r="AK23" s="16" t="s">
        <v>90</v>
      </c>
      <c r="AL23" s="17">
        <v>0</v>
      </c>
      <c r="AM23" s="18">
        <f>VLOOKUP(AK23,WorkingDB[],2,FALSE)</f>
        <v>0</v>
      </c>
      <c r="AN23" s="19">
        <f>VLOOKUP(AK23,WorkingDB[],3,FALSE)</f>
        <v>0</v>
      </c>
      <c r="AO23" s="19">
        <f>VLOOKUP(AK23,WorkingDB[],4,FALSE)</f>
        <v>0</v>
      </c>
      <c r="AP23" s="5">
        <f>VLOOKUP(AK23,WorkingDB[],5,FALSE)</f>
        <v>0</v>
      </c>
      <c r="AQ23" s="5">
        <f>VLOOKUP(AK23,WorkingDB[],6,FALSE)</f>
        <v>0</v>
      </c>
      <c r="AR23" s="44" t="e">
        <f>VLOOKUP(AK23,WorkingDB[],7,FALSE)*AL23+VLOOKUP(AK23,CostDB[],5,FALSE)</f>
        <v>#N/A</v>
      </c>
      <c r="AS23" s="16" t="s">
        <v>90</v>
      </c>
      <c r="AT23" s="17">
        <v>0</v>
      </c>
      <c r="AU23" s="18">
        <f>VLOOKUP(AS23,WorkingDB[],2,FALSE)</f>
        <v>0</v>
      </c>
      <c r="AV23" s="19">
        <f>VLOOKUP(AS23,WorkingDB[],3,FALSE)</f>
        <v>0</v>
      </c>
      <c r="AW23" s="19">
        <f>VLOOKUP(AS23,WorkingDB[],4,FALSE)</f>
        <v>0</v>
      </c>
      <c r="AX23" s="5">
        <f>VLOOKUP(AS23,WorkingDB[],5,FALSE)</f>
        <v>0</v>
      </c>
      <c r="AY23" s="5">
        <f>VLOOKUP(AS23,WorkingDB[],6,FALSE)</f>
        <v>0</v>
      </c>
      <c r="AZ23" s="44" t="e">
        <f>VLOOKUP(AS23,WorkingDB[],7,FALSE)*AT23+VLOOKUP(AS23,CostDB[],5,FALSE)</f>
        <v>#N/A</v>
      </c>
      <c r="BA23" s="27">
        <v>8.35</v>
      </c>
      <c r="BB23" s="20">
        <f>F23+N23+V23+AD23+AL23+AT23</f>
        <v>0.27</v>
      </c>
      <c r="BC23" s="18">
        <f>1/(1/D23+IF(E23&lt;&gt;"NA",F23/G23,0)+IF(M23&lt;&gt;"NA",N23/O23,0)+IF(U23&lt;&gt;"NA",V23/W23,0)+IF(AC23&lt;&gt;"NA",AD23/AE23,0)+IF(AK23&lt;&gt;"NA",AL23/AM23,0)+IF(AS23&lt;&gt;"NA",AT23/AU23,0)+1/BA23)</f>
        <v>0.75072044648569647</v>
      </c>
      <c r="BD23" s="18">
        <f>BC23*BB23</f>
        <v>0.20269452055113807</v>
      </c>
      <c r="BE23" s="19">
        <f>IF(E23&lt;&gt;"NA",F23*I23,0)+IF(M23&lt;&gt;"NA",N23*Q23,0)+IF(U23&lt;&gt;"NA",V23*Y23,0)+IF(AC23&lt;&gt;"NA",AD23*AG23,0)+IF(AK23&lt;&gt;"NA",AL23*AO23,0)+IF(AS23&lt;&gt;"NA",AT23*AW23,0)</f>
        <v>406.80500000000001</v>
      </c>
      <c r="BF23" s="19">
        <f>BE23/BB23</f>
        <v>1506.6851851851852</v>
      </c>
      <c r="BG23" s="19">
        <f>IF(E23&lt;&gt;"NA",F23*H23*I23,0)+IF(M23&lt;&gt;"NA",N23*P23*Q23,0)+IF(U23&lt;&gt;"NA",V23*X23*Y23,0)+IF(AC23&lt;&gt;"NA",AD23*AF23*AG23,0)+IF(AK23&lt;&gt;"NA",AL23*AN23*AO23,0)+IF(AS23&lt;&gt;"NA",AT23*AV23*AW23,0)</f>
        <v>376197.57500000001</v>
      </c>
      <c r="BH23" s="19">
        <f>BG23/BE23</f>
        <v>924.76143361069796</v>
      </c>
      <c r="BI23" s="18">
        <f>((BH23)*BF23*BB23*(1/BC23))/3600</f>
        <v>139.19872154551732</v>
      </c>
      <c r="BJ23" s="22">
        <f>BD23/(BH23*BF23)</f>
        <v>1.4547547402134975E-7</v>
      </c>
      <c r="BK23" s="23">
        <f>BJ23*3600</f>
        <v>5.2371170647685906E-4</v>
      </c>
      <c r="BL23" s="19">
        <f t="shared" ref="BL23:BL64" si="29">IF(ISNA(L23)=FALSE,L23,0)+IF(ISNA(T23)=FALSE,T23,0)+IF(ISNA(AB23)=FALSE,AB23,0)+IF(ISNA(AJ23)=FALSE,AJ23,0)+IF(ISNA(AR23)=FALSE,AR23,0)+IF(ISNA(AZ23)=FALSE,AZ23,0)</f>
        <v>2850.1194999999998</v>
      </c>
      <c r="BM23" s="18"/>
      <c r="BO23" s="5">
        <v>1</v>
      </c>
      <c r="BP23" s="20">
        <f t="shared" si="2"/>
        <v>264.88099442379183</v>
      </c>
      <c r="BR23" s="45">
        <f t="shared" si="3"/>
        <v>22201.200000000001</v>
      </c>
      <c r="BS23" s="45">
        <f t="shared" si="4"/>
        <v>1061.375</v>
      </c>
      <c r="BT23" s="45">
        <f t="shared" si="5"/>
        <v>352935</v>
      </c>
      <c r="BU23" s="45">
        <f t="shared" si="6"/>
        <v>0</v>
      </c>
      <c r="BV23" s="45">
        <f t="shared" si="7"/>
        <v>0</v>
      </c>
      <c r="BW23" s="45">
        <f t="shared" si="8"/>
        <v>0</v>
      </c>
      <c r="BX23" s="46">
        <f t="shared" si="9"/>
        <v>2.0804438280166437E-2</v>
      </c>
      <c r="BY23" s="46">
        <f t="shared" si="10"/>
        <v>0.8928571428571429</v>
      </c>
      <c r="BZ23" s="46">
        <f t="shared" si="11"/>
        <v>0.26869158878504673</v>
      </c>
      <c r="CA23" s="46">
        <f t="shared" si="12"/>
        <v>0</v>
      </c>
      <c r="CB23" s="46">
        <f t="shared" si="13"/>
        <v>0</v>
      </c>
      <c r="CC23" s="46">
        <f t="shared" si="14"/>
        <v>0</v>
      </c>
      <c r="CD23" s="45">
        <f t="shared" si="15"/>
        <v>106.07464853193771</v>
      </c>
    </row>
    <row r="24" spans="1:82" ht="14.4" x14ac:dyDescent="0.3">
      <c r="A24" s="5" t="s">
        <v>323</v>
      </c>
      <c r="B24" s="5" t="s">
        <v>251</v>
      </c>
      <c r="C24" s="4" t="s">
        <v>10</v>
      </c>
      <c r="D24" s="27">
        <v>33.4</v>
      </c>
      <c r="E24" s="16" t="s">
        <v>112</v>
      </c>
      <c r="F24" s="17">
        <f t="shared" si="28"/>
        <v>1.4999999999999999E-2</v>
      </c>
      <c r="G24" s="18">
        <f>VLOOKUP(E24,WorkingDB[],2,FALSE)</f>
        <v>0.72099999999999997</v>
      </c>
      <c r="H24" s="19">
        <f>VLOOKUP(E24,WorkingDB[],3,FALSE)</f>
        <v>840</v>
      </c>
      <c r="I24" s="19">
        <f>VLOOKUP(E24,WorkingDB[],4,FALSE)</f>
        <v>1762</v>
      </c>
      <c r="J24" s="5">
        <f>VLOOKUP(E24,WorkingDB[],5,FALSE)</f>
        <v>0</v>
      </c>
      <c r="K24" s="5">
        <f>VLOOKUP(E24,WorkingDB[],6,FALSE)</f>
        <v>0</v>
      </c>
      <c r="L24" s="44">
        <f>VLOOKUP(E24,WorkingDB[],7,FALSE)*F24+VLOOKUP(E24,CostDB[],5,FALSE)</f>
        <v>339.1</v>
      </c>
      <c r="M24" s="16" t="s">
        <v>237</v>
      </c>
      <c r="N24" s="17">
        <f>50/1000</f>
        <v>0.05</v>
      </c>
      <c r="O24" s="18">
        <f>VLOOKUP(M24,WorkingDB[],2,FALSE)</f>
        <v>2.8000000000000001E-2</v>
      </c>
      <c r="P24" s="19">
        <f>VLOOKUP(M24,WorkingDB[],3,FALSE)</f>
        <v>1213</v>
      </c>
      <c r="Q24" s="19">
        <f>VLOOKUP(M24,WorkingDB[],4,FALSE)</f>
        <v>35</v>
      </c>
      <c r="R24" s="5">
        <f>VLOOKUP(M24,WorkingDB[],5,FALSE)</f>
        <v>0</v>
      </c>
      <c r="S24" s="5">
        <f>VLOOKUP(M24,WorkingDB[],6,FALSE)</f>
        <v>0</v>
      </c>
      <c r="T24" s="44">
        <f>VLOOKUP(M24,WorkingDB[],7,FALSE)*N24+VLOOKUP(M24,CostDB[],5,FALSE)</f>
        <v>850.65</v>
      </c>
      <c r="U24" s="16" t="s">
        <v>102</v>
      </c>
      <c r="V24" s="17">
        <v>0.23</v>
      </c>
      <c r="W24" s="18">
        <f>VLOOKUP(U24,WorkingDB[],2,FALSE)</f>
        <v>0.85599999999999998</v>
      </c>
      <c r="X24" s="19">
        <f>VLOOKUP(U24,WorkingDB[],3,FALSE)</f>
        <v>930</v>
      </c>
      <c r="Y24" s="19">
        <f>VLOOKUP(U24,WorkingDB[],4,FALSE)</f>
        <v>1650</v>
      </c>
      <c r="Z24" s="5">
        <f>VLOOKUP(U24,WorkingDB[],5,FALSE)</f>
        <v>0</v>
      </c>
      <c r="AA24" s="5">
        <f>VLOOKUP(U24,WorkingDB[],6,FALSE)</f>
        <v>0</v>
      </c>
      <c r="AB24" s="44">
        <f>VLOOKUP(U24,WorkingDB[],7,FALSE)*V24+VLOOKUP(U24,CostDB[],5,FALSE)</f>
        <v>1935.3695</v>
      </c>
      <c r="AC24" s="16" t="s">
        <v>112</v>
      </c>
      <c r="AD24" s="17">
        <f t="shared" ref="AD24:AD44" si="30">15/1000</f>
        <v>1.4999999999999999E-2</v>
      </c>
      <c r="AE24" s="18">
        <f>VLOOKUP(AC24,WorkingDB[],2,FALSE)</f>
        <v>0.72099999999999997</v>
      </c>
      <c r="AF24" s="19">
        <f>VLOOKUP(AC24,WorkingDB[],3,FALSE)</f>
        <v>840</v>
      </c>
      <c r="AG24" s="19">
        <f>VLOOKUP(AC24,WorkingDB[],4,FALSE)</f>
        <v>1762</v>
      </c>
      <c r="AH24" s="5">
        <f>VLOOKUP(AC24,WorkingDB[],5,FALSE)</f>
        <v>0</v>
      </c>
      <c r="AI24" s="5">
        <f>VLOOKUP(AC24,WorkingDB[],6,FALSE)</f>
        <v>0</v>
      </c>
      <c r="AJ24" s="44">
        <f>VLOOKUP(AC24,WorkingDB[],7,FALSE)*AD24+VLOOKUP(AC24,CostDB[],5,FALSE)</f>
        <v>339.1</v>
      </c>
      <c r="AK24" s="16" t="s">
        <v>90</v>
      </c>
      <c r="AL24" s="17">
        <v>0</v>
      </c>
      <c r="AM24" s="18">
        <f>VLOOKUP(AK24,WorkingDB[],2,FALSE)</f>
        <v>0</v>
      </c>
      <c r="AN24" s="19">
        <f>VLOOKUP(AK24,WorkingDB[],3,FALSE)</f>
        <v>0</v>
      </c>
      <c r="AO24" s="19">
        <f>VLOOKUP(AK24,WorkingDB[],4,FALSE)</f>
        <v>0</v>
      </c>
      <c r="AP24" s="5">
        <f>VLOOKUP(AK24,WorkingDB[],5,FALSE)</f>
        <v>0</v>
      </c>
      <c r="AQ24" s="5">
        <f>VLOOKUP(AK24,WorkingDB[],6,FALSE)</f>
        <v>0</v>
      </c>
      <c r="AR24" s="44" t="e">
        <f>VLOOKUP(AK24,WorkingDB[],7,FALSE)*AL24+VLOOKUP(AK24,CostDB[],5,FALSE)</f>
        <v>#N/A</v>
      </c>
      <c r="AS24" s="16" t="s">
        <v>90</v>
      </c>
      <c r="AT24" s="17">
        <v>0</v>
      </c>
      <c r="AU24" s="18">
        <f>VLOOKUP(AS24,WorkingDB[],2,FALSE)</f>
        <v>0</v>
      </c>
      <c r="AV24" s="19">
        <f>VLOOKUP(AS24,WorkingDB[],3,FALSE)</f>
        <v>0</v>
      </c>
      <c r="AW24" s="19">
        <f>VLOOKUP(AS24,WorkingDB[],4,FALSE)</f>
        <v>0</v>
      </c>
      <c r="AX24" s="5">
        <f>VLOOKUP(AS24,WorkingDB[],5,FALSE)</f>
        <v>0</v>
      </c>
      <c r="AY24" s="5">
        <f>VLOOKUP(AS24,WorkingDB[],6,FALSE)</f>
        <v>0</v>
      </c>
      <c r="AZ24" s="44" t="e">
        <f>VLOOKUP(AS24,WorkingDB[],7,FALSE)*AT24+VLOOKUP(AS24,CostDB[],5,FALSE)</f>
        <v>#N/A</v>
      </c>
      <c r="BA24" s="27">
        <v>8.35</v>
      </c>
      <c r="BB24" s="20">
        <f t="shared" ref="BB24:BB41" si="31">F24+N24+V24+AD24+AL24+AT24</f>
        <v>0.31000000000000005</v>
      </c>
      <c r="BC24" s="18">
        <f t="shared" ref="BC24:BC41" si="32">1/(1/D24+IF(E24&lt;&gt;"NA",F24/G24,0)+IF(M24&lt;&gt;"NA",N24/O24,0)+IF(U24&lt;&gt;"NA",V24/W24,0)+IF(AC24&lt;&gt;"NA",AD24/AE24,0)+IF(AK24&lt;&gt;"NA",AL24/AM24,0)+IF(AS24&lt;&gt;"NA",AT24/AU24,0)+1/BA24)</f>
        <v>0.4452924098601469</v>
      </c>
      <c r="BD24" s="18">
        <f t="shared" ref="BD24:BD41" si="33">BC24*BB24</f>
        <v>0.13804064705664557</v>
      </c>
      <c r="BE24" s="19">
        <f t="shared" ref="BE24:BE41" si="34">IF(E24&lt;&gt;"NA",F24*I24,0)+IF(M24&lt;&gt;"NA",N24*Q24,0)+IF(U24&lt;&gt;"NA",V24*Y24,0)+IF(AC24&lt;&gt;"NA",AD24*AG24,0)+IF(AK24&lt;&gt;"NA",AL24*AO24,0)+IF(AS24&lt;&gt;"NA",AT24*AW24,0)</f>
        <v>434.11</v>
      </c>
      <c r="BF24" s="19">
        <f t="shared" ref="BF24:BF41" si="35">BE24/BB24</f>
        <v>1400.3548387096773</v>
      </c>
      <c r="BG24" s="19">
        <f t="shared" ref="BG24:BG41" si="36">IF(E24&lt;&gt;"NA",F24*H24*I24,0)+IF(M24&lt;&gt;"NA",N24*P24*Q24,0)+IF(U24&lt;&gt;"NA",V24*X24*Y24,0)+IF(AC24&lt;&gt;"NA",AD24*AF24*AG24,0)+IF(AK24&lt;&gt;"NA",AL24*AN24*AO24,0)+IF(AS24&lt;&gt;"NA",AT24*AV24*AW24,0)</f>
        <v>399460.15</v>
      </c>
      <c r="BH24" s="19">
        <f t="shared" ref="BH24:BH41" si="37">BG24/BE24</f>
        <v>920.18186634723918</v>
      </c>
      <c r="BI24" s="18">
        <f t="shared" ref="BI24:BI41" si="38">((BH24)*BF24*BB24*(1/BC24))/3600</f>
        <v>249.18716403144484</v>
      </c>
      <c r="BJ24" s="22">
        <f t="shared" ref="BJ24:BJ41" si="39">BD24/(BH24*BF24)</f>
        <v>1.0712608150665374E-7</v>
      </c>
      <c r="BK24" s="23">
        <f t="shared" ref="BK24:BK64" si="40">BJ24*3600</f>
        <v>3.8565389342395349E-4</v>
      </c>
      <c r="BL24" s="19">
        <f t="shared" si="29"/>
        <v>3464.2194999999997</v>
      </c>
      <c r="BM24" s="18"/>
      <c r="BO24" s="5">
        <v>1</v>
      </c>
      <c r="BP24" s="20">
        <f t="shared" si="2"/>
        <v>321.95348513011152</v>
      </c>
      <c r="BR24" s="45">
        <f t="shared" si="3"/>
        <v>22201.200000000001</v>
      </c>
      <c r="BS24" s="45">
        <f t="shared" si="4"/>
        <v>2122.75</v>
      </c>
      <c r="BT24" s="45">
        <f t="shared" si="5"/>
        <v>352935</v>
      </c>
      <c r="BU24" s="45">
        <f t="shared" si="6"/>
        <v>22201.200000000001</v>
      </c>
      <c r="BV24" s="45">
        <f t="shared" si="7"/>
        <v>0</v>
      </c>
      <c r="BW24" s="45">
        <f t="shared" si="8"/>
        <v>0</v>
      </c>
      <c r="BX24" s="46">
        <f t="shared" si="9"/>
        <v>2.0804438280166437E-2</v>
      </c>
      <c r="BY24" s="46">
        <f t="shared" si="10"/>
        <v>1.7857142857142858</v>
      </c>
      <c r="BZ24" s="46">
        <f t="shared" si="11"/>
        <v>0.26869158878504673</v>
      </c>
      <c r="CA24" s="46">
        <f t="shared" si="12"/>
        <v>2.0804438280166437E-2</v>
      </c>
      <c r="CB24" s="46">
        <f t="shared" si="13"/>
        <v>0</v>
      </c>
      <c r="CC24" s="46">
        <f t="shared" si="14"/>
        <v>0</v>
      </c>
      <c r="CD24" s="45">
        <f t="shared" si="15"/>
        <v>207.06456148334203</v>
      </c>
    </row>
    <row r="25" spans="1:82" ht="14.4" x14ac:dyDescent="0.3">
      <c r="A25" s="5" t="s">
        <v>324</v>
      </c>
      <c r="B25" s="5" t="s">
        <v>252</v>
      </c>
      <c r="C25" s="4" t="s">
        <v>10</v>
      </c>
      <c r="D25" s="27">
        <v>33.4</v>
      </c>
      <c r="E25" s="16" t="s">
        <v>112</v>
      </c>
      <c r="F25" s="17">
        <f t="shared" si="28"/>
        <v>1.4999999999999999E-2</v>
      </c>
      <c r="G25" s="18">
        <f>VLOOKUP(E25,WorkingDB[],2,FALSE)</f>
        <v>0.72099999999999997</v>
      </c>
      <c r="H25" s="19">
        <f>VLOOKUP(E25,WorkingDB[],3,FALSE)</f>
        <v>840</v>
      </c>
      <c r="I25" s="19">
        <f>VLOOKUP(E25,WorkingDB[],4,FALSE)</f>
        <v>1762</v>
      </c>
      <c r="J25" s="5">
        <f>VLOOKUP(E25,WorkingDB[],5,FALSE)</f>
        <v>0</v>
      </c>
      <c r="K25" s="5">
        <f>VLOOKUP(E25,WorkingDB[],6,FALSE)</f>
        <v>0</v>
      </c>
      <c r="L25" s="44">
        <f>VLOOKUP(E25,WorkingDB[],7,FALSE)*F25+VLOOKUP(E25,CostDB[],5,FALSE)</f>
        <v>339.1</v>
      </c>
      <c r="M25" s="16" t="s">
        <v>238</v>
      </c>
      <c r="N25" s="17">
        <f>25/1000</f>
        <v>2.5000000000000001E-2</v>
      </c>
      <c r="O25" s="18">
        <f>VLOOKUP(M25,WorkingDB[],2,FALSE)</f>
        <v>3.7999999999999999E-2</v>
      </c>
      <c r="P25" s="19">
        <f>VLOOKUP(M25,WorkingDB[],3,FALSE)</f>
        <v>1213</v>
      </c>
      <c r="Q25" s="19">
        <f>VLOOKUP(M25,WorkingDB[],4,FALSE)</f>
        <v>28</v>
      </c>
      <c r="R25" s="5">
        <f>VLOOKUP(M25,WorkingDB[],5,FALSE)</f>
        <v>0</v>
      </c>
      <c r="S25" s="5">
        <f>VLOOKUP(M25,WorkingDB[],6,FALSE)</f>
        <v>0</v>
      </c>
      <c r="T25" s="44">
        <f>VLOOKUP(M25,WorkingDB[],7,FALSE)*N25+VLOOKUP(M25,CostDB[],5,FALSE)</f>
        <v>2839.9250000000002</v>
      </c>
      <c r="U25" s="16" t="s">
        <v>102</v>
      </c>
      <c r="V25" s="17">
        <v>0.23</v>
      </c>
      <c r="W25" s="18">
        <f>VLOOKUP(U25,WorkingDB[],2,FALSE)</f>
        <v>0.85599999999999998</v>
      </c>
      <c r="X25" s="19">
        <f>VLOOKUP(U25,WorkingDB[],3,FALSE)</f>
        <v>930</v>
      </c>
      <c r="Y25" s="19">
        <f>VLOOKUP(U25,WorkingDB[],4,FALSE)</f>
        <v>1650</v>
      </c>
      <c r="Z25" s="5">
        <f>VLOOKUP(U25,WorkingDB[],5,FALSE)</f>
        <v>0</v>
      </c>
      <c r="AA25" s="5">
        <f>VLOOKUP(U25,WorkingDB[],6,FALSE)</f>
        <v>0</v>
      </c>
      <c r="AB25" s="44">
        <f>VLOOKUP(U25,WorkingDB[],7,FALSE)*V25+VLOOKUP(U25,CostDB[],5,FALSE)</f>
        <v>1935.3695</v>
      </c>
      <c r="AC25" s="16" t="s">
        <v>112</v>
      </c>
      <c r="AD25" s="17">
        <f t="shared" si="30"/>
        <v>1.4999999999999999E-2</v>
      </c>
      <c r="AE25" s="18">
        <f>VLOOKUP(AC25,WorkingDB[],2,FALSE)</f>
        <v>0.72099999999999997</v>
      </c>
      <c r="AF25" s="19">
        <f>VLOOKUP(AC25,WorkingDB[],3,FALSE)</f>
        <v>840</v>
      </c>
      <c r="AG25" s="19">
        <f>VLOOKUP(AC25,WorkingDB[],4,FALSE)</f>
        <v>1762</v>
      </c>
      <c r="AH25" s="5">
        <f>VLOOKUP(AC25,WorkingDB[],5,FALSE)</f>
        <v>0</v>
      </c>
      <c r="AI25" s="5">
        <f>VLOOKUP(AC25,WorkingDB[],6,FALSE)</f>
        <v>0</v>
      </c>
      <c r="AJ25" s="44">
        <f>VLOOKUP(AC25,WorkingDB[],7,FALSE)*AD25+VLOOKUP(AC25,CostDB[],5,FALSE)</f>
        <v>339.1</v>
      </c>
      <c r="AK25" s="16" t="s">
        <v>90</v>
      </c>
      <c r="AL25" s="17">
        <v>0</v>
      </c>
      <c r="AM25" s="18">
        <f>VLOOKUP(AK25,WorkingDB[],2,FALSE)</f>
        <v>0</v>
      </c>
      <c r="AN25" s="19">
        <f>VLOOKUP(AK25,WorkingDB[],3,FALSE)</f>
        <v>0</v>
      </c>
      <c r="AO25" s="19">
        <f>VLOOKUP(AK25,WorkingDB[],4,FALSE)</f>
        <v>0</v>
      </c>
      <c r="AP25" s="5">
        <f>VLOOKUP(AK25,WorkingDB[],5,FALSE)</f>
        <v>0</v>
      </c>
      <c r="AQ25" s="5">
        <f>VLOOKUP(AK25,WorkingDB[],6,FALSE)</f>
        <v>0</v>
      </c>
      <c r="AR25" s="44" t="e">
        <f>VLOOKUP(AK25,WorkingDB[],7,FALSE)*AL25+VLOOKUP(AK25,CostDB[],5,FALSE)</f>
        <v>#N/A</v>
      </c>
      <c r="AS25" s="16" t="s">
        <v>90</v>
      </c>
      <c r="AT25" s="17">
        <v>0</v>
      </c>
      <c r="AU25" s="18">
        <f>VLOOKUP(AS25,WorkingDB[],2,FALSE)</f>
        <v>0</v>
      </c>
      <c r="AV25" s="19">
        <f>VLOOKUP(AS25,WorkingDB[],3,FALSE)</f>
        <v>0</v>
      </c>
      <c r="AW25" s="19">
        <f>VLOOKUP(AS25,WorkingDB[],4,FALSE)</f>
        <v>0</v>
      </c>
      <c r="AX25" s="5">
        <f>VLOOKUP(AS25,WorkingDB[],5,FALSE)</f>
        <v>0</v>
      </c>
      <c r="AY25" s="5">
        <f>VLOOKUP(AS25,WorkingDB[],6,FALSE)</f>
        <v>0</v>
      </c>
      <c r="AZ25" s="44" t="e">
        <f>VLOOKUP(AS25,WorkingDB[],7,FALSE)*AT25+VLOOKUP(AS25,CostDB[],5,FALSE)</f>
        <v>#N/A</v>
      </c>
      <c r="BA25" s="27">
        <v>8.35</v>
      </c>
      <c r="BB25" s="20">
        <f t="shared" si="31"/>
        <v>0.28500000000000003</v>
      </c>
      <c r="BC25" s="18">
        <f t="shared" si="32"/>
        <v>0.89453775487349974</v>
      </c>
      <c r="BD25" s="18">
        <f t="shared" si="33"/>
        <v>0.25494326013894747</v>
      </c>
      <c r="BE25" s="19">
        <f t="shared" si="34"/>
        <v>433.06</v>
      </c>
      <c r="BF25" s="19">
        <f t="shared" si="35"/>
        <v>1519.5087719298244</v>
      </c>
      <c r="BG25" s="19">
        <f t="shared" si="36"/>
        <v>398186.5</v>
      </c>
      <c r="BH25" s="19">
        <f t="shared" si="37"/>
        <v>919.47189765852306</v>
      </c>
      <c r="BI25" s="18">
        <f t="shared" si="38"/>
        <v>123.64750454468246</v>
      </c>
      <c r="BJ25" s="22">
        <f t="shared" si="39"/>
        <v>1.8247436600587923E-7</v>
      </c>
      <c r="BK25" s="23">
        <f t="shared" si="40"/>
        <v>6.5690771762116527E-4</v>
      </c>
      <c r="BL25" s="19">
        <f t="shared" si="29"/>
        <v>5453.4945000000007</v>
      </c>
      <c r="BM25" s="18"/>
      <c r="BO25" s="5">
        <v>1</v>
      </c>
      <c r="BP25" s="20">
        <f t="shared" si="2"/>
        <v>506.83034386617106</v>
      </c>
      <c r="BR25" s="45">
        <f t="shared" si="3"/>
        <v>22201.200000000001</v>
      </c>
      <c r="BS25" s="45">
        <f t="shared" si="4"/>
        <v>849.10000000000014</v>
      </c>
      <c r="BT25" s="45">
        <f t="shared" si="5"/>
        <v>352935</v>
      </c>
      <c r="BU25" s="45">
        <f t="shared" si="6"/>
        <v>22201.200000000001</v>
      </c>
      <c r="BV25" s="45">
        <f t="shared" si="7"/>
        <v>0</v>
      </c>
      <c r="BW25" s="45">
        <f t="shared" si="8"/>
        <v>0</v>
      </c>
      <c r="BX25" s="46">
        <f t="shared" si="9"/>
        <v>2.0804438280166437E-2</v>
      </c>
      <c r="BY25" s="46">
        <f t="shared" si="10"/>
        <v>0.65789473684210531</v>
      </c>
      <c r="BZ25" s="46">
        <f t="shared" si="11"/>
        <v>0.26869158878504673</v>
      </c>
      <c r="CA25" s="46">
        <f t="shared" si="12"/>
        <v>2.0804438280166437E-2</v>
      </c>
      <c r="CB25" s="46">
        <f t="shared" si="13"/>
        <v>0</v>
      </c>
      <c r="CC25" s="46">
        <f t="shared" si="14"/>
        <v>0</v>
      </c>
      <c r="CD25" s="45">
        <f t="shared" si="15"/>
        <v>89.07384649849584</v>
      </c>
    </row>
    <row r="26" spans="1:82" ht="14.4" x14ac:dyDescent="0.3">
      <c r="A26" s="5" t="s">
        <v>325</v>
      </c>
      <c r="B26" s="5" t="s">
        <v>253</v>
      </c>
      <c r="C26" s="4" t="s">
        <v>10</v>
      </c>
      <c r="D26" s="27">
        <v>33.4</v>
      </c>
      <c r="E26" s="16" t="s">
        <v>112</v>
      </c>
      <c r="F26" s="17">
        <f t="shared" si="28"/>
        <v>1.4999999999999999E-2</v>
      </c>
      <c r="G26" s="18">
        <f>VLOOKUP(E26,WorkingDB[],2,FALSE)</f>
        <v>0.72099999999999997</v>
      </c>
      <c r="H26" s="19">
        <f>VLOOKUP(E26,WorkingDB[],3,FALSE)</f>
        <v>840</v>
      </c>
      <c r="I26" s="19">
        <f>VLOOKUP(E26,WorkingDB[],4,FALSE)</f>
        <v>1762</v>
      </c>
      <c r="J26" s="5">
        <f>VLOOKUP(E26,WorkingDB[],5,FALSE)</f>
        <v>0</v>
      </c>
      <c r="K26" s="5">
        <f>VLOOKUP(E26,WorkingDB[],6,FALSE)</f>
        <v>0</v>
      </c>
      <c r="L26" s="44">
        <f>VLOOKUP(E26,WorkingDB[],7,FALSE)*F26+VLOOKUP(E26,CostDB[],5,FALSE)</f>
        <v>339.1</v>
      </c>
      <c r="M26" s="16" t="s">
        <v>238</v>
      </c>
      <c r="N26" s="17">
        <f>50/1000</f>
        <v>0.05</v>
      </c>
      <c r="O26" s="18">
        <f>VLOOKUP(M26,WorkingDB[],2,FALSE)</f>
        <v>3.7999999999999999E-2</v>
      </c>
      <c r="P26" s="19">
        <f>VLOOKUP(M26,WorkingDB[],3,FALSE)</f>
        <v>1213</v>
      </c>
      <c r="Q26" s="19">
        <f>VLOOKUP(M26,WorkingDB[],4,FALSE)</f>
        <v>28</v>
      </c>
      <c r="R26" s="5">
        <f>VLOOKUP(M26,WorkingDB[],5,FALSE)</f>
        <v>0</v>
      </c>
      <c r="S26" s="5">
        <f>VLOOKUP(M26,WorkingDB[],6,FALSE)</f>
        <v>0</v>
      </c>
      <c r="T26" s="44">
        <f>VLOOKUP(M26,WorkingDB[],7,FALSE)*N26+VLOOKUP(M26,CostDB[],5,FALSE)</f>
        <v>3011.8</v>
      </c>
      <c r="U26" s="16" t="s">
        <v>102</v>
      </c>
      <c r="V26" s="17">
        <v>0.23</v>
      </c>
      <c r="W26" s="18">
        <f>VLOOKUP(U26,WorkingDB[],2,FALSE)</f>
        <v>0.85599999999999998</v>
      </c>
      <c r="X26" s="19">
        <f>VLOOKUP(U26,WorkingDB[],3,FALSE)</f>
        <v>930</v>
      </c>
      <c r="Y26" s="19">
        <f>VLOOKUP(U26,WorkingDB[],4,FALSE)</f>
        <v>1650</v>
      </c>
      <c r="Z26" s="5">
        <f>VLOOKUP(U26,WorkingDB[],5,FALSE)</f>
        <v>0</v>
      </c>
      <c r="AA26" s="5">
        <f>VLOOKUP(U26,WorkingDB[],6,FALSE)</f>
        <v>0</v>
      </c>
      <c r="AB26" s="44">
        <f>VLOOKUP(U26,WorkingDB[],7,FALSE)*V26+VLOOKUP(U26,CostDB[],5,FALSE)</f>
        <v>1935.3695</v>
      </c>
      <c r="AC26" s="16" t="s">
        <v>112</v>
      </c>
      <c r="AD26" s="17">
        <f t="shared" si="30"/>
        <v>1.4999999999999999E-2</v>
      </c>
      <c r="AE26" s="18">
        <f>VLOOKUP(AC26,WorkingDB[],2,FALSE)</f>
        <v>0.72099999999999997</v>
      </c>
      <c r="AF26" s="19">
        <f>VLOOKUP(AC26,WorkingDB[],3,FALSE)</f>
        <v>840</v>
      </c>
      <c r="AG26" s="19">
        <f>VLOOKUP(AC26,WorkingDB[],4,FALSE)</f>
        <v>1762</v>
      </c>
      <c r="AH26" s="5">
        <f>VLOOKUP(AC26,WorkingDB[],5,FALSE)</f>
        <v>0</v>
      </c>
      <c r="AI26" s="5">
        <f>VLOOKUP(AC26,WorkingDB[],6,FALSE)</f>
        <v>0</v>
      </c>
      <c r="AJ26" s="44">
        <f>VLOOKUP(AC26,WorkingDB[],7,FALSE)*AD26+VLOOKUP(AC26,CostDB[],5,FALSE)</f>
        <v>339.1</v>
      </c>
      <c r="AK26" s="16" t="s">
        <v>90</v>
      </c>
      <c r="AL26" s="17">
        <v>0</v>
      </c>
      <c r="AM26" s="18">
        <f>VLOOKUP(AK26,WorkingDB[],2,FALSE)</f>
        <v>0</v>
      </c>
      <c r="AN26" s="19">
        <f>VLOOKUP(AK26,WorkingDB[],3,FALSE)</f>
        <v>0</v>
      </c>
      <c r="AO26" s="19">
        <f>VLOOKUP(AK26,WorkingDB[],4,FALSE)</f>
        <v>0</v>
      </c>
      <c r="AP26" s="5">
        <f>VLOOKUP(AK26,WorkingDB[],5,FALSE)</f>
        <v>0</v>
      </c>
      <c r="AQ26" s="5">
        <f>VLOOKUP(AK26,WorkingDB[],6,FALSE)</f>
        <v>0</v>
      </c>
      <c r="AR26" s="44" t="e">
        <f>VLOOKUP(AK26,WorkingDB[],7,FALSE)*AL26+VLOOKUP(AK26,CostDB[],5,FALSE)</f>
        <v>#N/A</v>
      </c>
      <c r="AS26" s="16" t="s">
        <v>90</v>
      </c>
      <c r="AT26" s="17">
        <v>0</v>
      </c>
      <c r="AU26" s="18">
        <f>VLOOKUP(AS26,WorkingDB[],2,FALSE)</f>
        <v>0</v>
      </c>
      <c r="AV26" s="19">
        <f>VLOOKUP(AS26,WorkingDB[],3,FALSE)</f>
        <v>0</v>
      </c>
      <c r="AW26" s="19">
        <f>VLOOKUP(AS26,WorkingDB[],4,FALSE)</f>
        <v>0</v>
      </c>
      <c r="AX26" s="5">
        <f>VLOOKUP(AS26,WorkingDB[],5,FALSE)</f>
        <v>0</v>
      </c>
      <c r="AY26" s="5">
        <f>VLOOKUP(AS26,WorkingDB[],6,FALSE)</f>
        <v>0</v>
      </c>
      <c r="AZ26" s="44" t="e">
        <f>VLOOKUP(AS26,WorkingDB[],7,FALSE)*AT26+VLOOKUP(AS26,CostDB[],5,FALSE)</f>
        <v>#N/A</v>
      </c>
      <c r="BA26" s="27">
        <v>8.35</v>
      </c>
      <c r="BB26" s="20">
        <f t="shared" si="31"/>
        <v>0.31000000000000005</v>
      </c>
      <c r="BC26" s="18">
        <f t="shared" si="32"/>
        <v>0.56312947878462782</v>
      </c>
      <c r="BD26" s="18">
        <f t="shared" si="33"/>
        <v>0.17457013842323466</v>
      </c>
      <c r="BE26" s="19">
        <f t="shared" si="34"/>
        <v>433.76</v>
      </c>
      <c r="BF26" s="19">
        <f t="shared" si="35"/>
        <v>1399.2258064516127</v>
      </c>
      <c r="BG26" s="19">
        <f t="shared" si="36"/>
        <v>399035.60000000003</v>
      </c>
      <c r="BH26" s="19">
        <f t="shared" si="37"/>
        <v>919.94559203246047</v>
      </c>
      <c r="BI26" s="18">
        <f t="shared" si="38"/>
        <v>196.8343452050303</v>
      </c>
      <c r="BJ26" s="22">
        <f t="shared" si="39"/>
        <v>1.3561883428747398E-7</v>
      </c>
      <c r="BK26" s="23">
        <f t="shared" si="40"/>
        <v>4.8822780343490632E-4</v>
      </c>
      <c r="BL26" s="19">
        <f t="shared" si="29"/>
        <v>5625.3695000000007</v>
      </c>
      <c r="BM26" s="18"/>
      <c r="BO26" s="5">
        <v>1</v>
      </c>
      <c r="BP26" s="20">
        <f t="shared" si="2"/>
        <v>522.80385687732348</v>
      </c>
      <c r="BR26" s="45">
        <f t="shared" si="3"/>
        <v>22201.200000000001</v>
      </c>
      <c r="BS26" s="45">
        <f t="shared" si="4"/>
        <v>1698.2000000000003</v>
      </c>
      <c r="BT26" s="45">
        <f t="shared" si="5"/>
        <v>352935</v>
      </c>
      <c r="BU26" s="45">
        <f t="shared" si="6"/>
        <v>22201.200000000001</v>
      </c>
      <c r="BV26" s="45">
        <f t="shared" si="7"/>
        <v>0</v>
      </c>
      <c r="BW26" s="45">
        <f t="shared" si="8"/>
        <v>0</v>
      </c>
      <c r="BX26" s="46">
        <f t="shared" si="9"/>
        <v>2.0804438280166437E-2</v>
      </c>
      <c r="BY26" s="46">
        <f t="shared" si="10"/>
        <v>1.3157894736842106</v>
      </c>
      <c r="BZ26" s="46">
        <f t="shared" si="11"/>
        <v>0.26869158878504673</v>
      </c>
      <c r="CA26" s="46">
        <f t="shared" si="12"/>
        <v>2.0804438280166437E-2</v>
      </c>
      <c r="CB26" s="46">
        <f t="shared" si="13"/>
        <v>0</v>
      </c>
      <c r="CC26" s="46">
        <f t="shared" si="14"/>
        <v>0</v>
      </c>
      <c r="CD26" s="45">
        <f t="shared" si="15"/>
        <v>157.87416494703993</v>
      </c>
    </row>
    <row r="27" spans="1:82" ht="14.4" x14ac:dyDescent="0.3">
      <c r="A27" s="5" t="s">
        <v>326</v>
      </c>
      <c r="B27" s="5" t="s">
        <v>254</v>
      </c>
      <c r="C27" s="4" t="s">
        <v>10</v>
      </c>
      <c r="D27" s="27">
        <v>33.4</v>
      </c>
      <c r="E27" s="16" t="s">
        <v>112</v>
      </c>
      <c r="F27" s="17">
        <f t="shared" si="28"/>
        <v>1.4999999999999999E-2</v>
      </c>
      <c r="G27" s="18">
        <f>VLOOKUP(E27,WorkingDB[],2,FALSE)</f>
        <v>0.72099999999999997</v>
      </c>
      <c r="H27" s="19">
        <f>VLOOKUP(E27,WorkingDB[],3,FALSE)</f>
        <v>840</v>
      </c>
      <c r="I27" s="19">
        <f>VLOOKUP(E27,WorkingDB[],4,FALSE)</f>
        <v>1762</v>
      </c>
      <c r="J27" s="5">
        <f>VLOOKUP(E27,WorkingDB[],5,FALSE)</f>
        <v>0</v>
      </c>
      <c r="K27" s="5">
        <f>VLOOKUP(E27,WorkingDB[],6,FALSE)</f>
        <v>0</v>
      </c>
      <c r="L27" s="44">
        <f>VLOOKUP(E27,WorkingDB[],7,FALSE)*F27+VLOOKUP(E27,CostDB[],5,FALSE)</f>
        <v>339.1</v>
      </c>
      <c r="M27" s="16" t="s">
        <v>239</v>
      </c>
      <c r="N27" s="17">
        <f>25/1000</f>
        <v>2.5000000000000001E-2</v>
      </c>
      <c r="O27" s="18">
        <f>VLOOKUP(M27,WorkingDB[],2,FALSE)</f>
        <v>2.5999999999999999E-2</v>
      </c>
      <c r="P27" s="19">
        <f>VLOOKUP(M27,WorkingDB[],3,FALSE)</f>
        <v>1590</v>
      </c>
      <c r="Q27" s="19">
        <f>VLOOKUP(M27,WorkingDB[],4,FALSE)</f>
        <v>40</v>
      </c>
      <c r="R27" s="5">
        <f>VLOOKUP(M27,WorkingDB[],5,FALSE)</f>
        <v>0</v>
      </c>
      <c r="S27" s="5">
        <f>VLOOKUP(M27,WorkingDB[],6,FALSE)</f>
        <v>0</v>
      </c>
      <c r="T27" s="44">
        <f>VLOOKUP(M27,WorkingDB[],7,FALSE)*N27+VLOOKUP(M27,CostDB[],5,FALSE)</f>
        <v>240.625</v>
      </c>
      <c r="U27" s="16" t="s">
        <v>102</v>
      </c>
      <c r="V27" s="17">
        <v>0.23</v>
      </c>
      <c r="W27" s="18">
        <f>VLOOKUP(U27,WorkingDB[],2,FALSE)</f>
        <v>0.85599999999999998</v>
      </c>
      <c r="X27" s="19">
        <f>VLOOKUP(U27,WorkingDB[],3,FALSE)</f>
        <v>930</v>
      </c>
      <c r="Y27" s="19">
        <f>VLOOKUP(U27,WorkingDB[],4,FALSE)</f>
        <v>1650</v>
      </c>
      <c r="Z27" s="5">
        <f>VLOOKUP(U27,WorkingDB[],5,FALSE)</f>
        <v>0</v>
      </c>
      <c r="AA27" s="5">
        <f>VLOOKUP(U27,WorkingDB[],6,FALSE)</f>
        <v>0</v>
      </c>
      <c r="AB27" s="44">
        <f>VLOOKUP(U27,WorkingDB[],7,FALSE)*V27+VLOOKUP(U27,CostDB[],5,FALSE)</f>
        <v>1935.3695</v>
      </c>
      <c r="AC27" s="16" t="s">
        <v>112</v>
      </c>
      <c r="AD27" s="17">
        <f t="shared" si="30"/>
        <v>1.4999999999999999E-2</v>
      </c>
      <c r="AE27" s="18">
        <f>VLOOKUP(AC27,WorkingDB[],2,FALSE)</f>
        <v>0.72099999999999997</v>
      </c>
      <c r="AF27" s="19">
        <f>VLOOKUP(AC27,WorkingDB[],3,FALSE)</f>
        <v>840</v>
      </c>
      <c r="AG27" s="19">
        <f>VLOOKUP(AC27,WorkingDB[],4,FALSE)</f>
        <v>1762</v>
      </c>
      <c r="AH27" s="5">
        <f>VLOOKUP(AC27,WorkingDB[],5,FALSE)</f>
        <v>0</v>
      </c>
      <c r="AI27" s="5">
        <f>VLOOKUP(AC27,WorkingDB[],6,FALSE)</f>
        <v>0</v>
      </c>
      <c r="AJ27" s="44">
        <f>VLOOKUP(AC27,WorkingDB[],7,FALSE)*AD27+VLOOKUP(AC27,CostDB[],5,FALSE)</f>
        <v>339.1</v>
      </c>
      <c r="AK27" s="16" t="s">
        <v>90</v>
      </c>
      <c r="AL27" s="17">
        <v>0</v>
      </c>
      <c r="AM27" s="18">
        <f>VLOOKUP(AK27,WorkingDB[],2,FALSE)</f>
        <v>0</v>
      </c>
      <c r="AN27" s="19">
        <f>VLOOKUP(AK27,WorkingDB[],3,FALSE)</f>
        <v>0</v>
      </c>
      <c r="AO27" s="19">
        <f>VLOOKUP(AK27,WorkingDB[],4,FALSE)</f>
        <v>0</v>
      </c>
      <c r="AP27" s="5">
        <f>VLOOKUP(AK27,WorkingDB[],5,FALSE)</f>
        <v>0</v>
      </c>
      <c r="AQ27" s="5">
        <f>VLOOKUP(AK27,WorkingDB[],6,FALSE)</f>
        <v>0</v>
      </c>
      <c r="AR27" s="44" t="e">
        <f>VLOOKUP(AK27,WorkingDB[],7,FALSE)*AL27+VLOOKUP(AK27,CostDB[],5,FALSE)</f>
        <v>#N/A</v>
      </c>
      <c r="AS27" s="16" t="s">
        <v>90</v>
      </c>
      <c r="AT27" s="17">
        <v>0</v>
      </c>
      <c r="AU27" s="18">
        <f>VLOOKUP(AS27,WorkingDB[],2,FALSE)</f>
        <v>0</v>
      </c>
      <c r="AV27" s="19">
        <f>VLOOKUP(AS27,WorkingDB[],3,FALSE)</f>
        <v>0</v>
      </c>
      <c r="AW27" s="19">
        <f>VLOOKUP(AS27,WorkingDB[],4,FALSE)</f>
        <v>0</v>
      </c>
      <c r="AX27" s="5">
        <f>VLOOKUP(AS27,WorkingDB[],5,FALSE)</f>
        <v>0</v>
      </c>
      <c r="AY27" s="5">
        <f>VLOOKUP(AS27,WorkingDB[],6,FALSE)</f>
        <v>0</v>
      </c>
      <c r="AZ27" s="44" t="e">
        <f>VLOOKUP(AS27,WorkingDB[],7,FALSE)*AT27+VLOOKUP(AS27,CostDB[],5,FALSE)</f>
        <v>#N/A</v>
      </c>
      <c r="BA27" s="27">
        <v>8.35</v>
      </c>
      <c r="BB27" s="20">
        <f t="shared" si="31"/>
        <v>0.28500000000000003</v>
      </c>
      <c r="BC27" s="18">
        <f t="shared" si="32"/>
        <v>0.70346267685892039</v>
      </c>
      <c r="BD27" s="18">
        <f t="shared" si="33"/>
        <v>0.20048686290479234</v>
      </c>
      <c r="BE27" s="19">
        <f t="shared" si="34"/>
        <v>433.36</v>
      </c>
      <c r="BF27" s="19">
        <f t="shared" si="35"/>
        <v>1520.5614035087717</v>
      </c>
      <c r="BG27" s="19">
        <f t="shared" si="36"/>
        <v>398927.4</v>
      </c>
      <c r="BH27" s="19">
        <f t="shared" si="37"/>
        <v>920.54504338194579</v>
      </c>
      <c r="BI27" s="18">
        <f t="shared" si="38"/>
        <v>157.52529638312325</v>
      </c>
      <c r="BJ27" s="22">
        <f t="shared" si="39"/>
        <v>1.432309636486885E-7</v>
      </c>
      <c r="BK27" s="23">
        <f t="shared" si="40"/>
        <v>5.156314691352786E-4</v>
      </c>
      <c r="BL27" s="19">
        <f t="shared" si="29"/>
        <v>2854.1945000000001</v>
      </c>
      <c r="BM27" s="18"/>
      <c r="BO27" s="5">
        <v>1</v>
      </c>
      <c r="BP27" s="20">
        <f t="shared" si="2"/>
        <v>265.25971189591081</v>
      </c>
      <c r="BR27" s="45">
        <f t="shared" si="3"/>
        <v>22201.200000000001</v>
      </c>
      <c r="BS27" s="45">
        <f t="shared" si="4"/>
        <v>1590</v>
      </c>
      <c r="BT27" s="45">
        <f t="shared" si="5"/>
        <v>352935</v>
      </c>
      <c r="BU27" s="45">
        <f t="shared" si="6"/>
        <v>22201.200000000001</v>
      </c>
      <c r="BV27" s="45">
        <f t="shared" si="7"/>
        <v>0</v>
      </c>
      <c r="BW27" s="45">
        <f t="shared" si="8"/>
        <v>0</v>
      </c>
      <c r="BX27" s="46">
        <f t="shared" si="9"/>
        <v>2.0804438280166437E-2</v>
      </c>
      <c r="BY27" s="46">
        <f t="shared" si="10"/>
        <v>0.96153846153846168</v>
      </c>
      <c r="BZ27" s="46">
        <f t="shared" si="11"/>
        <v>0.26869158878504673</v>
      </c>
      <c r="CA27" s="46">
        <f t="shared" si="12"/>
        <v>2.0804438280166437E-2</v>
      </c>
      <c r="CB27" s="46">
        <f t="shared" si="13"/>
        <v>0</v>
      </c>
      <c r="CC27" s="46">
        <f t="shared" si="14"/>
        <v>0</v>
      </c>
      <c r="CD27" s="45">
        <f t="shared" si="15"/>
        <v>120.86008637235317</v>
      </c>
    </row>
    <row r="28" spans="1:82" ht="14.4" x14ac:dyDescent="0.3">
      <c r="A28" s="5" t="s">
        <v>327</v>
      </c>
      <c r="B28" s="5" t="s">
        <v>255</v>
      </c>
      <c r="C28" s="4" t="s">
        <v>10</v>
      </c>
      <c r="D28" s="27">
        <v>33.4</v>
      </c>
      <c r="E28" s="16" t="s">
        <v>112</v>
      </c>
      <c r="F28" s="17">
        <f t="shared" si="28"/>
        <v>1.4999999999999999E-2</v>
      </c>
      <c r="G28" s="18">
        <f>VLOOKUP(E28,WorkingDB[],2,FALSE)</f>
        <v>0.72099999999999997</v>
      </c>
      <c r="H28" s="19">
        <f>VLOOKUP(E28,WorkingDB[],3,FALSE)</f>
        <v>840</v>
      </c>
      <c r="I28" s="19">
        <f>VLOOKUP(E28,WorkingDB[],4,FALSE)</f>
        <v>1762</v>
      </c>
      <c r="J28" s="5">
        <f>VLOOKUP(E28,WorkingDB[],5,FALSE)</f>
        <v>0</v>
      </c>
      <c r="K28" s="5">
        <f>VLOOKUP(E28,WorkingDB[],6,FALSE)</f>
        <v>0</v>
      </c>
      <c r="L28" s="44">
        <f>VLOOKUP(E28,WorkingDB[],7,FALSE)*F28+VLOOKUP(E28,CostDB[],5,FALSE)</f>
        <v>339.1</v>
      </c>
      <c r="M28" s="16" t="s">
        <v>239</v>
      </c>
      <c r="N28" s="17">
        <f>50/1000</f>
        <v>0.05</v>
      </c>
      <c r="O28" s="18">
        <f>VLOOKUP(M28,WorkingDB[],2,FALSE)</f>
        <v>2.5999999999999999E-2</v>
      </c>
      <c r="P28" s="19">
        <f>VLOOKUP(M28,WorkingDB[],3,FALSE)</f>
        <v>1590</v>
      </c>
      <c r="Q28" s="19">
        <f>VLOOKUP(M28,WorkingDB[],4,FALSE)</f>
        <v>40</v>
      </c>
      <c r="R28" s="5">
        <f>VLOOKUP(M28,WorkingDB[],5,FALSE)</f>
        <v>0</v>
      </c>
      <c r="S28" s="5">
        <f>VLOOKUP(M28,WorkingDB[],6,FALSE)</f>
        <v>0</v>
      </c>
      <c r="T28" s="44">
        <f>VLOOKUP(M28,WorkingDB[],7,FALSE)*N28+VLOOKUP(M28,CostDB[],5,FALSE)</f>
        <v>481.25</v>
      </c>
      <c r="U28" s="16" t="s">
        <v>102</v>
      </c>
      <c r="V28" s="17">
        <v>0.23</v>
      </c>
      <c r="W28" s="18">
        <f>VLOOKUP(U28,WorkingDB[],2,FALSE)</f>
        <v>0.85599999999999998</v>
      </c>
      <c r="X28" s="19">
        <f>VLOOKUP(U28,WorkingDB[],3,FALSE)</f>
        <v>930</v>
      </c>
      <c r="Y28" s="19">
        <f>VLOOKUP(U28,WorkingDB[],4,FALSE)</f>
        <v>1650</v>
      </c>
      <c r="Z28" s="5">
        <f>VLOOKUP(U28,WorkingDB[],5,FALSE)</f>
        <v>0</v>
      </c>
      <c r="AA28" s="5">
        <f>VLOOKUP(U28,WorkingDB[],6,FALSE)</f>
        <v>0</v>
      </c>
      <c r="AB28" s="44">
        <f>VLOOKUP(U28,WorkingDB[],7,FALSE)*V28+VLOOKUP(U28,CostDB[],5,FALSE)</f>
        <v>1935.3695</v>
      </c>
      <c r="AC28" s="16" t="s">
        <v>112</v>
      </c>
      <c r="AD28" s="17">
        <f t="shared" si="30"/>
        <v>1.4999999999999999E-2</v>
      </c>
      <c r="AE28" s="18">
        <f>VLOOKUP(AC28,WorkingDB[],2,FALSE)</f>
        <v>0.72099999999999997</v>
      </c>
      <c r="AF28" s="19">
        <f>VLOOKUP(AC28,WorkingDB[],3,FALSE)</f>
        <v>840</v>
      </c>
      <c r="AG28" s="19">
        <f>VLOOKUP(AC28,WorkingDB[],4,FALSE)</f>
        <v>1762</v>
      </c>
      <c r="AH28" s="5">
        <f>VLOOKUP(AC28,WorkingDB[],5,FALSE)</f>
        <v>0</v>
      </c>
      <c r="AI28" s="5">
        <f>VLOOKUP(AC28,WorkingDB[],6,FALSE)</f>
        <v>0</v>
      </c>
      <c r="AJ28" s="44">
        <f>VLOOKUP(AC28,WorkingDB[],7,FALSE)*AD28+VLOOKUP(AC28,CostDB[],5,FALSE)</f>
        <v>339.1</v>
      </c>
      <c r="AK28" s="16" t="s">
        <v>90</v>
      </c>
      <c r="AL28" s="17">
        <v>0</v>
      </c>
      <c r="AM28" s="18">
        <f>VLOOKUP(AK28,WorkingDB[],2,FALSE)</f>
        <v>0</v>
      </c>
      <c r="AN28" s="19">
        <f>VLOOKUP(AK28,WorkingDB[],3,FALSE)</f>
        <v>0</v>
      </c>
      <c r="AO28" s="19">
        <f>VLOOKUP(AK28,WorkingDB[],4,FALSE)</f>
        <v>0</v>
      </c>
      <c r="AP28" s="5">
        <f>VLOOKUP(AK28,WorkingDB[],5,FALSE)</f>
        <v>0</v>
      </c>
      <c r="AQ28" s="5">
        <f>VLOOKUP(AK28,WorkingDB[],6,FALSE)</f>
        <v>0</v>
      </c>
      <c r="AR28" s="44" t="e">
        <f>VLOOKUP(AK28,WorkingDB[],7,FALSE)*AL28+VLOOKUP(AK28,CostDB[],5,FALSE)</f>
        <v>#N/A</v>
      </c>
      <c r="AS28" s="16" t="s">
        <v>90</v>
      </c>
      <c r="AT28" s="17">
        <v>0</v>
      </c>
      <c r="AU28" s="18">
        <f>VLOOKUP(AS28,WorkingDB[],2,FALSE)</f>
        <v>0</v>
      </c>
      <c r="AV28" s="19">
        <f>VLOOKUP(AS28,WorkingDB[],3,FALSE)</f>
        <v>0</v>
      </c>
      <c r="AW28" s="19">
        <f>VLOOKUP(AS28,WorkingDB[],4,FALSE)</f>
        <v>0</v>
      </c>
      <c r="AX28" s="5">
        <f>VLOOKUP(AS28,WorkingDB[],5,FALSE)</f>
        <v>0</v>
      </c>
      <c r="AY28" s="5">
        <f>VLOOKUP(AS28,WorkingDB[],6,FALSE)</f>
        <v>0</v>
      </c>
      <c r="AZ28" s="44" t="e">
        <f>VLOOKUP(AS28,WorkingDB[],7,FALSE)*AT28+VLOOKUP(AS28,CostDB[],5,FALSE)</f>
        <v>#N/A</v>
      </c>
      <c r="BA28" s="27">
        <v>8.35</v>
      </c>
      <c r="BB28" s="20">
        <f t="shared" si="31"/>
        <v>0.31000000000000005</v>
      </c>
      <c r="BC28" s="18">
        <f t="shared" si="32"/>
        <v>0.4196253774995366</v>
      </c>
      <c r="BD28" s="18">
        <f t="shared" si="33"/>
        <v>0.13008386702485636</v>
      </c>
      <c r="BE28" s="19">
        <f t="shared" si="34"/>
        <v>434.36</v>
      </c>
      <c r="BF28" s="19">
        <f t="shared" si="35"/>
        <v>1401.1612903225805</v>
      </c>
      <c r="BG28" s="19">
        <f t="shared" si="36"/>
        <v>400517.4</v>
      </c>
      <c r="BH28" s="19">
        <f t="shared" si="37"/>
        <v>922.08628787181146</v>
      </c>
      <c r="BI28" s="18">
        <f t="shared" si="38"/>
        <v>265.12894428901933</v>
      </c>
      <c r="BJ28" s="22">
        <f t="shared" si="39"/>
        <v>1.0068476120564419E-7</v>
      </c>
      <c r="BK28" s="23">
        <f t="shared" si="40"/>
        <v>3.6246514034031908E-4</v>
      </c>
      <c r="BL28" s="19">
        <f t="shared" si="29"/>
        <v>3094.8195000000001</v>
      </c>
      <c r="BM28" s="18"/>
      <c r="BO28" s="5">
        <v>1</v>
      </c>
      <c r="BP28" s="20">
        <f t="shared" si="2"/>
        <v>287.62263011152419</v>
      </c>
      <c r="BR28" s="45">
        <f t="shared" si="3"/>
        <v>22201.200000000001</v>
      </c>
      <c r="BS28" s="45">
        <f t="shared" si="4"/>
        <v>3180</v>
      </c>
      <c r="BT28" s="45">
        <f t="shared" si="5"/>
        <v>352935</v>
      </c>
      <c r="BU28" s="45">
        <f t="shared" si="6"/>
        <v>22201.200000000001</v>
      </c>
      <c r="BV28" s="45">
        <f t="shared" si="7"/>
        <v>0</v>
      </c>
      <c r="BW28" s="45">
        <f t="shared" si="8"/>
        <v>0</v>
      </c>
      <c r="BX28" s="46">
        <f t="shared" si="9"/>
        <v>2.0804438280166437E-2</v>
      </c>
      <c r="BY28" s="46">
        <f t="shared" si="10"/>
        <v>1.9230769230769234</v>
      </c>
      <c r="BZ28" s="46">
        <f t="shared" si="11"/>
        <v>0.26869158878504673</v>
      </c>
      <c r="CA28" s="46">
        <f t="shared" si="12"/>
        <v>2.0804438280166437E-2</v>
      </c>
      <c r="CB28" s="46">
        <f t="shared" si="13"/>
        <v>0</v>
      </c>
      <c r="CC28" s="46">
        <f t="shared" si="14"/>
        <v>0</v>
      </c>
      <c r="CD28" s="45">
        <f t="shared" si="15"/>
        <v>221.71615239830834</v>
      </c>
    </row>
    <row r="29" spans="1:82" ht="14.4" x14ac:dyDescent="0.3">
      <c r="A29" s="5" t="s">
        <v>328</v>
      </c>
      <c r="B29" s="5" t="s">
        <v>256</v>
      </c>
      <c r="C29" s="4" t="s">
        <v>10</v>
      </c>
      <c r="D29" s="27">
        <v>33.4</v>
      </c>
      <c r="E29" s="16" t="s">
        <v>112</v>
      </c>
      <c r="F29" s="17">
        <f t="shared" si="28"/>
        <v>1.4999999999999999E-2</v>
      </c>
      <c r="G29" s="18">
        <f>VLOOKUP(E29,WorkingDB[],2,FALSE)</f>
        <v>0.72099999999999997</v>
      </c>
      <c r="H29" s="19">
        <f>VLOOKUP(E29,WorkingDB[],3,FALSE)</f>
        <v>840</v>
      </c>
      <c r="I29" s="19">
        <f>VLOOKUP(E29,WorkingDB[],4,FALSE)</f>
        <v>1762</v>
      </c>
      <c r="J29" s="5">
        <f>VLOOKUP(E29,WorkingDB[],5,FALSE)</f>
        <v>0</v>
      </c>
      <c r="K29" s="5">
        <f>VLOOKUP(E29,WorkingDB[],6,FALSE)</f>
        <v>0</v>
      </c>
      <c r="L29" s="44">
        <f>VLOOKUP(E29,WorkingDB[],7,FALSE)*F29+VLOOKUP(E29,CostDB[],5,FALSE)</f>
        <v>339.1</v>
      </c>
      <c r="M29" s="16" t="s">
        <v>104</v>
      </c>
      <c r="N29" s="17">
        <v>0.2</v>
      </c>
      <c r="O29" s="18">
        <f>VLOOKUP(M29,WorkingDB[],2,FALSE)</f>
        <v>1.411</v>
      </c>
      <c r="P29" s="19">
        <f>VLOOKUP(M29,WorkingDB[],3,FALSE)</f>
        <v>300</v>
      </c>
      <c r="Q29" s="19">
        <f>VLOOKUP(M29,WorkingDB[],4,FALSE)</f>
        <v>2349</v>
      </c>
      <c r="R29" s="5">
        <f>VLOOKUP(M29,WorkingDB[],5,FALSE)</f>
        <v>0</v>
      </c>
      <c r="S29" s="5">
        <f>VLOOKUP(M29,WorkingDB[],6,FALSE)</f>
        <v>0</v>
      </c>
      <c r="T29" s="44">
        <f>VLOOKUP(M29,WorkingDB[],7,FALSE)*N29+VLOOKUP(M29,CostDB[],5,FALSE)</f>
        <v>1617.3200000000002</v>
      </c>
      <c r="U29" s="16" t="s">
        <v>112</v>
      </c>
      <c r="V29" s="17">
        <f>15/1000</f>
        <v>1.4999999999999999E-2</v>
      </c>
      <c r="W29" s="18">
        <f>VLOOKUP(U29,WorkingDB[],2,FALSE)</f>
        <v>0.72099999999999997</v>
      </c>
      <c r="X29" s="19">
        <f>VLOOKUP(U29,WorkingDB[],3,FALSE)</f>
        <v>840</v>
      </c>
      <c r="Y29" s="19">
        <f>VLOOKUP(U29,WorkingDB[],4,FALSE)</f>
        <v>1762</v>
      </c>
      <c r="Z29" s="5">
        <f>VLOOKUP(U29,WorkingDB[],5,FALSE)</f>
        <v>0</v>
      </c>
      <c r="AA29" s="5">
        <f>VLOOKUP(U29,WorkingDB[],6,FALSE)</f>
        <v>0</v>
      </c>
      <c r="AB29" s="44">
        <f>VLOOKUP(U29,WorkingDB[],7,FALSE)*V29+VLOOKUP(U29,CostDB[],5,FALSE)</f>
        <v>339.1</v>
      </c>
      <c r="AC29" s="16" t="s">
        <v>90</v>
      </c>
      <c r="AD29" s="17">
        <v>0</v>
      </c>
      <c r="AE29" s="18">
        <f>VLOOKUP(AC29,WorkingDB[],2,FALSE)</f>
        <v>0</v>
      </c>
      <c r="AF29" s="19">
        <f>VLOOKUP(AC29,WorkingDB[],3,FALSE)</f>
        <v>0</v>
      </c>
      <c r="AG29" s="19">
        <f>VLOOKUP(AC29,WorkingDB[],4,FALSE)</f>
        <v>0</v>
      </c>
      <c r="AH29" s="5">
        <f>VLOOKUP(AC29,WorkingDB[],5,FALSE)</f>
        <v>0</v>
      </c>
      <c r="AI29" s="5">
        <f>VLOOKUP(AC29,WorkingDB[],6,FALSE)</f>
        <v>0</v>
      </c>
      <c r="AJ29" s="44" t="e">
        <f>VLOOKUP(AC29,WorkingDB[],7,FALSE)*AD29+VLOOKUP(AC29,CostDB[],5,FALSE)</f>
        <v>#N/A</v>
      </c>
      <c r="AK29" s="16" t="s">
        <v>90</v>
      </c>
      <c r="AL29" s="17">
        <v>0</v>
      </c>
      <c r="AM29" s="18">
        <f>VLOOKUP(AK29,WorkingDB[],2,FALSE)</f>
        <v>0</v>
      </c>
      <c r="AN29" s="19">
        <f>VLOOKUP(AK29,WorkingDB[],3,FALSE)</f>
        <v>0</v>
      </c>
      <c r="AO29" s="19">
        <f>VLOOKUP(AK29,WorkingDB[],4,FALSE)</f>
        <v>0</v>
      </c>
      <c r="AP29" s="5">
        <f>VLOOKUP(AK29,WorkingDB[],5,FALSE)</f>
        <v>0</v>
      </c>
      <c r="AQ29" s="5">
        <f>VLOOKUP(AK29,WorkingDB[],6,FALSE)</f>
        <v>0</v>
      </c>
      <c r="AR29" s="44" t="e">
        <f>VLOOKUP(AK29,WorkingDB[],7,FALSE)*AL29+VLOOKUP(AK29,CostDB[],5,FALSE)</f>
        <v>#N/A</v>
      </c>
      <c r="AS29" s="16" t="s">
        <v>90</v>
      </c>
      <c r="AT29" s="17">
        <v>0</v>
      </c>
      <c r="AU29" s="18">
        <f>VLOOKUP(AS29,WorkingDB[],2,FALSE)</f>
        <v>0</v>
      </c>
      <c r="AV29" s="19">
        <f>VLOOKUP(AS29,WorkingDB[],3,FALSE)</f>
        <v>0</v>
      </c>
      <c r="AW29" s="19">
        <f>VLOOKUP(AS29,WorkingDB[],4,FALSE)</f>
        <v>0</v>
      </c>
      <c r="AX29" s="5">
        <f>VLOOKUP(AS29,WorkingDB[],5,FALSE)</f>
        <v>0</v>
      </c>
      <c r="AY29" s="5">
        <f>VLOOKUP(AS29,WorkingDB[],6,FALSE)</f>
        <v>0</v>
      </c>
      <c r="AZ29" s="44" t="e">
        <f>VLOOKUP(AS29,WorkingDB[],7,FALSE)*AT29+VLOOKUP(AS29,CostDB[],5,FALSE)</f>
        <v>#N/A</v>
      </c>
      <c r="BA29" s="27">
        <v>8.35</v>
      </c>
      <c r="BB29" s="20">
        <f t="shared" si="31"/>
        <v>0.23000000000000004</v>
      </c>
      <c r="BC29" s="18">
        <f t="shared" si="32"/>
        <v>3.0025258472899967</v>
      </c>
      <c r="BD29" s="18">
        <f t="shared" si="33"/>
        <v>0.69058094487669941</v>
      </c>
      <c r="BE29" s="19">
        <f t="shared" si="34"/>
        <v>522.66</v>
      </c>
      <c r="BF29" s="19">
        <f t="shared" si="35"/>
        <v>2272.4347826086951</v>
      </c>
      <c r="BG29" s="19">
        <f t="shared" si="36"/>
        <v>185342.40000000002</v>
      </c>
      <c r="BH29" s="19">
        <f t="shared" si="37"/>
        <v>354.61370680748485</v>
      </c>
      <c r="BI29" s="18">
        <f t="shared" si="38"/>
        <v>17.146896519298295</v>
      </c>
      <c r="BJ29" s="22">
        <f t="shared" si="39"/>
        <v>8.5697399689245892E-7</v>
      </c>
      <c r="BK29" s="23">
        <f t="shared" si="40"/>
        <v>3.0851063888128519E-3</v>
      </c>
      <c r="BL29" s="19">
        <f t="shared" si="29"/>
        <v>2295.52</v>
      </c>
      <c r="BM29" s="18"/>
      <c r="BO29" s="5">
        <v>1</v>
      </c>
      <c r="BP29" s="20">
        <f t="shared" si="2"/>
        <v>213.33828996282529</v>
      </c>
      <c r="BR29" s="45">
        <f t="shared" si="3"/>
        <v>22201.200000000001</v>
      </c>
      <c r="BS29" s="45">
        <f t="shared" si="4"/>
        <v>140940</v>
      </c>
      <c r="BT29" s="45">
        <f t="shared" si="5"/>
        <v>22201.200000000001</v>
      </c>
      <c r="BU29" s="45">
        <f t="shared" si="6"/>
        <v>0</v>
      </c>
      <c r="BV29" s="45">
        <f t="shared" si="7"/>
        <v>0</v>
      </c>
      <c r="BW29" s="45">
        <f t="shared" si="8"/>
        <v>0</v>
      </c>
      <c r="BX29" s="46">
        <f t="shared" si="9"/>
        <v>2.0804438280166437E-2</v>
      </c>
      <c r="BY29" s="46">
        <f t="shared" si="10"/>
        <v>0.14174344436569808</v>
      </c>
      <c r="BZ29" s="46">
        <f t="shared" si="11"/>
        <v>2.0804438280166437E-2</v>
      </c>
      <c r="CA29" s="46">
        <f t="shared" si="12"/>
        <v>0</v>
      </c>
      <c r="CB29" s="46">
        <f t="shared" si="13"/>
        <v>0</v>
      </c>
      <c r="CC29" s="46">
        <f t="shared" si="14"/>
        <v>0</v>
      </c>
      <c r="CD29" s="45">
        <f t="shared" si="15"/>
        <v>6.2612925710263925</v>
      </c>
    </row>
    <row r="30" spans="1:82" ht="14.4" x14ac:dyDescent="0.3">
      <c r="A30" s="5" t="s">
        <v>329</v>
      </c>
      <c r="B30" s="5" t="s">
        <v>280</v>
      </c>
      <c r="C30" s="4" t="s">
        <v>10</v>
      </c>
      <c r="D30" s="27">
        <v>33.4</v>
      </c>
      <c r="E30" s="16" t="s">
        <v>112</v>
      </c>
      <c r="F30" s="17">
        <f t="shared" si="28"/>
        <v>1.4999999999999999E-2</v>
      </c>
      <c r="G30" s="18">
        <f>VLOOKUP(E30,WorkingDB[],2,FALSE)</f>
        <v>0.72099999999999997</v>
      </c>
      <c r="H30" s="19">
        <f>VLOOKUP(E30,WorkingDB[],3,FALSE)</f>
        <v>840</v>
      </c>
      <c r="I30" s="19">
        <f>VLOOKUP(E30,WorkingDB[],4,FALSE)</f>
        <v>1762</v>
      </c>
      <c r="J30" s="5">
        <f>VLOOKUP(E30,WorkingDB[],5,FALSE)</f>
        <v>0</v>
      </c>
      <c r="K30" s="5">
        <f>VLOOKUP(E30,WorkingDB[],6,FALSE)</f>
        <v>0</v>
      </c>
      <c r="L30" s="44">
        <f>VLOOKUP(E30,WorkingDB[],7,FALSE)*F30+VLOOKUP(E30,CostDB[],5,FALSE)</f>
        <v>339.1</v>
      </c>
      <c r="M30" s="16" t="s">
        <v>237</v>
      </c>
      <c r="N30" s="17">
        <f>5/1000</f>
        <v>5.0000000000000001E-3</v>
      </c>
      <c r="O30" s="18">
        <f>VLOOKUP(M30,WorkingDB[],2,FALSE)</f>
        <v>2.8000000000000001E-2</v>
      </c>
      <c r="P30" s="19">
        <f>VLOOKUP(M30,WorkingDB[],3,FALSE)</f>
        <v>1213</v>
      </c>
      <c r="Q30" s="19">
        <f>VLOOKUP(M30,WorkingDB[],4,FALSE)</f>
        <v>35</v>
      </c>
      <c r="R30" s="5">
        <f>VLOOKUP(M30,WorkingDB[],5,FALSE)</f>
        <v>0</v>
      </c>
      <c r="S30" s="5">
        <f>VLOOKUP(M30,WorkingDB[],6,FALSE)</f>
        <v>0</v>
      </c>
      <c r="T30" s="44">
        <f>VLOOKUP(M30,WorkingDB[],7,FALSE)*N30+VLOOKUP(M30,CostDB[],5,FALSE)</f>
        <v>355.65</v>
      </c>
      <c r="U30" s="16" t="s">
        <v>104</v>
      </c>
      <c r="V30" s="17">
        <v>0.2</v>
      </c>
      <c r="W30" s="18">
        <f>VLOOKUP(U30,WorkingDB[],2,FALSE)</f>
        <v>1.411</v>
      </c>
      <c r="X30" s="19">
        <f>VLOOKUP(U30,WorkingDB[],3,FALSE)</f>
        <v>300</v>
      </c>
      <c r="Y30" s="19">
        <f>VLOOKUP(U30,WorkingDB[],4,FALSE)</f>
        <v>2349</v>
      </c>
      <c r="Z30" s="5">
        <f>VLOOKUP(U30,WorkingDB[],5,FALSE)</f>
        <v>0</v>
      </c>
      <c r="AA30" s="5">
        <f>VLOOKUP(U30,WorkingDB[],6,FALSE)</f>
        <v>0</v>
      </c>
      <c r="AB30" s="44">
        <f>VLOOKUP(U30,WorkingDB[],7,FALSE)*V30+VLOOKUP(U30,CostDB[],5,FALSE)</f>
        <v>1617.3200000000002</v>
      </c>
      <c r="AC30" s="16" t="s">
        <v>112</v>
      </c>
      <c r="AD30" s="17">
        <f t="shared" si="30"/>
        <v>1.4999999999999999E-2</v>
      </c>
      <c r="AE30" s="18">
        <f>VLOOKUP(AC30,WorkingDB[],2,FALSE)</f>
        <v>0.72099999999999997</v>
      </c>
      <c r="AF30" s="19">
        <f>VLOOKUP(AC30,WorkingDB[],3,FALSE)</f>
        <v>840</v>
      </c>
      <c r="AG30" s="19">
        <f>VLOOKUP(AC30,WorkingDB[],4,FALSE)</f>
        <v>1762</v>
      </c>
      <c r="AH30" s="5">
        <f>VLOOKUP(AC30,WorkingDB[],5,FALSE)</f>
        <v>0</v>
      </c>
      <c r="AI30" s="5">
        <f>VLOOKUP(AC30,WorkingDB[],6,FALSE)</f>
        <v>0</v>
      </c>
      <c r="AJ30" s="44">
        <f>VLOOKUP(AC30,WorkingDB[],7,FALSE)*AD30+VLOOKUP(AC30,CostDB[],5,FALSE)</f>
        <v>339.1</v>
      </c>
      <c r="AK30" s="16" t="s">
        <v>90</v>
      </c>
      <c r="AL30" s="17">
        <v>0</v>
      </c>
      <c r="AM30" s="18">
        <f>VLOOKUP(AK30,WorkingDB[],2,FALSE)</f>
        <v>0</v>
      </c>
      <c r="AN30" s="19">
        <f>VLOOKUP(AK30,WorkingDB[],3,FALSE)</f>
        <v>0</v>
      </c>
      <c r="AO30" s="19">
        <f>VLOOKUP(AK30,WorkingDB[],4,FALSE)</f>
        <v>0</v>
      </c>
      <c r="AP30" s="5">
        <f>VLOOKUP(AK30,WorkingDB[],5,FALSE)</f>
        <v>0</v>
      </c>
      <c r="AQ30" s="5">
        <f>VLOOKUP(AK30,WorkingDB[],6,FALSE)</f>
        <v>0</v>
      </c>
      <c r="AR30" s="44" t="e">
        <f>VLOOKUP(AK30,WorkingDB[],7,FALSE)*AL30+VLOOKUP(AK30,CostDB[],5,FALSE)</f>
        <v>#N/A</v>
      </c>
      <c r="AS30" s="16" t="s">
        <v>90</v>
      </c>
      <c r="AT30" s="17">
        <v>0</v>
      </c>
      <c r="AU30" s="18">
        <f>VLOOKUP(AS30,WorkingDB[],2,FALSE)</f>
        <v>0</v>
      </c>
      <c r="AV30" s="19">
        <f>VLOOKUP(AS30,WorkingDB[],3,FALSE)</f>
        <v>0</v>
      </c>
      <c r="AW30" s="19">
        <f>VLOOKUP(AS30,WorkingDB[],4,FALSE)</f>
        <v>0</v>
      </c>
      <c r="AX30" s="5">
        <f>VLOOKUP(AS30,WorkingDB[],5,FALSE)</f>
        <v>0</v>
      </c>
      <c r="AY30" s="5">
        <f>VLOOKUP(AS30,WorkingDB[],6,FALSE)</f>
        <v>0</v>
      </c>
      <c r="AZ30" s="44" t="e">
        <f>VLOOKUP(AS30,WorkingDB[],7,FALSE)*AT30+VLOOKUP(AS30,CostDB[],5,FALSE)</f>
        <v>#N/A</v>
      </c>
      <c r="BA30" s="27">
        <v>8.35</v>
      </c>
      <c r="BB30" s="20">
        <f t="shared" ref="BB30:BB35" si="41">F30+N30+V30+AD30+AL30+AT30</f>
        <v>0.23499999999999999</v>
      </c>
      <c r="BC30" s="18">
        <f t="shared" ref="BC30:BC35" si="42">1/(1/D30+IF(E30&lt;&gt;"NA",F30/G30,0)+IF(M30&lt;&gt;"NA",N30/O30,0)+IF(U30&lt;&gt;"NA",V30/W30,0)+IF(AC30&lt;&gt;"NA",AD30/AE30,0)+IF(AK30&lt;&gt;"NA",AL30/AM30,0)+IF(AS30&lt;&gt;"NA",AT30/AU30,0)+1/BA30)</f>
        <v>1.9545590496680507</v>
      </c>
      <c r="BD30" s="18">
        <f t="shared" ref="BD30:BD35" si="43">BC30*BB30</f>
        <v>0.45932137667199191</v>
      </c>
      <c r="BE30" s="19">
        <f t="shared" ref="BE30:BE35" si="44">IF(E30&lt;&gt;"NA",F30*I30,0)+IF(M30&lt;&gt;"NA",N30*Q30,0)+IF(U30&lt;&gt;"NA",V30*Y30,0)+IF(AC30&lt;&gt;"NA",AD30*AG30,0)+IF(AK30&lt;&gt;"NA",AL30*AO30,0)+IF(AS30&lt;&gt;"NA",AT30*AW30,0)</f>
        <v>522.83500000000004</v>
      </c>
      <c r="BF30" s="19">
        <f t="shared" ref="BF30:BF35" si="45">BE30/BB30</f>
        <v>2224.8297872340427</v>
      </c>
      <c r="BG30" s="19">
        <f t="shared" ref="BG30:BG35" si="46">IF(E30&lt;&gt;"NA",F30*H30*I30,0)+IF(M30&lt;&gt;"NA",N30*P30*Q30,0)+IF(U30&lt;&gt;"NA",V30*X30*Y30,0)+IF(AC30&lt;&gt;"NA",AD30*AF30*AG30,0)+IF(AK30&lt;&gt;"NA",AL30*AN30*AO30,0)+IF(AS30&lt;&gt;"NA",AT30*AV30*AW30,0)</f>
        <v>185554.67500000002</v>
      </c>
      <c r="BH30" s="19">
        <f t="shared" ref="BH30:BH35" si="47">BG30/BE30</f>
        <v>354.90102039840485</v>
      </c>
      <c r="BI30" s="18">
        <f t="shared" ref="BI30:BI35" si="48">((BH30)*BF30*BB30*(1/BC30))/3600</f>
        <v>26.370636019685104</v>
      </c>
      <c r="BJ30" s="22">
        <f t="shared" ref="BJ30:BJ35" si="49">BD30/(BH30*BF30)</f>
        <v>5.8171815675308691E-7</v>
      </c>
      <c r="BK30" s="23">
        <f t="shared" ref="BK30:BK35" si="50">BJ30*3600</f>
        <v>2.0941853643111127E-3</v>
      </c>
      <c r="BL30" s="19">
        <f t="shared" si="29"/>
        <v>2651.17</v>
      </c>
      <c r="BM30" s="18"/>
      <c r="BO30" s="5">
        <v>1</v>
      </c>
      <c r="BP30" s="20">
        <f t="shared" si="2"/>
        <v>246.39126394052045</v>
      </c>
      <c r="BR30" s="45">
        <f t="shared" si="3"/>
        <v>22201.200000000001</v>
      </c>
      <c r="BS30" s="45">
        <f t="shared" si="4"/>
        <v>212.27500000000003</v>
      </c>
      <c r="BT30" s="45">
        <f t="shared" si="5"/>
        <v>140940</v>
      </c>
      <c r="BU30" s="45">
        <f t="shared" si="6"/>
        <v>22201.200000000001</v>
      </c>
      <c r="BV30" s="45">
        <f t="shared" si="7"/>
        <v>0</v>
      </c>
      <c r="BW30" s="45">
        <f t="shared" si="8"/>
        <v>0</v>
      </c>
      <c r="BX30" s="46">
        <f t="shared" si="9"/>
        <v>2.0804438280166437E-2</v>
      </c>
      <c r="BY30" s="46">
        <f t="shared" si="10"/>
        <v>0.17857142857142858</v>
      </c>
      <c r="BZ30" s="46">
        <f t="shared" si="11"/>
        <v>0.14174344436569808</v>
      </c>
      <c r="CA30" s="46">
        <f t="shared" si="12"/>
        <v>2.0804438280166437E-2</v>
      </c>
      <c r="CB30" s="46">
        <f t="shared" si="13"/>
        <v>0</v>
      </c>
      <c r="CC30" s="46">
        <f t="shared" si="14"/>
        <v>0</v>
      </c>
      <c r="CD30" s="45">
        <f t="shared" si="15"/>
        <v>14.361870923502842</v>
      </c>
    </row>
    <row r="31" spans="1:82" ht="14.4" x14ac:dyDescent="0.3">
      <c r="A31" s="5" t="s">
        <v>330</v>
      </c>
      <c r="B31" s="5" t="s">
        <v>281</v>
      </c>
      <c r="C31" s="4" t="s">
        <v>10</v>
      </c>
      <c r="D31" s="27">
        <v>33.4</v>
      </c>
      <c r="E31" s="16" t="s">
        <v>112</v>
      </c>
      <c r="F31" s="17">
        <f t="shared" si="28"/>
        <v>1.4999999999999999E-2</v>
      </c>
      <c r="G31" s="18">
        <f>VLOOKUP(E31,WorkingDB[],2,FALSE)</f>
        <v>0.72099999999999997</v>
      </c>
      <c r="H31" s="19">
        <f>VLOOKUP(E31,WorkingDB[],3,FALSE)</f>
        <v>840</v>
      </c>
      <c r="I31" s="19">
        <f>VLOOKUP(E31,WorkingDB[],4,FALSE)</f>
        <v>1762</v>
      </c>
      <c r="J31" s="5">
        <f>VLOOKUP(E31,WorkingDB[],5,FALSE)</f>
        <v>0</v>
      </c>
      <c r="K31" s="5">
        <f>VLOOKUP(E31,WorkingDB[],6,FALSE)</f>
        <v>0</v>
      </c>
      <c r="L31" s="44">
        <f>VLOOKUP(E31,WorkingDB[],7,FALSE)*F31+VLOOKUP(E31,CostDB[],5,FALSE)</f>
        <v>339.1</v>
      </c>
      <c r="M31" s="16" t="s">
        <v>237</v>
      </c>
      <c r="N31" s="17">
        <f>10/1000</f>
        <v>0.01</v>
      </c>
      <c r="O31" s="18">
        <f>VLOOKUP(M31,WorkingDB[],2,FALSE)</f>
        <v>2.8000000000000001E-2</v>
      </c>
      <c r="P31" s="19">
        <f>VLOOKUP(M31,WorkingDB[],3,FALSE)</f>
        <v>1213</v>
      </c>
      <c r="Q31" s="19">
        <f>VLOOKUP(M31,WorkingDB[],4,FALSE)</f>
        <v>35</v>
      </c>
      <c r="R31" s="5">
        <f>VLOOKUP(M31,WorkingDB[],5,FALSE)</f>
        <v>0</v>
      </c>
      <c r="S31" s="5">
        <f>VLOOKUP(M31,WorkingDB[],6,FALSE)</f>
        <v>0</v>
      </c>
      <c r="T31" s="44">
        <f>VLOOKUP(M31,WorkingDB[],7,FALSE)*N31+VLOOKUP(M31,CostDB[],5,FALSE)</f>
        <v>410.65</v>
      </c>
      <c r="U31" s="16" t="s">
        <v>104</v>
      </c>
      <c r="V31" s="17">
        <v>0.2</v>
      </c>
      <c r="W31" s="18">
        <f>VLOOKUP(U31,WorkingDB[],2,FALSE)</f>
        <v>1.411</v>
      </c>
      <c r="X31" s="19">
        <f>VLOOKUP(U31,WorkingDB[],3,FALSE)</f>
        <v>300</v>
      </c>
      <c r="Y31" s="19">
        <f>VLOOKUP(U31,WorkingDB[],4,FALSE)</f>
        <v>2349</v>
      </c>
      <c r="Z31" s="5">
        <f>VLOOKUP(U31,WorkingDB[],5,FALSE)</f>
        <v>0</v>
      </c>
      <c r="AA31" s="5">
        <f>VLOOKUP(U31,WorkingDB[],6,FALSE)</f>
        <v>0</v>
      </c>
      <c r="AB31" s="44">
        <f>VLOOKUP(U31,WorkingDB[],7,FALSE)*V31+VLOOKUP(U31,CostDB[],5,FALSE)</f>
        <v>1617.3200000000002</v>
      </c>
      <c r="AC31" s="16" t="s">
        <v>112</v>
      </c>
      <c r="AD31" s="17">
        <f t="shared" si="30"/>
        <v>1.4999999999999999E-2</v>
      </c>
      <c r="AE31" s="18">
        <f>VLOOKUP(AC31,WorkingDB[],2,FALSE)</f>
        <v>0.72099999999999997</v>
      </c>
      <c r="AF31" s="19">
        <f>VLOOKUP(AC31,WorkingDB[],3,FALSE)</f>
        <v>840</v>
      </c>
      <c r="AG31" s="19">
        <f>VLOOKUP(AC31,WorkingDB[],4,FALSE)</f>
        <v>1762</v>
      </c>
      <c r="AH31" s="5">
        <f>VLOOKUP(AC31,WorkingDB[],5,FALSE)</f>
        <v>0</v>
      </c>
      <c r="AI31" s="5">
        <f>VLOOKUP(AC31,WorkingDB[],6,FALSE)</f>
        <v>0</v>
      </c>
      <c r="AJ31" s="44">
        <f>VLOOKUP(AC31,WorkingDB[],7,FALSE)*AD31+VLOOKUP(AC31,CostDB[],5,FALSE)</f>
        <v>339.1</v>
      </c>
      <c r="AK31" s="16" t="s">
        <v>90</v>
      </c>
      <c r="AL31" s="17">
        <v>0</v>
      </c>
      <c r="AM31" s="18">
        <f>VLOOKUP(AK31,WorkingDB[],2,FALSE)</f>
        <v>0</v>
      </c>
      <c r="AN31" s="19">
        <f>VLOOKUP(AK31,WorkingDB[],3,FALSE)</f>
        <v>0</v>
      </c>
      <c r="AO31" s="19">
        <f>VLOOKUP(AK31,WorkingDB[],4,FALSE)</f>
        <v>0</v>
      </c>
      <c r="AP31" s="5">
        <f>VLOOKUP(AK31,WorkingDB[],5,FALSE)</f>
        <v>0</v>
      </c>
      <c r="AQ31" s="5">
        <f>VLOOKUP(AK31,WorkingDB[],6,FALSE)</f>
        <v>0</v>
      </c>
      <c r="AR31" s="44" t="e">
        <f>VLOOKUP(AK31,WorkingDB[],7,FALSE)*AL31+VLOOKUP(AK31,CostDB[],5,FALSE)</f>
        <v>#N/A</v>
      </c>
      <c r="AS31" s="16" t="s">
        <v>90</v>
      </c>
      <c r="AT31" s="17">
        <v>0</v>
      </c>
      <c r="AU31" s="18">
        <f>VLOOKUP(AS31,WorkingDB[],2,FALSE)</f>
        <v>0</v>
      </c>
      <c r="AV31" s="19">
        <f>VLOOKUP(AS31,WorkingDB[],3,FALSE)</f>
        <v>0</v>
      </c>
      <c r="AW31" s="19">
        <f>VLOOKUP(AS31,WorkingDB[],4,FALSE)</f>
        <v>0</v>
      </c>
      <c r="AX31" s="5">
        <f>VLOOKUP(AS31,WorkingDB[],5,FALSE)</f>
        <v>0</v>
      </c>
      <c r="AY31" s="5">
        <f>VLOOKUP(AS31,WorkingDB[],6,FALSE)</f>
        <v>0</v>
      </c>
      <c r="AZ31" s="44" t="e">
        <f>VLOOKUP(AS31,WorkingDB[],7,FALSE)*AT31+VLOOKUP(AS31,CostDB[],5,FALSE)</f>
        <v>#N/A</v>
      </c>
      <c r="BA31" s="27">
        <v>8.35</v>
      </c>
      <c r="BB31" s="20">
        <f t="shared" si="41"/>
        <v>0.24</v>
      </c>
      <c r="BC31" s="18">
        <f t="shared" si="42"/>
        <v>1.4488642694006122</v>
      </c>
      <c r="BD31" s="18">
        <f t="shared" si="43"/>
        <v>0.34772742465614692</v>
      </c>
      <c r="BE31" s="19">
        <f t="shared" si="44"/>
        <v>523.01</v>
      </c>
      <c r="BF31" s="19">
        <f t="shared" si="45"/>
        <v>2179.2083333333335</v>
      </c>
      <c r="BG31" s="19">
        <f t="shared" si="46"/>
        <v>185766.95</v>
      </c>
      <c r="BH31" s="19">
        <f t="shared" si="47"/>
        <v>355.18814171813159</v>
      </c>
      <c r="BI31" s="18">
        <f t="shared" si="48"/>
        <v>35.615434547849688</v>
      </c>
      <c r="BJ31" s="22">
        <f t="shared" si="49"/>
        <v>4.4924343063970884E-7</v>
      </c>
      <c r="BK31" s="23">
        <f t="shared" si="50"/>
        <v>1.6172763503029518E-3</v>
      </c>
      <c r="BL31" s="19">
        <f t="shared" si="29"/>
        <v>2706.17</v>
      </c>
      <c r="BM31" s="18"/>
      <c r="BO31" s="5">
        <v>1</v>
      </c>
      <c r="BP31" s="20">
        <f t="shared" si="2"/>
        <v>251.50278810408923</v>
      </c>
      <c r="BR31" s="45">
        <f t="shared" si="3"/>
        <v>22201.200000000001</v>
      </c>
      <c r="BS31" s="45">
        <f t="shared" si="4"/>
        <v>424.55000000000007</v>
      </c>
      <c r="BT31" s="45">
        <f t="shared" si="5"/>
        <v>140940</v>
      </c>
      <c r="BU31" s="45">
        <f t="shared" si="6"/>
        <v>22201.200000000001</v>
      </c>
      <c r="BV31" s="45">
        <f t="shared" si="7"/>
        <v>0</v>
      </c>
      <c r="BW31" s="45">
        <f t="shared" si="8"/>
        <v>0</v>
      </c>
      <c r="BX31" s="46">
        <f t="shared" si="9"/>
        <v>2.0804438280166437E-2</v>
      </c>
      <c r="BY31" s="46">
        <f t="shared" si="10"/>
        <v>0.35714285714285715</v>
      </c>
      <c r="BZ31" s="46">
        <f t="shared" si="11"/>
        <v>0.14174344436569808</v>
      </c>
      <c r="CA31" s="46">
        <f t="shared" si="12"/>
        <v>2.0804438280166437E-2</v>
      </c>
      <c r="CB31" s="46">
        <f t="shared" si="13"/>
        <v>0</v>
      </c>
      <c r="CC31" s="46">
        <f t="shared" si="14"/>
        <v>0</v>
      </c>
      <c r="CD31" s="45">
        <f t="shared" si="15"/>
        <v>22.472978789868179</v>
      </c>
    </row>
    <row r="32" spans="1:82" ht="14.4" x14ac:dyDescent="0.3">
      <c r="A32" s="5" t="s">
        <v>331</v>
      </c>
      <c r="B32" s="5" t="s">
        <v>282</v>
      </c>
      <c r="C32" s="4" t="s">
        <v>10</v>
      </c>
      <c r="D32" s="27">
        <v>33.4</v>
      </c>
      <c r="E32" s="16" t="s">
        <v>112</v>
      </c>
      <c r="F32" s="17">
        <f t="shared" si="28"/>
        <v>1.4999999999999999E-2</v>
      </c>
      <c r="G32" s="18">
        <f>VLOOKUP(E32,WorkingDB[],2,FALSE)</f>
        <v>0.72099999999999997</v>
      </c>
      <c r="H32" s="19">
        <f>VLOOKUP(E32,WorkingDB[],3,FALSE)</f>
        <v>840</v>
      </c>
      <c r="I32" s="19">
        <f>VLOOKUP(E32,WorkingDB[],4,FALSE)</f>
        <v>1762</v>
      </c>
      <c r="J32" s="5">
        <f>VLOOKUP(E32,WorkingDB[],5,FALSE)</f>
        <v>0</v>
      </c>
      <c r="K32" s="5">
        <f>VLOOKUP(E32,WorkingDB[],6,FALSE)</f>
        <v>0</v>
      </c>
      <c r="L32" s="44">
        <f>VLOOKUP(E32,WorkingDB[],7,FALSE)*F32+VLOOKUP(E32,CostDB[],5,FALSE)</f>
        <v>339.1</v>
      </c>
      <c r="M32" s="16" t="s">
        <v>238</v>
      </c>
      <c r="N32" s="17">
        <f>5/1000</f>
        <v>5.0000000000000001E-3</v>
      </c>
      <c r="O32" s="18">
        <f>VLOOKUP(M32,WorkingDB[],2,FALSE)</f>
        <v>3.7999999999999999E-2</v>
      </c>
      <c r="P32" s="19">
        <f>VLOOKUP(M32,WorkingDB[],3,FALSE)</f>
        <v>1213</v>
      </c>
      <c r="Q32" s="19">
        <f>VLOOKUP(M32,WorkingDB[],4,FALSE)</f>
        <v>28</v>
      </c>
      <c r="R32" s="5">
        <f>VLOOKUP(M32,WorkingDB[],5,FALSE)</f>
        <v>0</v>
      </c>
      <c r="S32" s="5">
        <f>VLOOKUP(M32,WorkingDB[],6,FALSE)</f>
        <v>0</v>
      </c>
      <c r="T32" s="44">
        <f>VLOOKUP(M32,WorkingDB[],7,FALSE)*N32+VLOOKUP(M32,CostDB[],5,FALSE)</f>
        <v>2702.4250000000002</v>
      </c>
      <c r="U32" s="16" t="s">
        <v>104</v>
      </c>
      <c r="V32" s="17">
        <v>0.2</v>
      </c>
      <c r="W32" s="18">
        <f>VLOOKUP(U32,WorkingDB[],2,FALSE)</f>
        <v>1.411</v>
      </c>
      <c r="X32" s="19">
        <f>VLOOKUP(U32,WorkingDB[],3,FALSE)</f>
        <v>300</v>
      </c>
      <c r="Y32" s="19">
        <f>VLOOKUP(U32,WorkingDB[],4,FALSE)</f>
        <v>2349</v>
      </c>
      <c r="Z32" s="5">
        <f>VLOOKUP(U32,WorkingDB[],5,FALSE)</f>
        <v>0</v>
      </c>
      <c r="AA32" s="5">
        <f>VLOOKUP(U32,WorkingDB[],6,FALSE)</f>
        <v>0</v>
      </c>
      <c r="AB32" s="44">
        <f>VLOOKUP(U32,WorkingDB[],7,FALSE)*V32+VLOOKUP(U32,CostDB[],5,FALSE)</f>
        <v>1617.3200000000002</v>
      </c>
      <c r="AC32" s="16" t="s">
        <v>112</v>
      </c>
      <c r="AD32" s="17">
        <f t="shared" si="30"/>
        <v>1.4999999999999999E-2</v>
      </c>
      <c r="AE32" s="18">
        <f>VLOOKUP(AC32,WorkingDB[],2,FALSE)</f>
        <v>0.72099999999999997</v>
      </c>
      <c r="AF32" s="19">
        <f>VLOOKUP(AC32,WorkingDB[],3,FALSE)</f>
        <v>840</v>
      </c>
      <c r="AG32" s="19">
        <f>VLOOKUP(AC32,WorkingDB[],4,FALSE)</f>
        <v>1762</v>
      </c>
      <c r="AH32" s="5">
        <f>VLOOKUP(AC32,WorkingDB[],5,FALSE)</f>
        <v>0</v>
      </c>
      <c r="AI32" s="5">
        <f>VLOOKUP(AC32,WorkingDB[],6,FALSE)</f>
        <v>0</v>
      </c>
      <c r="AJ32" s="44">
        <f>VLOOKUP(AC32,WorkingDB[],7,FALSE)*AD32+VLOOKUP(AC32,CostDB[],5,FALSE)</f>
        <v>339.1</v>
      </c>
      <c r="AK32" s="16" t="s">
        <v>90</v>
      </c>
      <c r="AL32" s="17">
        <v>0</v>
      </c>
      <c r="AM32" s="18">
        <f>VLOOKUP(AK32,WorkingDB[],2,FALSE)</f>
        <v>0</v>
      </c>
      <c r="AN32" s="19">
        <f>VLOOKUP(AK32,WorkingDB[],3,FALSE)</f>
        <v>0</v>
      </c>
      <c r="AO32" s="19">
        <f>VLOOKUP(AK32,WorkingDB[],4,FALSE)</f>
        <v>0</v>
      </c>
      <c r="AP32" s="5">
        <f>VLOOKUP(AK32,WorkingDB[],5,FALSE)</f>
        <v>0</v>
      </c>
      <c r="AQ32" s="5">
        <f>VLOOKUP(AK32,WorkingDB[],6,FALSE)</f>
        <v>0</v>
      </c>
      <c r="AR32" s="44" t="e">
        <f>VLOOKUP(AK32,WorkingDB[],7,FALSE)*AL32+VLOOKUP(AK32,CostDB[],5,FALSE)</f>
        <v>#N/A</v>
      </c>
      <c r="AS32" s="16" t="s">
        <v>90</v>
      </c>
      <c r="AT32" s="17">
        <v>0</v>
      </c>
      <c r="AU32" s="18">
        <f>VLOOKUP(AS32,WorkingDB[],2,FALSE)</f>
        <v>0</v>
      </c>
      <c r="AV32" s="19">
        <f>VLOOKUP(AS32,WorkingDB[],3,FALSE)</f>
        <v>0</v>
      </c>
      <c r="AW32" s="19">
        <f>VLOOKUP(AS32,WorkingDB[],4,FALSE)</f>
        <v>0</v>
      </c>
      <c r="AX32" s="5">
        <f>VLOOKUP(AS32,WorkingDB[],5,FALSE)</f>
        <v>0</v>
      </c>
      <c r="AY32" s="5">
        <f>VLOOKUP(AS32,WorkingDB[],6,FALSE)</f>
        <v>0</v>
      </c>
      <c r="AZ32" s="44" t="e">
        <f>VLOOKUP(AS32,WorkingDB[],7,FALSE)*AT32+VLOOKUP(AS32,CostDB[],5,FALSE)</f>
        <v>#N/A</v>
      </c>
      <c r="BA32" s="27">
        <v>8.35</v>
      </c>
      <c r="BB32" s="20">
        <f t="shared" si="41"/>
        <v>0.23499999999999999</v>
      </c>
      <c r="BC32" s="18">
        <f t="shared" si="42"/>
        <v>2.1522415288651766</v>
      </c>
      <c r="BD32" s="18">
        <f t="shared" si="43"/>
        <v>0.50577675928331645</v>
      </c>
      <c r="BE32" s="19">
        <f t="shared" si="44"/>
        <v>522.79999999999995</v>
      </c>
      <c r="BF32" s="19">
        <f t="shared" si="45"/>
        <v>2224.6808510638298</v>
      </c>
      <c r="BG32" s="19">
        <f t="shared" si="46"/>
        <v>185512.22</v>
      </c>
      <c r="BH32" s="19">
        <f t="shared" si="47"/>
        <v>354.84357306809488</v>
      </c>
      <c r="BI32" s="18">
        <f t="shared" si="48"/>
        <v>23.943024763300301</v>
      </c>
      <c r="BJ32" s="22">
        <f t="shared" si="49"/>
        <v>6.4069924036044286E-7</v>
      </c>
      <c r="BK32" s="23">
        <f t="shared" si="50"/>
        <v>2.3065172652975943E-3</v>
      </c>
      <c r="BL32" s="19">
        <f t="shared" si="29"/>
        <v>4997.9450000000006</v>
      </c>
      <c r="BM32" s="18"/>
      <c r="BO32" s="5">
        <v>1</v>
      </c>
      <c r="BP32" s="20">
        <f t="shared" si="2"/>
        <v>464.493029739777</v>
      </c>
      <c r="BR32" s="45">
        <f t="shared" si="3"/>
        <v>22201.200000000001</v>
      </c>
      <c r="BS32" s="45">
        <f t="shared" si="4"/>
        <v>169.82000000000002</v>
      </c>
      <c r="BT32" s="45">
        <f t="shared" si="5"/>
        <v>140940</v>
      </c>
      <c r="BU32" s="45">
        <f t="shared" si="6"/>
        <v>22201.200000000001</v>
      </c>
      <c r="BV32" s="45">
        <f t="shared" si="7"/>
        <v>0</v>
      </c>
      <c r="BW32" s="45">
        <f t="shared" si="8"/>
        <v>0</v>
      </c>
      <c r="BX32" s="46">
        <f t="shared" si="9"/>
        <v>2.0804438280166437E-2</v>
      </c>
      <c r="BY32" s="46">
        <f t="shared" si="10"/>
        <v>0.13157894736842105</v>
      </c>
      <c r="BZ32" s="46">
        <f t="shared" si="11"/>
        <v>0.14174344436569808</v>
      </c>
      <c r="CA32" s="46">
        <f t="shared" si="12"/>
        <v>2.0804438280166437E-2</v>
      </c>
      <c r="CB32" s="46">
        <f t="shared" si="13"/>
        <v>0</v>
      </c>
      <c r="CC32" s="46">
        <f t="shared" si="14"/>
        <v>0</v>
      </c>
      <c r="CD32" s="45">
        <f t="shared" si="15"/>
        <v>12.229552898162106</v>
      </c>
    </row>
    <row r="33" spans="1:82" ht="14.4" x14ac:dyDescent="0.3">
      <c r="A33" s="5" t="s">
        <v>332</v>
      </c>
      <c r="B33" s="5" t="s">
        <v>283</v>
      </c>
      <c r="C33" s="4" t="s">
        <v>10</v>
      </c>
      <c r="D33" s="27">
        <v>33.4</v>
      </c>
      <c r="E33" s="16" t="s">
        <v>112</v>
      </c>
      <c r="F33" s="17">
        <f t="shared" si="28"/>
        <v>1.4999999999999999E-2</v>
      </c>
      <c r="G33" s="18">
        <f>VLOOKUP(E33,WorkingDB[],2,FALSE)</f>
        <v>0.72099999999999997</v>
      </c>
      <c r="H33" s="19">
        <f>VLOOKUP(E33,WorkingDB[],3,FALSE)</f>
        <v>840</v>
      </c>
      <c r="I33" s="19">
        <f>VLOOKUP(E33,WorkingDB[],4,FALSE)</f>
        <v>1762</v>
      </c>
      <c r="J33" s="5">
        <f>VLOOKUP(E33,WorkingDB[],5,FALSE)</f>
        <v>0</v>
      </c>
      <c r="K33" s="5">
        <f>VLOOKUP(E33,WorkingDB[],6,FALSE)</f>
        <v>0</v>
      </c>
      <c r="L33" s="44">
        <f>VLOOKUP(E33,WorkingDB[],7,FALSE)*F33+VLOOKUP(E33,CostDB[],5,FALSE)</f>
        <v>339.1</v>
      </c>
      <c r="M33" s="16" t="s">
        <v>238</v>
      </c>
      <c r="N33" s="17">
        <f>10/1000</f>
        <v>0.01</v>
      </c>
      <c r="O33" s="18">
        <f>VLOOKUP(M33,WorkingDB[],2,FALSE)</f>
        <v>3.7999999999999999E-2</v>
      </c>
      <c r="P33" s="19">
        <f>VLOOKUP(M33,WorkingDB[],3,FALSE)</f>
        <v>1213</v>
      </c>
      <c r="Q33" s="19">
        <f>VLOOKUP(M33,WorkingDB[],4,FALSE)</f>
        <v>28</v>
      </c>
      <c r="R33" s="5">
        <f>VLOOKUP(M33,WorkingDB[],5,FALSE)</f>
        <v>0</v>
      </c>
      <c r="S33" s="5">
        <f>VLOOKUP(M33,WorkingDB[],6,FALSE)</f>
        <v>0</v>
      </c>
      <c r="T33" s="44">
        <f>VLOOKUP(M33,WorkingDB[],7,FALSE)*N33+VLOOKUP(M33,CostDB[],5,FALSE)</f>
        <v>2736.8</v>
      </c>
      <c r="U33" s="16" t="s">
        <v>104</v>
      </c>
      <c r="V33" s="17">
        <v>0.2</v>
      </c>
      <c r="W33" s="18">
        <f>VLOOKUP(U33,WorkingDB[],2,FALSE)</f>
        <v>1.411</v>
      </c>
      <c r="X33" s="19">
        <f>VLOOKUP(U33,WorkingDB[],3,FALSE)</f>
        <v>300</v>
      </c>
      <c r="Y33" s="19">
        <f>VLOOKUP(U33,WorkingDB[],4,FALSE)</f>
        <v>2349</v>
      </c>
      <c r="Z33" s="5">
        <f>VLOOKUP(U33,WorkingDB[],5,FALSE)</f>
        <v>0</v>
      </c>
      <c r="AA33" s="5">
        <f>VLOOKUP(U33,WorkingDB[],6,FALSE)</f>
        <v>0</v>
      </c>
      <c r="AB33" s="44">
        <f>VLOOKUP(U33,WorkingDB[],7,FALSE)*V33+VLOOKUP(U33,CostDB[],5,FALSE)</f>
        <v>1617.3200000000002</v>
      </c>
      <c r="AC33" s="16" t="s">
        <v>112</v>
      </c>
      <c r="AD33" s="17">
        <f t="shared" si="30"/>
        <v>1.4999999999999999E-2</v>
      </c>
      <c r="AE33" s="18">
        <f>VLOOKUP(AC33,WorkingDB[],2,FALSE)</f>
        <v>0.72099999999999997</v>
      </c>
      <c r="AF33" s="19">
        <f>VLOOKUP(AC33,WorkingDB[],3,FALSE)</f>
        <v>840</v>
      </c>
      <c r="AG33" s="19">
        <f>VLOOKUP(AC33,WorkingDB[],4,FALSE)</f>
        <v>1762</v>
      </c>
      <c r="AH33" s="5">
        <f>VLOOKUP(AC33,WorkingDB[],5,FALSE)</f>
        <v>0</v>
      </c>
      <c r="AI33" s="5">
        <f>VLOOKUP(AC33,WorkingDB[],6,FALSE)</f>
        <v>0</v>
      </c>
      <c r="AJ33" s="44">
        <f>VLOOKUP(AC33,WorkingDB[],7,FALSE)*AD33+VLOOKUP(AC33,CostDB[],5,FALSE)</f>
        <v>339.1</v>
      </c>
      <c r="AK33" s="16" t="s">
        <v>90</v>
      </c>
      <c r="AL33" s="17">
        <v>0</v>
      </c>
      <c r="AM33" s="18">
        <f>VLOOKUP(AK33,WorkingDB[],2,FALSE)</f>
        <v>0</v>
      </c>
      <c r="AN33" s="19">
        <f>VLOOKUP(AK33,WorkingDB[],3,FALSE)</f>
        <v>0</v>
      </c>
      <c r="AO33" s="19">
        <f>VLOOKUP(AK33,WorkingDB[],4,FALSE)</f>
        <v>0</v>
      </c>
      <c r="AP33" s="5">
        <f>VLOOKUP(AK33,WorkingDB[],5,FALSE)</f>
        <v>0</v>
      </c>
      <c r="AQ33" s="5">
        <f>VLOOKUP(AK33,WorkingDB[],6,FALSE)</f>
        <v>0</v>
      </c>
      <c r="AR33" s="44" t="e">
        <f>VLOOKUP(AK33,WorkingDB[],7,FALSE)*AL33+VLOOKUP(AK33,CostDB[],5,FALSE)</f>
        <v>#N/A</v>
      </c>
      <c r="AS33" s="16" t="s">
        <v>90</v>
      </c>
      <c r="AT33" s="17">
        <v>0</v>
      </c>
      <c r="AU33" s="18">
        <f>VLOOKUP(AS33,WorkingDB[],2,FALSE)</f>
        <v>0</v>
      </c>
      <c r="AV33" s="19">
        <f>VLOOKUP(AS33,WorkingDB[],3,FALSE)</f>
        <v>0</v>
      </c>
      <c r="AW33" s="19">
        <f>VLOOKUP(AS33,WorkingDB[],4,FALSE)</f>
        <v>0</v>
      </c>
      <c r="AX33" s="5">
        <f>VLOOKUP(AS33,WorkingDB[],5,FALSE)</f>
        <v>0</v>
      </c>
      <c r="AY33" s="5">
        <f>VLOOKUP(AS33,WorkingDB[],6,FALSE)</f>
        <v>0</v>
      </c>
      <c r="AZ33" s="44" t="e">
        <f>VLOOKUP(AS33,WorkingDB[],7,FALSE)*AT33+VLOOKUP(AS33,CostDB[],5,FALSE)</f>
        <v>#N/A</v>
      </c>
      <c r="BA33" s="27">
        <v>8.35</v>
      </c>
      <c r="BB33" s="20">
        <f t="shared" si="41"/>
        <v>0.24</v>
      </c>
      <c r="BC33" s="18">
        <f t="shared" si="42"/>
        <v>1.6772590763837179</v>
      </c>
      <c r="BD33" s="18">
        <f t="shared" si="43"/>
        <v>0.40254217833209227</v>
      </c>
      <c r="BE33" s="19">
        <f t="shared" si="44"/>
        <v>522.93999999999994</v>
      </c>
      <c r="BF33" s="19">
        <f t="shared" si="45"/>
        <v>2178.9166666666665</v>
      </c>
      <c r="BG33" s="19">
        <f t="shared" si="46"/>
        <v>185682.04</v>
      </c>
      <c r="BH33" s="19">
        <f t="shared" si="47"/>
        <v>355.07331625043031</v>
      </c>
      <c r="BI33" s="18">
        <f t="shared" si="48"/>
        <v>30.751566749992367</v>
      </c>
      <c r="BJ33" s="22">
        <f t="shared" si="49"/>
        <v>5.2029869339922234E-7</v>
      </c>
      <c r="BK33" s="23">
        <f t="shared" si="50"/>
        <v>1.8730752962372004E-3</v>
      </c>
      <c r="BL33" s="19">
        <f t="shared" si="29"/>
        <v>5032.3200000000006</v>
      </c>
      <c r="BM33" s="18"/>
      <c r="BO33" s="5">
        <v>1</v>
      </c>
      <c r="BP33" s="20">
        <f t="shared" si="2"/>
        <v>467.68773234200751</v>
      </c>
      <c r="BR33" s="45">
        <f t="shared" si="3"/>
        <v>22201.200000000001</v>
      </c>
      <c r="BS33" s="45">
        <f t="shared" si="4"/>
        <v>339.64000000000004</v>
      </c>
      <c r="BT33" s="45">
        <f t="shared" si="5"/>
        <v>140940</v>
      </c>
      <c r="BU33" s="45">
        <f t="shared" si="6"/>
        <v>22201.200000000001</v>
      </c>
      <c r="BV33" s="45">
        <f t="shared" si="7"/>
        <v>0</v>
      </c>
      <c r="BW33" s="45">
        <f t="shared" si="8"/>
        <v>0</v>
      </c>
      <c r="BX33" s="46">
        <f t="shared" si="9"/>
        <v>2.0804438280166437E-2</v>
      </c>
      <c r="BY33" s="46">
        <f t="shared" si="10"/>
        <v>0.26315789473684209</v>
      </c>
      <c r="BZ33" s="46">
        <f t="shared" si="11"/>
        <v>0.14174344436569808</v>
      </c>
      <c r="CA33" s="46">
        <f t="shared" si="12"/>
        <v>2.0804438280166437E-2</v>
      </c>
      <c r="CB33" s="46">
        <f t="shared" si="13"/>
        <v>0</v>
      </c>
      <c r="CC33" s="46">
        <f t="shared" si="14"/>
        <v>0</v>
      </c>
      <c r="CD33" s="45">
        <f t="shared" si="15"/>
        <v>18.20402009664285</v>
      </c>
    </row>
    <row r="34" spans="1:82" ht="14.4" x14ac:dyDescent="0.3">
      <c r="A34" s="5" t="s">
        <v>333</v>
      </c>
      <c r="B34" s="5" t="s">
        <v>363</v>
      </c>
      <c r="C34" s="4" t="s">
        <v>10</v>
      </c>
      <c r="D34" s="27">
        <v>33.4</v>
      </c>
      <c r="E34" s="16" t="s">
        <v>112</v>
      </c>
      <c r="F34" s="17">
        <f t="shared" si="28"/>
        <v>1.4999999999999999E-2</v>
      </c>
      <c r="G34" s="18">
        <f>VLOOKUP(E34,WorkingDB[],2,FALSE)</f>
        <v>0.72099999999999997</v>
      </c>
      <c r="H34" s="19">
        <f>VLOOKUP(E34,WorkingDB[],3,FALSE)</f>
        <v>840</v>
      </c>
      <c r="I34" s="19">
        <f>VLOOKUP(E34,WorkingDB[],4,FALSE)</f>
        <v>1762</v>
      </c>
      <c r="J34" s="5">
        <f>VLOOKUP(E34,WorkingDB[],5,FALSE)</f>
        <v>0</v>
      </c>
      <c r="K34" s="5">
        <f>VLOOKUP(E34,WorkingDB[],6,FALSE)</f>
        <v>0</v>
      </c>
      <c r="L34" s="44">
        <f>VLOOKUP(E34,WorkingDB[],7,FALSE)*F34+VLOOKUP(E34,CostDB[],5,FALSE)</f>
        <v>339.1</v>
      </c>
      <c r="M34" s="16" t="s">
        <v>238</v>
      </c>
      <c r="N34" s="17">
        <f>15/1000</f>
        <v>1.4999999999999999E-2</v>
      </c>
      <c r="O34" s="18">
        <f>VLOOKUP(M34,WorkingDB[],2,FALSE)</f>
        <v>3.7999999999999999E-2</v>
      </c>
      <c r="P34" s="19">
        <f>VLOOKUP(M34,WorkingDB[],3,FALSE)</f>
        <v>1213</v>
      </c>
      <c r="Q34" s="19">
        <f>VLOOKUP(M34,WorkingDB[],4,FALSE)</f>
        <v>28</v>
      </c>
      <c r="R34" s="5">
        <f>VLOOKUP(M34,WorkingDB[],5,FALSE)</f>
        <v>0</v>
      </c>
      <c r="S34" s="5">
        <f>VLOOKUP(M34,WorkingDB[],6,FALSE)</f>
        <v>0</v>
      </c>
      <c r="T34" s="44">
        <f>VLOOKUP(M34,WorkingDB[],7,FALSE)*N34+VLOOKUP(M34,CostDB[],5,FALSE)</f>
        <v>2771.1750000000002</v>
      </c>
      <c r="U34" s="16" t="s">
        <v>104</v>
      </c>
      <c r="V34" s="17">
        <v>0.2</v>
      </c>
      <c r="W34" s="18">
        <f>VLOOKUP(U34,WorkingDB[],2,FALSE)</f>
        <v>1.411</v>
      </c>
      <c r="X34" s="19">
        <f>VLOOKUP(U34,WorkingDB[],3,FALSE)</f>
        <v>300</v>
      </c>
      <c r="Y34" s="19">
        <f>VLOOKUP(U34,WorkingDB[],4,FALSE)</f>
        <v>2349</v>
      </c>
      <c r="Z34" s="5">
        <f>VLOOKUP(U34,WorkingDB[],5,FALSE)</f>
        <v>0</v>
      </c>
      <c r="AA34" s="5">
        <f>VLOOKUP(U34,WorkingDB[],6,FALSE)</f>
        <v>0</v>
      </c>
      <c r="AB34" s="44">
        <f>VLOOKUP(U34,WorkingDB[],7,FALSE)*V34+VLOOKUP(U34,CostDB[],5,FALSE)</f>
        <v>1617.3200000000002</v>
      </c>
      <c r="AC34" s="16" t="s">
        <v>112</v>
      </c>
      <c r="AD34" s="17">
        <f t="shared" si="30"/>
        <v>1.4999999999999999E-2</v>
      </c>
      <c r="AE34" s="18">
        <f>VLOOKUP(AC34,WorkingDB[],2,FALSE)</f>
        <v>0.72099999999999997</v>
      </c>
      <c r="AF34" s="19">
        <f>VLOOKUP(AC34,WorkingDB[],3,FALSE)</f>
        <v>840</v>
      </c>
      <c r="AG34" s="19">
        <f>VLOOKUP(AC34,WorkingDB[],4,FALSE)</f>
        <v>1762</v>
      </c>
      <c r="AH34" s="5">
        <f>VLOOKUP(AC34,WorkingDB[],5,FALSE)</f>
        <v>0</v>
      </c>
      <c r="AI34" s="5">
        <f>VLOOKUP(AC34,WorkingDB[],6,FALSE)</f>
        <v>0</v>
      </c>
      <c r="AJ34" s="44">
        <f>VLOOKUP(AC34,WorkingDB[],7,FALSE)*AD34+VLOOKUP(AC34,CostDB[],5,FALSE)</f>
        <v>339.1</v>
      </c>
      <c r="AK34" s="16" t="s">
        <v>90</v>
      </c>
      <c r="AL34" s="17">
        <v>0</v>
      </c>
      <c r="AM34" s="18">
        <f>VLOOKUP(AK34,WorkingDB[],2,FALSE)</f>
        <v>0</v>
      </c>
      <c r="AN34" s="19">
        <f>VLOOKUP(AK34,WorkingDB[],3,FALSE)</f>
        <v>0</v>
      </c>
      <c r="AO34" s="19">
        <f>VLOOKUP(AK34,WorkingDB[],4,FALSE)</f>
        <v>0</v>
      </c>
      <c r="AP34" s="5">
        <f>VLOOKUP(AK34,WorkingDB[],5,FALSE)</f>
        <v>0</v>
      </c>
      <c r="AQ34" s="5">
        <f>VLOOKUP(AK34,WorkingDB[],6,FALSE)</f>
        <v>0</v>
      </c>
      <c r="AR34" s="44" t="e">
        <f>VLOOKUP(AK34,WorkingDB[],7,FALSE)*AL34+VLOOKUP(AK34,CostDB[],5,FALSE)</f>
        <v>#N/A</v>
      </c>
      <c r="AS34" s="16" t="s">
        <v>90</v>
      </c>
      <c r="AT34" s="17">
        <v>0</v>
      </c>
      <c r="AU34" s="18">
        <f>VLOOKUP(AS34,WorkingDB[],2,FALSE)</f>
        <v>0</v>
      </c>
      <c r="AV34" s="19">
        <f>VLOOKUP(AS34,WorkingDB[],3,FALSE)</f>
        <v>0</v>
      </c>
      <c r="AW34" s="19">
        <f>VLOOKUP(AS34,WorkingDB[],4,FALSE)</f>
        <v>0</v>
      </c>
      <c r="AX34" s="5">
        <f>VLOOKUP(AS34,WorkingDB[],5,FALSE)</f>
        <v>0</v>
      </c>
      <c r="AY34" s="5">
        <f>VLOOKUP(AS34,WorkingDB[],6,FALSE)</f>
        <v>0</v>
      </c>
      <c r="AZ34" s="44" t="e">
        <f>VLOOKUP(AS34,WorkingDB[],7,FALSE)*AT34+VLOOKUP(AS34,CostDB[],5,FALSE)</f>
        <v>#N/A</v>
      </c>
      <c r="BA34" s="27">
        <v>8.35</v>
      </c>
      <c r="BB34" s="20">
        <f t="shared" si="41"/>
        <v>0.245</v>
      </c>
      <c r="BC34" s="18">
        <f t="shared" si="42"/>
        <v>1.3740231759793768</v>
      </c>
      <c r="BD34" s="18">
        <f t="shared" si="43"/>
        <v>0.33663567811494732</v>
      </c>
      <c r="BE34" s="19">
        <f t="shared" si="44"/>
        <v>523.08000000000004</v>
      </c>
      <c r="BF34" s="19">
        <f t="shared" si="45"/>
        <v>2135.0204081632655</v>
      </c>
      <c r="BG34" s="19">
        <f t="shared" si="46"/>
        <v>185851.86000000002</v>
      </c>
      <c r="BH34" s="19">
        <f t="shared" si="47"/>
        <v>355.302936453315</v>
      </c>
      <c r="BI34" s="18">
        <f t="shared" si="48"/>
        <v>37.572522479374499</v>
      </c>
      <c r="BJ34" s="22">
        <f t="shared" si="49"/>
        <v>4.4377140556011697E-7</v>
      </c>
      <c r="BK34" s="23">
        <f t="shared" si="50"/>
        <v>1.5975770600164211E-3</v>
      </c>
      <c r="BL34" s="19">
        <f t="shared" si="29"/>
        <v>5066.6950000000006</v>
      </c>
      <c r="BM34" s="18"/>
      <c r="BO34" s="5">
        <v>1</v>
      </c>
      <c r="BP34" s="20">
        <f t="shared" si="2"/>
        <v>470.88243494423796</v>
      </c>
      <c r="BR34" s="45">
        <f t="shared" si="3"/>
        <v>22201.200000000001</v>
      </c>
      <c r="BS34" s="45">
        <f t="shared" si="4"/>
        <v>509.46</v>
      </c>
      <c r="BT34" s="45">
        <f t="shared" si="5"/>
        <v>140940</v>
      </c>
      <c r="BU34" s="45">
        <f t="shared" si="6"/>
        <v>22201.200000000001</v>
      </c>
      <c r="BV34" s="45">
        <f t="shared" si="7"/>
        <v>0</v>
      </c>
      <c r="BW34" s="45">
        <f t="shared" si="8"/>
        <v>0</v>
      </c>
      <c r="BX34" s="46">
        <f t="shared" si="9"/>
        <v>2.0804438280166437E-2</v>
      </c>
      <c r="BY34" s="46">
        <f t="shared" si="10"/>
        <v>0.39473684210526316</v>
      </c>
      <c r="BZ34" s="46">
        <f t="shared" si="11"/>
        <v>0.14174344436569808</v>
      </c>
      <c r="CA34" s="46">
        <f t="shared" si="12"/>
        <v>2.0804438280166437E-2</v>
      </c>
      <c r="CB34" s="46">
        <f t="shared" si="13"/>
        <v>0</v>
      </c>
      <c r="CC34" s="46">
        <f t="shared" si="14"/>
        <v>0</v>
      </c>
      <c r="CD34" s="45">
        <f t="shared" si="15"/>
        <v>24.184694166468617</v>
      </c>
    </row>
    <row r="35" spans="1:82" ht="14.4" x14ac:dyDescent="0.3">
      <c r="A35" s="5" t="s">
        <v>334</v>
      </c>
      <c r="B35" s="5" t="s">
        <v>364</v>
      </c>
      <c r="C35" s="4" t="s">
        <v>10</v>
      </c>
      <c r="D35" s="27">
        <v>33.4</v>
      </c>
      <c r="E35" s="16" t="s">
        <v>112</v>
      </c>
      <c r="F35" s="17">
        <f t="shared" si="28"/>
        <v>1.4999999999999999E-2</v>
      </c>
      <c r="G35" s="18">
        <f>VLOOKUP(E35,WorkingDB[],2,FALSE)</f>
        <v>0.72099999999999997</v>
      </c>
      <c r="H35" s="19">
        <f>VLOOKUP(E35,WorkingDB[],3,FALSE)</f>
        <v>840</v>
      </c>
      <c r="I35" s="19">
        <f>VLOOKUP(E35,WorkingDB[],4,FALSE)</f>
        <v>1762</v>
      </c>
      <c r="J35" s="5">
        <f>VLOOKUP(E35,WorkingDB[],5,FALSE)</f>
        <v>0</v>
      </c>
      <c r="K35" s="5">
        <f>VLOOKUP(E35,WorkingDB[],6,FALSE)</f>
        <v>0</v>
      </c>
      <c r="L35" s="44">
        <f>VLOOKUP(E35,WorkingDB[],7,FALSE)*F35+VLOOKUP(E35,CostDB[],5,FALSE)</f>
        <v>339.1</v>
      </c>
      <c r="M35" s="16" t="s">
        <v>238</v>
      </c>
      <c r="N35" s="17">
        <f>20/1000</f>
        <v>0.02</v>
      </c>
      <c r="O35" s="18">
        <f>VLOOKUP(M35,WorkingDB[],2,FALSE)</f>
        <v>3.7999999999999999E-2</v>
      </c>
      <c r="P35" s="19">
        <f>VLOOKUP(M35,WorkingDB[],3,FALSE)</f>
        <v>1213</v>
      </c>
      <c r="Q35" s="19">
        <f>VLOOKUP(M35,WorkingDB[],4,FALSE)</f>
        <v>28</v>
      </c>
      <c r="R35" s="5">
        <f>VLOOKUP(M35,WorkingDB[],5,FALSE)</f>
        <v>0</v>
      </c>
      <c r="S35" s="5">
        <f>VLOOKUP(M35,WorkingDB[],6,FALSE)</f>
        <v>0</v>
      </c>
      <c r="T35" s="44">
        <f>VLOOKUP(M35,WorkingDB[],7,FALSE)*N35+VLOOKUP(M35,CostDB[],5,FALSE)</f>
        <v>2805.55</v>
      </c>
      <c r="U35" s="16" t="s">
        <v>104</v>
      </c>
      <c r="V35" s="17">
        <v>0.2</v>
      </c>
      <c r="W35" s="18">
        <f>VLOOKUP(U35,WorkingDB[],2,FALSE)</f>
        <v>1.411</v>
      </c>
      <c r="X35" s="19">
        <f>VLOOKUP(U35,WorkingDB[],3,FALSE)</f>
        <v>300</v>
      </c>
      <c r="Y35" s="19">
        <f>VLOOKUP(U35,WorkingDB[],4,FALSE)</f>
        <v>2349</v>
      </c>
      <c r="Z35" s="5">
        <f>VLOOKUP(U35,WorkingDB[],5,FALSE)</f>
        <v>0</v>
      </c>
      <c r="AA35" s="5">
        <f>VLOOKUP(U35,WorkingDB[],6,FALSE)</f>
        <v>0</v>
      </c>
      <c r="AB35" s="44">
        <f>VLOOKUP(U35,WorkingDB[],7,FALSE)*V35+VLOOKUP(U35,CostDB[],5,FALSE)</f>
        <v>1617.3200000000002</v>
      </c>
      <c r="AC35" s="16" t="s">
        <v>112</v>
      </c>
      <c r="AD35" s="17">
        <f t="shared" si="30"/>
        <v>1.4999999999999999E-2</v>
      </c>
      <c r="AE35" s="18">
        <f>VLOOKUP(AC35,WorkingDB[],2,FALSE)</f>
        <v>0.72099999999999997</v>
      </c>
      <c r="AF35" s="19">
        <f>VLOOKUP(AC35,WorkingDB[],3,FALSE)</f>
        <v>840</v>
      </c>
      <c r="AG35" s="19">
        <f>VLOOKUP(AC35,WorkingDB[],4,FALSE)</f>
        <v>1762</v>
      </c>
      <c r="AH35" s="5">
        <f>VLOOKUP(AC35,WorkingDB[],5,FALSE)</f>
        <v>0</v>
      </c>
      <c r="AI35" s="5">
        <f>VLOOKUP(AC35,WorkingDB[],6,FALSE)</f>
        <v>0</v>
      </c>
      <c r="AJ35" s="44">
        <f>VLOOKUP(AC35,WorkingDB[],7,FALSE)*AD35+VLOOKUP(AC35,CostDB[],5,FALSE)</f>
        <v>339.1</v>
      </c>
      <c r="AK35" s="16" t="s">
        <v>90</v>
      </c>
      <c r="AL35" s="17">
        <v>0</v>
      </c>
      <c r="AM35" s="18">
        <f>VLOOKUP(AK35,WorkingDB[],2,FALSE)</f>
        <v>0</v>
      </c>
      <c r="AN35" s="19">
        <f>VLOOKUP(AK35,WorkingDB[],3,FALSE)</f>
        <v>0</v>
      </c>
      <c r="AO35" s="19">
        <f>VLOOKUP(AK35,WorkingDB[],4,FALSE)</f>
        <v>0</v>
      </c>
      <c r="AP35" s="5">
        <f>VLOOKUP(AK35,WorkingDB[],5,FALSE)</f>
        <v>0</v>
      </c>
      <c r="AQ35" s="5">
        <f>VLOOKUP(AK35,WorkingDB[],6,FALSE)</f>
        <v>0</v>
      </c>
      <c r="AR35" s="44" t="e">
        <f>VLOOKUP(AK35,WorkingDB[],7,FALSE)*AL35+VLOOKUP(AK35,CostDB[],5,FALSE)</f>
        <v>#N/A</v>
      </c>
      <c r="AS35" s="16" t="s">
        <v>90</v>
      </c>
      <c r="AT35" s="17">
        <v>0</v>
      </c>
      <c r="AU35" s="18">
        <f>VLOOKUP(AS35,WorkingDB[],2,FALSE)</f>
        <v>0</v>
      </c>
      <c r="AV35" s="19">
        <f>VLOOKUP(AS35,WorkingDB[],3,FALSE)</f>
        <v>0</v>
      </c>
      <c r="AW35" s="19">
        <f>VLOOKUP(AS35,WorkingDB[],4,FALSE)</f>
        <v>0</v>
      </c>
      <c r="AX35" s="5">
        <f>VLOOKUP(AS35,WorkingDB[],5,FALSE)</f>
        <v>0</v>
      </c>
      <c r="AY35" s="5">
        <f>VLOOKUP(AS35,WorkingDB[],6,FALSE)</f>
        <v>0</v>
      </c>
      <c r="AZ35" s="44" t="e">
        <f>VLOOKUP(AS35,WorkingDB[],7,FALSE)*AT35+VLOOKUP(AS35,CostDB[],5,FALSE)</f>
        <v>#N/A</v>
      </c>
      <c r="BA35" s="27">
        <v>8.35</v>
      </c>
      <c r="BB35" s="20">
        <f t="shared" si="41"/>
        <v>0.25</v>
      </c>
      <c r="BC35" s="18">
        <f t="shared" si="42"/>
        <v>1.163644881751001</v>
      </c>
      <c r="BD35" s="18">
        <f t="shared" si="43"/>
        <v>0.29091122043775025</v>
      </c>
      <c r="BE35" s="19">
        <f t="shared" si="44"/>
        <v>523.22</v>
      </c>
      <c r="BF35" s="19">
        <f t="shared" si="45"/>
        <v>2092.88</v>
      </c>
      <c r="BG35" s="19">
        <f t="shared" si="46"/>
        <v>186021.68000000002</v>
      </c>
      <c r="BH35" s="19">
        <f t="shared" si="47"/>
        <v>355.53243377546733</v>
      </c>
      <c r="BI35" s="18">
        <f t="shared" si="48"/>
        <v>44.405891951446677</v>
      </c>
      <c r="BJ35" s="22">
        <f t="shared" si="49"/>
        <v>3.9096413444625138E-7</v>
      </c>
      <c r="BK35" s="23">
        <f t="shared" si="50"/>
        <v>1.407470884006505E-3</v>
      </c>
      <c r="BL35" s="19">
        <f t="shared" si="29"/>
        <v>5101.0700000000006</v>
      </c>
      <c r="BM35" s="18"/>
      <c r="BO35" s="5">
        <v>1</v>
      </c>
      <c r="BP35" s="20">
        <f t="shared" si="2"/>
        <v>474.07713754646846</v>
      </c>
      <c r="BR35" s="45">
        <f t="shared" si="3"/>
        <v>22201.200000000001</v>
      </c>
      <c r="BS35" s="45">
        <f t="shared" si="4"/>
        <v>679.28000000000009</v>
      </c>
      <c r="BT35" s="45">
        <f t="shared" si="5"/>
        <v>140940</v>
      </c>
      <c r="BU35" s="45">
        <f t="shared" si="6"/>
        <v>22201.200000000001</v>
      </c>
      <c r="BV35" s="45">
        <f t="shared" si="7"/>
        <v>0</v>
      </c>
      <c r="BW35" s="45">
        <f t="shared" si="8"/>
        <v>0</v>
      </c>
      <c r="BX35" s="46">
        <f t="shared" si="9"/>
        <v>2.0804438280166437E-2</v>
      </c>
      <c r="BY35" s="46">
        <f t="shared" si="10"/>
        <v>0.52631578947368418</v>
      </c>
      <c r="BZ35" s="46">
        <f t="shared" si="11"/>
        <v>0.14174344436569808</v>
      </c>
      <c r="CA35" s="46">
        <f t="shared" si="12"/>
        <v>2.0804438280166437E-2</v>
      </c>
      <c r="CB35" s="46">
        <f t="shared" si="13"/>
        <v>0</v>
      </c>
      <c r="CC35" s="46">
        <f t="shared" si="14"/>
        <v>0</v>
      </c>
      <c r="CD35" s="45">
        <f t="shared" si="15"/>
        <v>30.171575107639416</v>
      </c>
    </row>
    <row r="36" spans="1:82" ht="14.4" x14ac:dyDescent="0.3">
      <c r="A36" s="5" t="s">
        <v>335</v>
      </c>
      <c r="B36" s="5" t="s">
        <v>257</v>
      </c>
      <c r="C36" s="4" t="s">
        <v>10</v>
      </c>
      <c r="D36" s="27">
        <v>33.4</v>
      </c>
      <c r="E36" s="16" t="s">
        <v>112</v>
      </c>
      <c r="F36" s="17">
        <f t="shared" si="28"/>
        <v>1.4999999999999999E-2</v>
      </c>
      <c r="G36" s="18">
        <f>VLOOKUP(E36,WorkingDB[],2,FALSE)</f>
        <v>0.72099999999999997</v>
      </c>
      <c r="H36" s="19">
        <f>VLOOKUP(E36,WorkingDB[],3,FALSE)</f>
        <v>840</v>
      </c>
      <c r="I36" s="19">
        <f>VLOOKUP(E36,WorkingDB[],4,FALSE)</f>
        <v>1762</v>
      </c>
      <c r="J36" s="5">
        <f>VLOOKUP(E36,WorkingDB[],5,FALSE)</f>
        <v>0</v>
      </c>
      <c r="K36" s="5">
        <f>VLOOKUP(E36,WorkingDB[],6,FALSE)</f>
        <v>0</v>
      </c>
      <c r="L36" s="44">
        <f>VLOOKUP(E36,WorkingDB[],7,FALSE)*F36+VLOOKUP(E36,CostDB[],5,FALSE)</f>
        <v>339.1</v>
      </c>
      <c r="M36" s="16" t="s">
        <v>237</v>
      </c>
      <c r="N36" s="17">
        <f>25/1000</f>
        <v>2.5000000000000001E-2</v>
      </c>
      <c r="O36" s="18">
        <f>VLOOKUP(M36,WorkingDB[],2,FALSE)</f>
        <v>2.8000000000000001E-2</v>
      </c>
      <c r="P36" s="19">
        <f>VLOOKUP(M36,WorkingDB[],3,FALSE)</f>
        <v>1213</v>
      </c>
      <c r="Q36" s="19">
        <f>VLOOKUP(M36,WorkingDB[],4,FALSE)</f>
        <v>35</v>
      </c>
      <c r="R36" s="5">
        <f>VLOOKUP(M36,WorkingDB[],5,FALSE)</f>
        <v>0</v>
      </c>
      <c r="S36" s="5">
        <f>VLOOKUP(M36,WorkingDB[],6,FALSE)</f>
        <v>0</v>
      </c>
      <c r="T36" s="44">
        <f>VLOOKUP(M36,WorkingDB[],7,FALSE)*N36+VLOOKUP(M36,CostDB[],5,FALSE)</f>
        <v>575.65</v>
      </c>
      <c r="U36" s="16" t="s">
        <v>104</v>
      </c>
      <c r="V36" s="17">
        <v>0.2</v>
      </c>
      <c r="W36" s="18">
        <f>VLOOKUP(U36,WorkingDB[],2,FALSE)</f>
        <v>1.411</v>
      </c>
      <c r="X36" s="19">
        <f>VLOOKUP(U36,WorkingDB[],3,FALSE)</f>
        <v>300</v>
      </c>
      <c r="Y36" s="19">
        <f>VLOOKUP(U36,WorkingDB[],4,FALSE)</f>
        <v>2349</v>
      </c>
      <c r="Z36" s="5">
        <f>VLOOKUP(U36,WorkingDB[],5,FALSE)</f>
        <v>0</v>
      </c>
      <c r="AA36" s="5">
        <f>VLOOKUP(U36,WorkingDB[],6,FALSE)</f>
        <v>0</v>
      </c>
      <c r="AB36" s="44">
        <f>VLOOKUP(U36,WorkingDB[],7,FALSE)*V36+VLOOKUP(U36,CostDB[],5,FALSE)</f>
        <v>1617.3200000000002</v>
      </c>
      <c r="AC36" s="16" t="s">
        <v>112</v>
      </c>
      <c r="AD36" s="17">
        <f t="shared" si="30"/>
        <v>1.4999999999999999E-2</v>
      </c>
      <c r="AE36" s="18">
        <f>VLOOKUP(AC36,WorkingDB[],2,FALSE)</f>
        <v>0.72099999999999997</v>
      </c>
      <c r="AF36" s="19">
        <f>VLOOKUP(AC36,WorkingDB[],3,FALSE)</f>
        <v>840</v>
      </c>
      <c r="AG36" s="19">
        <f>VLOOKUP(AC36,WorkingDB[],4,FALSE)</f>
        <v>1762</v>
      </c>
      <c r="AH36" s="5">
        <f>VLOOKUP(AC36,WorkingDB[],5,FALSE)</f>
        <v>0</v>
      </c>
      <c r="AI36" s="5">
        <f>VLOOKUP(AC36,WorkingDB[],6,FALSE)</f>
        <v>0</v>
      </c>
      <c r="AJ36" s="44">
        <f>VLOOKUP(AC36,WorkingDB[],7,FALSE)*AD36+VLOOKUP(AC36,CostDB[],5,FALSE)</f>
        <v>339.1</v>
      </c>
      <c r="AK36" s="16" t="s">
        <v>90</v>
      </c>
      <c r="AL36" s="17">
        <v>0</v>
      </c>
      <c r="AM36" s="18">
        <f>VLOOKUP(AK36,WorkingDB[],2,FALSE)</f>
        <v>0</v>
      </c>
      <c r="AN36" s="19">
        <f>VLOOKUP(AK36,WorkingDB[],3,FALSE)</f>
        <v>0</v>
      </c>
      <c r="AO36" s="19">
        <f>VLOOKUP(AK36,WorkingDB[],4,FALSE)</f>
        <v>0</v>
      </c>
      <c r="AP36" s="5">
        <f>VLOOKUP(AK36,WorkingDB[],5,FALSE)</f>
        <v>0</v>
      </c>
      <c r="AQ36" s="5">
        <f>VLOOKUP(AK36,WorkingDB[],6,FALSE)</f>
        <v>0</v>
      </c>
      <c r="AR36" s="44" t="e">
        <f>VLOOKUP(AK36,WorkingDB[],7,FALSE)*AL36+VLOOKUP(AK36,CostDB[],5,FALSE)</f>
        <v>#N/A</v>
      </c>
      <c r="AS36" s="16" t="s">
        <v>90</v>
      </c>
      <c r="AT36" s="17">
        <v>0</v>
      </c>
      <c r="AU36" s="18">
        <f>VLOOKUP(AS36,WorkingDB[],2,FALSE)</f>
        <v>0</v>
      </c>
      <c r="AV36" s="19">
        <f>VLOOKUP(AS36,WorkingDB[],3,FALSE)</f>
        <v>0</v>
      </c>
      <c r="AW36" s="19">
        <f>VLOOKUP(AS36,WorkingDB[],4,FALSE)</f>
        <v>0</v>
      </c>
      <c r="AX36" s="5">
        <f>VLOOKUP(AS36,WorkingDB[],5,FALSE)</f>
        <v>0</v>
      </c>
      <c r="AY36" s="5">
        <f>VLOOKUP(AS36,WorkingDB[],6,FALSE)</f>
        <v>0</v>
      </c>
      <c r="AZ36" s="44" t="e">
        <f>VLOOKUP(AS36,WorkingDB[],7,FALSE)*AT36+VLOOKUP(AS36,CostDB[],5,FALSE)</f>
        <v>#N/A</v>
      </c>
      <c r="BA36" s="27">
        <v>8.35</v>
      </c>
      <c r="BB36" s="20">
        <f t="shared" si="31"/>
        <v>0.255</v>
      </c>
      <c r="BC36" s="18">
        <f t="shared" si="32"/>
        <v>0.81572052511821158</v>
      </c>
      <c r="BD36" s="18">
        <f t="shared" si="33"/>
        <v>0.20800873390514396</v>
      </c>
      <c r="BE36" s="19">
        <f t="shared" si="34"/>
        <v>523.53499999999997</v>
      </c>
      <c r="BF36" s="19">
        <f t="shared" si="35"/>
        <v>2053.0784313725489</v>
      </c>
      <c r="BG36" s="19">
        <f t="shared" si="36"/>
        <v>186403.77500000002</v>
      </c>
      <c r="BH36" s="19">
        <f t="shared" si="37"/>
        <v>356.04835397824411</v>
      </c>
      <c r="BI36" s="18">
        <f t="shared" si="38"/>
        <v>63.476184299010093</v>
      </c>
      <c r="BJ36" s="22">
        <f t="shared" si="39"/>
        <v>2.8455554156996929E-7</v>
      </c>
      <c r="BK36" s="23">
        <f t="shared" si="40"/>
        <v>1.0243999496518895E-3</v>
      </c>
      <c r="BL36" s="19">
        <f t="shared" si="29"/>
        <v>2871.17</v>
      </c>
      <c r="BM36" s="18"/>
      <c r="BO36" s="5">
        <v>1</v>
      </c>
      <c r="BP36" s="20">
        <f t="shared" si="2"/>
        <v>266.83736059479554</v>
      </c>
      <c r="BR36" s="45">
        <f t="shared" si="3"/>
        <v>22201.200000000001</v>
      </c>
      <c r="BS36" s="45">
        <f t="shared" si="4"/>
        <v>1061.375</v>
      </c>
      <c r="BT36" s="45">
        <f t="shared" si="5"/>
        <v>140940</v>
      </c>
      <c r="BU36" s="45">
        <f t="shared" si="6"/>
        <v>22201.200000000001</v>
      </c>
      <c r="BV36" s="45">
        <f t="shared" si="7"/>
        <v>0</v>
      </c>
      <c r="BW36" s="45">
        <f t="shared" si="8"/>
        <v>0</v>
      </c>
      <c r="BX36" s="46">
        <f t="shared" si="9"/>
        <v>2.0804438280166437E-2</v>
      </c>
      <c r="BY36" s="46">
        <f t="shared" si="10"/>
        <v>0.8928571428571429</v>
      </c>
      <c r="BZ36" s="46">
        <f t="shared" si="11"/>
        <v>0.14174344436569808</v>
      </c>
      <c r="CA36" s="46">
        <f t="shared" si="12"/>
        <v>2.0804438280166437E-2</v>
      </c>
      <c r="CB36" s="46">
        <f t="shared" si="13"/>
        <v>0</v>
      </c>
      <c r="CC36" s="46">
        <f t="shared" si="14"/>
        <v>0</v>
      </c>
      <c r="CD36" s="45">
        <f t="shared" si="15"/>
        <v>46.869479472297535</v>
      </c>
    </row>
    <row r="37" spans="1:82" ht="14.4" x14ac:dyDescent="0.3">
      <c r="A37" s="5" t="s">
        <v>336</v>
      </c>
      <c r="B37" s="5" t="s">
        <v>258</v>
      </c>
      <c r="C37" s="4" t="s">
        <v>10</v>
      </c>
      <c r="D37" s="27">
        <v>33.4</v>
      </c>
      <c r="E37" s="16" t="s">
        <v>112</v>
      </c>
      <c r="F37" s="17">
        <f t="shared" si="28"/>
        <v>1.4999999999999999E-2</v>
      </c>
      <c r="G37" s="18">
        <f>VLOOKUP(E37,WorkingDB[],2,FALSE)</f>
        <v>0.72099999999999997</v>
      </c>
      <c r="H37" s="19">
        <f>VLOOKUP(E37,WorkingDB[],3,FALSE)</f>
        <v>840</v>
      </c>
      <c r="I37" s="19">
        <f>VLOOKUP(E37,WorkingDB[],4,FALSE)</f>
        <v>1762</v>
      </c>
      <c r="J37" s="5">
        <f>VLOOKUP(E37,WorkingDB[],5,FALSE)</f>
        <v>0</v>
      </c>
      <c r="K37" s="5">
        <f>VLOOKUP(E37,WorkingDB[],6,FALSE)</f>
        <v>0</v>
      </c>
      <c r="L37" s="44">
        <f>VLOOKUP(E37,WorkingDB[],7,FALSE)*F37+VLOOKUP(E37,CostDB[],5,FALSE)</f>
        <v>339.1</v>
      </c>
      <c r="M37" s="16" t="s">
        <v>237</v>
      </c>
      <c r="N37" s="17">
        <f>50/1000</f>
        <v>0.05</v>
      </c>
      <c r="O37" s="18">
        <f>VLOOKUP(M37,WorkingDB[],2,FALSE)</f>
        <v>2.8000000000000001E-2</v>
      </c>
      <c r="P37" s="19">
        <f>VLOOKUP(M37,WorkingDB[],3,FALSE)</f>
        <v>1213</v>
      </c>
      <c r="Q37" s="19">
        <f>VLOOKUP(M37,WorkingDB[],4,FALSE)</f>
        <v>35</v>
      </c>
      <c r="R37" s="5">
        <f>VLOOKUP(M37,WorkingDB[],5,FALSE)</f>
        <v>0</v>
      </c>
      <c r="S37" s="5">
        <f>VLOOKUP(M37,WorkingDB[],6,FALSE)</f>
        <v>0</v>
      </c>
      <c r="T37" s="44">
        <f>VLOOKUP(M37,WorkingDB[],7,FALSE)*N37+VLOOKUP(M37,CostDB[],5,FALSE)</f>
        <v>850.65</v>
      </c>
      <c r="U37" s="16" t="s">
        <v>104</v>
      </c>
      <c r="V37" s="17">
        <v>0.2</v>
      </c>
      <c r="W37" s="18">
        <f>VLOOKUP(U37,WorkingDB[],2,FALSE)</f>
        <v>1.411</v>
      </c>
      <c r="X37" s="19">
        <f>VLOOKUP(U37,WorkingDB[],3,FALSE)</f>
        <v>300</v>
      </c>
      <c r="Y37" s="19">
        <f>VLOOKUP(U37,WorkingDB[],4,FALSE)</f>
        <v>2349</v>
      </c>
      <c r="Z37" s="5">
        <f>VLOOKUP(U37,WorkingDB[],5,FALSE)</f>
        <v>0</v>
      </c>
      <c r="AA37" s="5">
        <f>VLOOKUP(U37,WorkingDB[],6,FALSE)</f>
        <v>0</v>
      </c>
      <c r="AB37" s="44">
        <f>VLOOKUP(U37,WorkingDB[],7,FALSE)*V37+VLOOKUP(U37,CostDB[],5,FALSE)</f>
        <v>1617.3200000000002</v>
      </c>
      <c r="AC37" s="16" t="s">
        <v>112</v>
      </c>
      <c r="AD37" s="17">
        <f t="shared" si="30"/>
        <v>1.4999999999999999E-2</v>
      </c>
      <c r="AE37" s="18">
        <f>VLOOKUP(AC37,WorkingDB[],2,FALSE)</f>
        <v>0.72099999999999997</v>
      </c>
      <c r="AF37" s="19">
        <f>VLOOKUP(AC37,WorkingDB[],3,FALSE)</f>
        <v>840</v>
      </c>
      <c r="AG37" s="19">
        <f>VLOOKUP(AC37,WorkingDB[],4,FALSE)</f>
        <v>1762</v>
      </c>
      <c r="AH37" s="5">
        <f>VLOOKUP(AC37,WorkingDB[],5,FALSE)</f>
        <v>0</v>
      </c>
      <c r="AI37" s="5">
        <f>VLOOKUP(AC37,WorkingDB[],6,FALSE)</f>
        <v>0</v>
      </c>
      <c r="AJ37" s="44">
        <f>VLOOKUP(AC37,WorkingDB[],7,FALSE)*AD37+VLOOKUP(AC37,CostDB[],5,FALSE)</f>
        <v>339.1</v>
      </c>
      <c r="AK37" s="16" t="s">
        <v>90</v>
      </c>
      <c r="AL37" s="17">
        <v>0</v>
      </c>
      <c r="AM37" s="18">
        <f>VLOOKUP(AK37,WorkingDB[],2,FALSE)</f>
        <v>0</v>
      </c>
      <c r="AN37" s="19">
        <f>VLOOKUP(AK37,WorkingDB[],3,FALSE)</f>
        <v>0</v>
      </c>
      <c r="AO37" s="19">
        <f>VLOOKUP(AK37,WorkingDB[],4,FALSE)</f>
        <v>0</v>
      </c>
      <c r="AP37" s="5">
        <f>VLOOKUP(AK37,WorkingDB[],5,FALSE)</f>
        <v>0</v>
      </c>
      <c r="AQ37" s="5">
        <f>VLOOKUP(AK37,WorkingDB[],6,FALSE)</f>
        <v>0</v>
      </c>
      <c r="AR37" s="44" t="e">
        <f>VLOOKUP(AK37,WorkingDB[],7,FALSE)*AL37+VLOOKUP(AK37,CostDB[],5,FALSE)</f>
        <v>#N/A</v>
      </c>
      <c r="AS37" s="16" t="s">
        <v>90</v>
      </c>
      <c r="AT37" s="17">
        <v>0</v>
      </c>
      <c r="AU37" s="18">
        <f>VLOOKUP(AS37,WorkingDB[],2,FALSE)</f>
        <v>0</v>
      </c>
      <c r="AV37" s="19">
        <f>VLOOKUP(AS37,WorkingDB[],3,FALSE)</f>
        <v>0</v>
      </c>
      <c r="AW37" s="19">
        <f>VLOOKUP(AS37,WorkingDB[],4,FALSE)</f>
        <v>0</v>
      </c>
      <c r="AX37" s="5">
        <f>VLOOKUP(AS37,WorkingDB[],5,FALSE)</f>
        <v>0</v>
      </c>
      <c r="AY37" s="5">
        <f>VLOOKUP(AS37,WorkingDB[],6,FALSE)</f>
        <v>0</v>
      </c>
      <c r="AZ37" s="44" t="e">
        <f>VLOOKUP(AS37,WorkingDB[],7,FALSE)*AT37+VLOOKUP(AS37,CostDB[],5,FALSE)</f>
        <v>#N/A</v>
      </c>
      <c r="BA37" s="27">
        <v>8.35</v>
      </c>
      <c r="BB37" s="20">
        <f t="shared" si="31"/>
        <v>0.28000000000000003</v>
      </c>
      <c r="BC37" s="18">
        <f t="shared" si="32"/>
        <v>0.47197256849699643</v>
      </c>
      <c r="BD37" s="18">
        <f t="shared" si="33"/>
        <v>0.13215231917915901</v>
      </c>
      <c r="BE37" s="19">
        <f t="shared" si="34"/>
        <v>524.41</v>
      </c>
      <c r="BF37" s="19">
        <f t="shared" si="35"/>
        <v>1872.8928571428569</v>
      </c>
      <c r="BG37" s="19">
        <f t="shared" si="36"/>
        <v>187465.15000000002</v>
      </c>
      <c r="BH37" s="19">
        <f t="shared" si="37"/>
        <v>357.47821361148726</v>
      </c>
      <c r="BI37" s="18">
        <f t="shared" si="38"/>
        <v>110.33194777316633</v>
      </c>
      <c r="BJ37" s="22">
        <f t="shared" si="39"/>
        <v>1.9738415044163954E-7</v>
      </c>
      <c r="BK37" s="23">
        <f t="shared" si="40"/>
        <v>7.1058294158990237E-4</v>
      </c>
      <c r="BL37" s="19">
        <f t="shared" si="29"/>
        <v>3146.17</v>
      </c>
      <c r="BM37" s="18"/>
      <c r="BP37" s="20">
        <f t="shared" si="2"/>
        <v>292.39498141263942</v>
      </c>
      <c r="BR37" s="45">
        <f t="shared" si="3"/>
        <v>22201.200000000001</v>
      </c>
      <c r="BS37" s="45">
        <f t="shared" si="4"/>
        <v>2122.75</v>
      </c>
      <c r="BT37" s="45">
        <f t="shared" si="5"/>
        <v>140940</v>
      </c>
      <c r="BU37" s="45">
        <f t="shared" si="6"/>
        <v>22201.200000000001</v>
      </c>
      <c r="BV37" s="45">
        <f t="shared" si="7"/>
        <v>0</v>
      </c>
      <c r="BW37" s="45">
        <f t="shared" si="8"/>
        <v>0</v>
      </c>
      <c r="BX37" s="46">
        <f t="shared" si="9"/>
        <v>2.0804438280166437E-2</v>
      </c>
      <c r="BY37" s="46">
        <f t="shared" si="10"/>
        <v>1.7857142857142858</v>
      </c>
      <c r="BZ37" s="46">
        <f t="shared" si="11"/>
        <v>0.14174344436569808</v>
      </c>
      <c r="CA37" s="46">
        <f t="shared" si="12"/>
        <v>2.0804438280166437E-2</v>
      </c>
      <c r="CB37" s="46">
        <f t="shared" si="13"/>
        <v>0</v>
      </c>
      <c r="CC37" s="46">
        <f t="shared" si="14"/>
        <v>0</v>
      </c>
      <c r="CD37" s="45">
        <f t="shared" si="15"/>
        <v>87.740904220790895</v>
      </c>
    </row>
    <row r="38" spans="1:82" ht="14.4" x14ac:dyDescent="0.3">
      <c r="A38" s="5" t="s">
        <v>337</v>
      </c>
      <c r="B38" s="5" t="s">
        <v>259</v>
      </c>
      <c r="C38" s="4" t="s">
        <v>10</v>
      </c>
      <c r="D38" s="27">
        <v>33.4</v>
      </c>
      <c r="E38" s="16" t="s">
        <v>112</v>
      </c>
      <c r="F38" s="17">
        <f t="shared" si="28"/>
        <v>1.4999999999999999E-2</v>
      </c>
      <c r="G38" s="18">
        <f>VLOOKUP(E38,WorkingDB[],2,FALSE)</f>
        <v>0.72099999999999997</v>
      </c>
      <c r="H38" s="19">
        <f>VLOOKUP(E38,WorkingDB[],3,FALSE)</f>
        <v>840</v>
      </c>
      <c r="I38" s="19">
        <f>VLOOKUP(E38,WorkingDB[],4,FALSE)</f>
        <v>1762</v>
      </c>
      <c r="J38" s="5">
        <f>VLOOKUP(E38,WorkingDB[],5,FALSE)</f>
        <v>0</v>
      </c>
      <c r="K38" s="5">
        <f>VLOOKUP(E38,WorkingDB[],6,FALSE)</f>
        <v>0</v>
      </c>
      <c r="L38" s="44">
        <f>VLOOKUP(E38,WorkingDB[],7,FALSE)*F38+VLOOKUP(E38,CostDB[],5,FALSE)</f>
        <v>339.1</v>
      </c>
      <c r="M38" s="16" t="s">
        <v>238</v>
      </c>
      <c r="N38" s="17">
        <f>25/1000</f>
        <v>2.5000000000000001E-2</v>
      </c>
      <c r="O38" s="18">
        <f>VLOOKUP(M38,WorkingDB[],2,FALSE)</f>
        <v>3.7999999999999999E-2</v>
      </c>
      <c r="P38" s="19">
        <f>VLOOKUP(M38,WorkingDB[],3,FALSE)</f>
        <v>1213</v>
      </c>
      <c r="Q38" s="19">
        <f>VLOOKUP(M38,WorkingDB[],4,FALSE)</f>
        <v>28</v>
      </c>
      <c r="R38" s="5">
        <f>VLOOKUP(M38,WorkingDB[],5,FALSE)</f>
        <v>0</v>
      </c>
      <c r="S38" s="5">
        <f>VLOOKUP(M38,WorkingDB[],6,FALSE)</f>
        <v>0</v>
      </c>
      <c r="T38" s="44">
        <f>VLOOKUP(M38,WorkingDB[],7,FALSE)*N38+VLOOKUP(M38,CostDB[],5,FALSE)</f>
        <v>2839.9250000000002</v>
      </c>
      <c r="U38" s="16" t="s">
        <v>104</v>
      </c>
      <c r="V38" s="17">
        <v>0.2</v>
      </c>
      <c r="W38" s="18">
        <f>VLOOKUP(U38,WorkingDB[],2,FALSE)</f>
        <v>1.411</v>
      </c>
      <c r="X38" s="19">
        <f>VLOOKUP(U38,WorkingDB[],3,FALSE)</f>
        <v>300</v>
      </c>
      <c r="Y38" s="19">
        <f>VLOOKUP(U38,WorkingDB[],4,FALSE)</f>
        <v>2349</v>
      </c>
      <c r="Z38" s="5">
        <f>VLOOKUP(U38,WorkingDB[],5,FALSE)</f>
        <v>0</v>
      </c>
      <c r="AA38" s="5">
        <f>VLOOKUP(U38,WorkingDB[],6,FALSE)</f>
        <v>0</v>
      </c>
      <c r="AB38" s="44">
        <f>VLOOKUP(U38,WorkingDB[],7,FALSE)*V38+VLOOKUP(U38,CostDB[],5,FALSE)</f>
        <v>1617.3200000000002</v>
      </c>
      <c r="AC38" s="16" t="s">
        <v>112</v>
      </c>
      <c r="AD38" s="17">
        <f t="shared" si="30"/>
        <v>1.4999999999999999E-2</v>
      </c>
      <c r="AE38" s="18">
        <f>VLOOKUP(AC38,WorkingDB[],2,FALSE)</f>
        <v>0.72099999999999997</v>
      </c>
      <c r="AF38" s="19">
        <f>VLOOKUP(AC38,WorkingDB[],3,FALSE)</f>
        <v>840</v>
      </c>
      <c r="AG38" s="19">
        <f>VLOOKUP(AC38,WorkingDB[],4,FALSE)</f>
        <v>1762</v>
      </c>
      <c r="AH38" s="5">
        <f>VLOOKUP(AC38,WorkingDB[],5,FALSE)</f>
        <v>0</v>
      </c>
      <c r="AI38" s="5">
        <f>VLOOKUP(AC38,WorkingDB[],6,FALSE)</f>
        <v>0</v>
      </c>
      <c r="AJ38" s="44">
        <f>VLOOKUP(AC38,WorkingDB[],7,FALSE)*AD38+VLOOKUP(AC38,CostDB[],5,FALSE)</f>
        <v>339.1</v>
      </c>
      <c r="AK38" s="16" t="s">
        <v>90</v>
      </c>
      <c r="AL38" s="17">
        <v>0</v>
      </c>
      <c r="AM38" s="18">
        <f>VLOOKUP(AK38,WorkingDB[],2,FALSE)</f>
        <v>0</v>
      </c>
      <c r="AN38" s="19">
        <f>VLOOKUP(AK38,WorkingDB[],3,FALSE)</f>
        <v>0</v>
      </c>
      <c r="AO38" s="19">
        <f>VLOOKUP(AK38,WorkingDB[],4,FALSE)</f>
        <v>0</v>
      </c>
      <c r="AP38" s="5">
        <f>VLOOKUP(AK38,WorkingDB[],5,FALSE)</f>
        <v>0</v>
      </c>
      <c r="AQ38" s="5">
        <f>VLOOKUP(AK38,WorkingDB[],6,FALSE)</f>
        <v>0</v>
      </c>
      <c r="AR38" s="44" t="e">
        <f>VLOOKUP(AK38,WorkingDB[],7,FALSE)*AL38+VLOOKUP(AK38,CostDB[],5,FALSE)</f>
        <v>#N/A</v>
      </c>
      <c r="AS38" s="16" t="s">
        <v>90</v>
      </c>
      <c r="AT38" s="17">
        <v>0</v>
      </c>
      <c r="AU38" s="18">
        <f>VLOOKUP(AS38,WorkingDB[],2,FALSE)</f>
        <v>0</v>
      </c>
      <c r="AV38" s="19">
        <f>VLOOKUP(AS38,WorkingDB[],3,FALSE)</f>
        <v>0</v>
      </c>
      <c r="AW38" s="19">
        <f>VLOOKUP(AS38,WorkingDB[],4,FALSE)</f>
        <v>0</v>
      </c>
      <c r="AX38" s="5">
        <f>VLOOKUP(AS38,WorkingDB[],5,FALSE)</f>
        <v>0</v>
      </c>
      <c r="AY38" s="5">
        <f>VLOOKUP(AS38,WorkingDB[],6,FALSE)</f>
        <v>0</v>
      </c>
      <c r="AZ38" s="44" t="e">
        <f>VLOOKUP(AS38,WorkingDB[],7,FALSE)*AT38+VLOOKUP(AS38,CostDB[],5,FALSE)</f>
        <v>#N/A</v>
      </c>
      <c r="BA38" s="27">
        <v>8.35</v>
      </c>
      <c r="BB38" s="20">
        <f t="shared" si="31"/>
        <v>0.255</v>
      </c>
      <c r="BC38" s="18">
        <f t="shared" si="32"/>
        <v>1.0091350369209175</v>
      </c>
      <c r="BD38" s="18">
        <f t="shared" si="33"/>
        <v>0.25732943441483397</v>
      </c>
      <c r="BE38" s="19">
        <f t="shared" si="34"/>
        <v>523.36</v>
      </c>
      <c r="BF38" s="19">
        <f t="shared" si="35"/>
        <v>2052.3921568627452</v>
      </c>
      <c r="BG38" s="19">
        <f t="shared" si="36"/>
        <v>186191.5</v>
      </c>
      <c r="BH38" s="19">
        <f t="shared" si="37"/>
        <v>355.76180831549982</v>
      </c>
      <c r="BI38" s="18">
        <f t="shared" si="38"/>
        <v>51.251675166208919</v>
      </c>
      <c r="BJ38" s="22">
        <f t="shared" si="39"/>
        <v>3.524275048849312E-7</v>
      </c>
      <c r="BK38" s="23">
        <f t="shared" si="40"/>
        <v>1.2687390175857524E-3</v>
      </c>
      <c r="BL38" s="19">
        <f t="shared" si="29"/>
        <v>5135.4450000000006</v>
      </c>
      <c r="BM38" s="18"/>
      <c r="BP38" s="20">
        <f t="shared" si="2"/>
        <v>477.27184014869897</v>
      </c>
      <c r="BR38" s="45">
        <f t="shared" si="3"/>
        <v>22201.200000000001</v>
      </c>
      <c r="BS38" s="45">
        <f t="shared" si="4"/>
        <v>849.10000000000014</v>
      </c>
      <c r="BT38" s="45">
        <f t="shared" si="5"/>
        <v>140940</v>
      </c>
      <c r="BU38" s="45">
        <f t="shared" si="6"/>
        <v>22201.200000000001</v>
      </c>
      <c r="BV38" s="45">
        <f t="shared" si="7"/>
        <v>0</v>
      </c>
      <c r="BW38" s="45">
        <f t="shared" si="8"/>
        <v>0</v>
      </c>
      <c r="BX38" s="46">
        <f t="shared" si="9"/>
        <v>2.0804438280166437E-2</v>
      </c>
      <c r="BY38" s="46">
        <f t="shared" si="10"/>
        <v>0.65789473684210531</v>
      </c>
      <c r="BZ38" s="46">
        <f t="shared" si="11"/>
        <v>0.14174344436569808</v>
      </c>
      <c r="CA38" s="46">
        <f t="shared" si="12"/>
        <v>2.0804438280166437E-2</v>
      </c>
      <c r="CB38" s="46">
        <f t="shared" si="13"/>
        <v>0</v>
      </c>
      <c r="CC38" s="46">
        <f t="shared" si="14"/>
        <v>0</v>
      </c>
      <c r="CD38" s="45">
        <f t="shared" si="15"/>
        <v>36.164662920155251</v>
      </c>
    </row>
    <row r="39" spans="1:82" ht="14.4" x14ac:dyDescent="0.3">
      <c r="A39" s="5" t="s">
        <v>338</v>
      </c>
      <c r="B39" s="5" t="s">
        <v>260</v>
      </c>
      <c r="C39" s="4" t="s">
        <v>10</v>
      </c>
      <c r="D39" s="27">
        <v>33.4</v>
      </c>
      <c r="E39" s="16" t="s">
        <v>112</v>
      </c>
      <c r="F39" s="17">
        <f t="shared" si="28"/>
        <v>1.4999999999999999E-2</v>
      </c>
      <c r="G39" s="18">
        <f>VLOOKUP(E39,WorkingDB[],2,FALSE)</f>
        <v>0.72099999999999997</v>
      </c>
      <c r="H39" s="19">
        <f>VLOOKUP(E39,WorkingDB[],3,FALSE)</f>
        <v>840</v>
      </c>
      <c r="I39" s="19">
        <f>VLOOKUP(E39,WorkingDB[],4,FALSE)</f>
        <v>1762</v>
      </c>
      <c r="J39" s="5">
        <f>VLOOKUP(E39,WorkingDB[],5,FALSE)</f>
        <v>0</v>
      </c>
      <c r="K39" s="5">
        <f>VLOOKUP(E39,WorkingDB[],6,FALSE)</f>
        <v>0</v>
      </c>
      <c r="L39" s="44">
        <f>VLOOKUP(E39,WorkingDB[],7,FALSE)*F39+VLOOKUP(E39,CostDB[],5,FALSE)</f>
        <v>339.1</v>
      </c>
      <c r="M39" s="16" t="s">
        <v>238</v>
      </c>
      <c r="N39" s="17">
        <f>50/1000</f>
        <v>0.05</v>
      </c>
      <c r="O39" s="18">
        <f>VLOOKUP(M39,WorkingDB[],2,FALSE)</f>
        <v>3.7999999999999999E-2</v>
      </c>
      <c r="P39" s="19">
        <f>VLOOKUP(M39,WorkingDB[],3,FALSE)</f>
        <v>1213</v>
      </c>
      <c r="Q39" s="19">
        <f>VLOOKUP(M39,WorkingDB[],4,FALSE)</f>
        <v>28</v>
      </c>
      <c r="R39" s="5">
        <f>VLOOKUP(M39,WorkingDB[],5,FALSE)</f>
        <v>0</v>
      </c>
      <c r="S39" s="5">
        <f>VLOOKUP(M39,WorkingDB[],6,FALSE)</f>
        <v>0</v>
      </c>
      <c r="T39" s="44">
        <f>VLOOKUP(M39,WorkingDB[],7,FALSE)*N39+VLOOKUP(M39,CostDB[],5,FALSE)</f>
        <v>3011.8</v>
      </c>
      <c r="U39" s="16" t="s">
        <v>104</v>
      </c>
      <c r="V39" s="17">
        <v>0.2</v>
      </c>
      <c r="W39" s="18">
        <f>VLOOKUP(U39,WorkingDB[],2,FALSE)</f>
        <v>1.411</v>
      </c>
      <c r="X39" s="19">
        <f>VLOOKUP(U39,WorkingDB[],3,FALSE)</f>
        <v>300</v>
      </c>
      <c r="Y39" s="19">
        <f>VLOOKUP(U39,WorkingDB[],4,FALSE)</f>
        <v>2349</v>
      </c>
      <c r="Z39" s="5">
        <f>VLOOKUP(U39,WorkingDB[],5,FALSE)</f>
        <v>0</v>
      </c>
      <c r="AA39" s="5">
        <f>VLOOKUP(U39,WorkingDB[],6,FALSE)</f>
        <v>0</v>
      </c>
      <c r="AB39" s="44">
        <f>VLOOKUP(U39,WorkingDB[],7,FALSE)*V39+VLOOKUP(U39,CostDB[],5,FALSE)</f>
        <v>1617.3200000000002</v>
      </c>
      <c r="AC39" s="16" t="s">
        <v>112</v>
      </c>
      <c r="AD39" s="17">
        <f t="shared" si="30"/>
        <v>1.4999999999999999E-2</v>
      </c>
      <c r="AE39" s="18">
        <f>VLOOKUP(AC39,WorkingDB[],2,FALSE)</f>
        <v>0.72099999999999997</v>
      </c>
      <c r="AF39" s="19">
        <f>VLOOKUP(AC39,WorkingDB[],3,FALSE)</f>
        <v>840</v>
      </c>
      <c r="AG39" s="19">
        <f>VLOOKUP(AC39,WorkingDB[],4,FALSE)</f>
        <v>1762</v>
      </c>
      <c r="AH39" s="5">
        <f>VLOOKUP(AC39,WorkingDB[],5,FALSE)</f>
        <v>0</v>
      </c>
      <c r="AI39" s="5">
        <f>VLOOKUP(AC39,WorkingDB[],6,FALSE)</f>
        <v>0</v>
      </c>
      <c r="AJ39" s="44">
        <f>VLOOKUP(AC39,WorkingDB[],7,FALSE)*AD39+VLOOKUP(AC39,CostDB[],5,FALSE)</f>
        <v>339.1</v>
      </c>
      <c r="AK39" s="16" t="s">
        <v>90</v>
      </c>
      <c r="AL39" s="17">
        <v>0</v>
      </c>
      <c r="AM39" s="18">
        <f>VLOOKUP(AK39,WorkingDB[],2,FALSE)</f>
        <v>0</v>
      </c>
      <c r="AN39" s="19">
        <f>VLOOKUP(AK39,WorkingDB[],3,FALSE)</f>
        <v>0</v>
      </c>
      <c r="AO39" s="19">
        <f>VLOOKUP(AK39,WorkingDB[],4,FALSE)</f>
        <v>0</v>
      </c>
      <c r="AP39" s="5">
        <f>VLOOKUP(AK39,WorkingDB[],5,FALSE)</f>
        <v>0</v>
      </c>
      <c r="AQ39" s="5">
        <f>VLOOKUP(AK39,WorkingDB[],6,FALSE)</f>
        <v>0</v>
      </c>
      <c r="AR39" s="44" t="e">
        <f>VLOOKUP(AK39,WorkingDB[],7,FALSE)*AL39+VLOOKUP(AK39,CostDB[],5,FALSE)</f>
        <v>#N/A</v>
      </c>
      <c r="AS39" s="16" t="s">
        <v>90</v>
      </c>
      <c r="AT39" s="17">
        <v>0</v>
      </c>
      <c r="AU39" s="18">
        <f>VLOOKUP(AS39,WorkingDB[],2,FALSE)</f>
        <v>0</v>
      </c>
      <c r="AV39" s="19">
        <f>VLOOKUP(AS39,WorkingDB[],3,FALSE)</f>
        <v>0</v>
      </c>
      <c r="AW39" s="19">
        <f>VLOOKUP(AS39,WorkingDB[],4,FALSE)</f>
        <v>0</v>
      </c>
      <c r="AX39" s="5">
        <f>VLOOKUP(AS39,WorkingDB[],5,FALSE)</f>
        <v>0</v>
      </c>
      <c r="AY39" s="5">
        <f>VLOOKUP(AS39,WorkingDB[],6,FALSE)</f>
        <v>0</v>
      </c>
      <c r="AZ39" s="44" t="e">
        <f>VLOOKUP(AS39,WorkingDB[],7,FALSE)*AT39+VLOOKUP(AS39,CostDB[],5,FALSE)</f>
        <v>#N/A</v>
      </c>
      <c r="BA39" s="27">
        <v>8.35</v>
      </c>
      <c r="BB39" s="20">
        <f t="shared" si="31"/>
        <v>0.28000000000000003</v>
      </c>
      <c r="BC39" s="18">
        <f t="shared" si="32"/>
        <v>0.60648610443008033</v>
      </c>
      <c r="BD39" s="18">
        <f t="shared" si="33"/>
        <v>0.16981610924042251</v>
      </c>
      <c r="BE39" s="19">
        <f t="shared" si="34"/>
        <v>524.05999999999995</v>
      </c>
      <c r="BF39" s="19">
        <f t="shared" si="35"/>
        <v>1871.6428571428569</v>
      </c>
      <c r="BG39" s="19">
        <f t="shared" si="36"/>
        <v>187040.6</v>
      </c>
      <c r="BH39" s="19">
        <f t="shared" si="37"/>
        <v>356.90684272793197</v>
      </c>
      <c r="BI39" s="18">
        <f t="shared" si="38"/>
        <v>85.666797380371008</v>
      </c>
      <c r="BJ39" s="22">
        <f t="shared" si="39"/>
        <v>2.5421491690744312E-7</v>
      </c>
      <c r="BK39" s="23">
        <f t="shared" si="40"/>
        <v>9.1517370086679518E-4</v>
      </c>
      <c r="BL39" s="19">
        <f t="shared" si="29"/>
        <v>5307.3200000000006</v>
      </c>
      <c r="BM39" s="18"/>
      <c r="BP39" s="20">
        <f t="shared" si="2"/>
        <v>493.24535315985139</v>
      </c>
      <c r="BR39" s="45">
        <f t="shared" si="3"/>
        <v>22201.200000000001</v>
      </c>
      <c r="BS39" s="45">
        <f t="shared" si="4"/>
        <v>1698.2000000000003</v>
      </c>
      <c r="BT39" s="45">
        <f t="shared" si="5"/>
        <v>140940</v>
      </c>
      <c r="BU39" s="45">
        <f t="shared" si="6"/>
        <v>22201.200000000001</v>
      </c>
      <c r="BV39" s="45">
        <f t="shared" si="7"/>
        <v>0</v>
      </c>
      <c r="BW39" s="45">
        <f t="shared" si="8"/>
        <v>0</v>
      </c>
      <c r="BX39" s="46">
        <f t="shared" si="9"/>
        <v>2.0804438280166437E-2</v>
      </c>
      <c r="BY39" s="46">
        <f t="shared" si="10"/>
        <v>1.3157894736842106</v>
      </c>
      <c r="BZ39" s="46">
        <f t="shared" si="11"/>
        <v>0.14174344436569808</v>
      </c>
      <c r="CA39" s="46">
        <f t="shared" si="12"/>
        <v>2.0804438280166437E-2</v>
      </c>
      <c r="CB39" s="46">
        <f t="shared" si="13"/>
        <v>0</v>
      </c>
      <c r="CC39" s="46">
        <f t="shared" si="14"/>
        <v>0</v>
      </c>
      <c r="CD39" s="45">
        <f t="shared" si="15"/>
        <v>66.223205052909847</v>
      </c>
    </row>
    <row r="40" spans="1:82" ht="14.4" x14ac:dyDescent="0.3">
      <c r="A40" s="5" t="s">
        <v>339</v>
      </c>
      <c r="B40" s="5" t="s">
        <v>261</v>
      </c>
      <c r="C40" s="4" t="s">
        <v>10</v>
      </c>
      <c r="D40" s="27">
        <v>33.4</v>
      </c>
      <c r="E40" s="16" t="s">
        <v>112</v>
      </c>
      <c r="F40" s="17">
        <f t="shared" si="28"/>
        <v>1.4999999999999999E-2</v>
      </c>
      <c r="G40" s="18">
        <f>VLOOKUP(E40,WorkingDB[],2,FALSE)</f>
        <v>0.72099999999999997</v>
      </c>
      <c r="H40" s="19">
        <f>VLOOKUP(E40,WorkingDB[],3,FALSE)</f>
        <v>840</v>
      </c>
      <c r="I40" s="19">
        <f>VLOOKUP(E40,WorkingDB[],4,FALSE)</f>
        <v>1762</v>
      </c>
      <c r="J40" s="5">
        <f>VLOOKUP(E40,WorkingDB[],5,FALSE)</f>
        <v>0</v>
      </c>
      <c r="K40" s="5">
        <f>VLOOKUP(E40,WorkingDB[],6,FALSE)</f>
        <v>0</v>
      </c>
      <c r="L40" s="44">
        <f>VLOOKUP(E40,WorkingDB[],7,FALSE)*F40+VLOOKUP(E40,CostDB[],5,FALSE)</f>
        <v>339.1</v>
      </c>
      <c r="M40" s="16" t="s">
        <v>239</v>
      </c>
      <c r="N40" s="17">
        <f>25/1000</f>
        <v>2.5000000000000001E-2</v>
      </c>
      <c r="O40" s="18">
        <f>VLOOKUP(M40,WorkingDB[],2,FALSE)</f>
        <v>2.5999999999999999E-2</v>
      </c>
      <c r="P40" s="19">
        <f>VLOOKUP(M40,WorkingDB[],3,FALSE)</f>
        <v>1590</v>
      </c>
      <c r="Q40" s="19">
        <f>VLOOKUP(M40,WorkingDB[],4,FALSE)</f>
        <v>40</v>
      </c>
      <c r="R40" s="5">
        <f>VLOOKUP(M40,WorkingDB[],5,FALSE)</f>
        <v>0</v>
      </c>
      <c r="S40" s="5">
        <f>VLOOKUP(M40,WorkingDB[],6,FALSE)</f>
        <v>0</v>
      </c>
      <c r="T40" s="44">
        <f>VLOOKUP(M40,WorkingDB[],7,FALSE)*N40+VLOOKUP(M40,CostDB[],5,FALSE)</f>
        <v>240.625</v>
      </c>
      <c r="U40" s="16" t="s">
        <v>104</v>
      </c>
      <c r="V40" s="17">
        <v>0.2</v>
      </c>
      <c r="W40" s="18">
        <f>VLOOKUP(U40,WorkingDB[],2,FALSE)</f>
        <v>1.411</v>
      </c>
      <c r="X40" s="19">
        <f>VLOOKUP(U40,WorkingDB[],3,FALSE)</f>
        <v>300</v>
      </c>
      <c r="Y40" s="19">
        <f>VLOOKUP(U40,WorkingDB[],4,FALSE)</f>
        <v>2349</v>
      </c>
      <c r="Z40" s="5">
        <f>VLOOKUP(U40,WorkingDB[],5,FALSE)</f>
        <v>0</v>
      </c>
      <c r="AA40" s="5">
        <f>VLOOKUP(U40,WorkingDB[],6,FALSE)</f>
        <v>0</v>
      </c>
      <c r="AB40" s="44">
        <f>VLOOKUP(U40,WorkingDB[],7,FALSE)*V40+VLOOKUP(U40,CostDB[],5,FALSE)</f>
        <v>1617.3200000000002</v>
      </c>
      <c r="AC40" s="16" t="s">
        <v>112</v>
      </c>
      <c r="AD40" s="17">
        <f t="shared" si="30"/>
        <v>1.4999999999999999E-2</v>
      </c>
      <c r="AE40" s="18">
        <f>VLOOKUP(AC40,WorkingDB[],2,FALSE)</f>
        <v>0.72099999999999997</v>
      </c>
      <c r="AF40" s="19">
        <f>VLOOKUP(AC40,WorkingDB[],3,FALSE)</f>
        <v>840</v>
      </c>
      <c r="AG40" s="19">
        <f>VLOOKUP(AC40,WorkingDB[],4,FALSE)</f>
        <v>1762</v>
      </c>
      <c r="AH40" s="5">
        <f>VLOOKUP(AC40,WorkingDB[],5,FALSE)</f>
        <v>0</v>
      </c>
      <c r="AI40" s="5">
        <f>VLOOKUP(AC40,WorkingDB[],6,FALSE)</f>
        <v>0</v>
      </c>
      <c r="AJ40" s="44">
        <f>VLOOKUP(AC40,WorkingDB[],7,FALSE)*AD40+VLOOKUP(AC40,CostDB[],5,FALSE)</f>
        <v>339.1</v>
      </c>
      <c r="AK40" s="16" t="s">
        <v>90</v>
      </c>
      <c r="AL40" s="17">
        <v>0</v>
      </c>
      <c r="AM40" s="18">
        <f>VLOOKUP(AK40,WorkingDB[],2,FALSE)</f>
        <v>0</v>
      </c>
      <c r="AN40" s="19">
        <f>VLOOKUP(AK40,WorkingDB[],3,FALSE)</f>
        <v>0</v>
      </c>
      <c r="AO40" s="19">
        <f>VLOOKUP(AK40,WorkingDB[],4,FALSE)</f>
        <v>0</v>
      </c>
      <c r="AP40" s="5">
        <f>VLOOKUP(AK40,WorkingDB[],5,FALSE)</f>
        <v>0</v>
      </c>
      <c r="AQ40" s="5">
        <f>VLOOKUP(AK40,WorkingDB[],6,FALSE)</f>
        <v>0</v>
      </c>
      <c r="AR40" s="44" t="e">
        <f>VLOOKUP(AK40,WorkingDB[],7,FALSE)*AL40+VLOOKUP(AK40,CostDB[],5,FALSE)</f>
        <v>#N/A</v>
      </c>
      <c r="AS40" s="16" t="s">
        <v>90</v>
      </c>
      <c r="AT40" s="17">
        <v>0</v>
      </c>
      <c r="AU40" s="18">
        <f>VLOOKUP(AS40,WorkingDB[],2,FALSE)</f>
        <v>0</v>
      </c>
      <c r="AV40" s="19">
        <f>VLOOKUP(AS40,WorkingDB[],3,FALSE)</f>
        <v>0</v>
      </c>
      <c r="AW40" s="19">
        <f>VLOOKUP(AS40,WorkingDB[],4,FALSE)</f>
        <v>0</v>
      </c>
      <c r="AX40" s="5">
        <f>VLOOKUP(AS40,WorkingDB[],5,FALSE)</f>
        <v>0</v>
      </c>
      <c r="AY40" s="5">
        <f>VLOOKUP(AS40,WorkingDB[],6,FALSE)</f>
        <v>0</v>
      </c>
      <c r="AZ40" s="44" t="e">
        <f>VLOOKUP(AS40,WorkingDB[],7,FALSE)*AT40+VLOOKUP(AS40,CostDB[],5,FALSE)</f>
        <v>#N/A</v>
      </c>
      <c r="BA40" s="27">
        <v>8.35</v>
      </c>
      <c r="BB40" s="20">
        <f t="shared" si="31"/>
        <v>0.255</v>
      </c>
      <c r="BC40" s="18">
        <f t="shared" si="32"/>
        <v>0.77244450601965187</v>
      </c>
      <c r="BD40" s="18">
        <f t="shared" si="33"/>
        <v>0.19697334903501124</v>
      </c>
      <c r="BE40" s="19">
        <f t="shared" si="34"/>
        <v>523.66</v>
      </c>
      <c r="BF40" s="19">
        <f t="shared" si="35"/>
        <v>2053.5686274509803</v>
      </c>
      <c r="BG40" s="19">
        <f t="shared" si="36"/>
        <v>186932.40000000002</v>
      </c>
      <c r="BH40" s="19">
        <f t="shared" si="37"/>
        <v>356.97284497574771</v>
      </c>
      <c r="BI40" s="18">
        <f t="shared" si="38"/>
        <v>67.222520533204019</v>
      </c>
      <c r="BJ40" s="22">
        <f t="shared" si="39"/>
        <v>2.6869715471436653E-7</v>
      </c>
      <c r="BK40" s="23">
        <f t="shared" si="40"/>
        <v>9.6730975697171954E-4</v>
      </c>
      <c r="BL40" s="19">
        <f t="shared" si="29"/>
        <v>2536.145</v>
      </c>
      <c r="BM40" s="18"/>
      <c r="BP40" s="20">
        <f t="shared" si="2"/>
        <v>235.70120817843866</v>
      </c>
      <c r="BR40" s="45">
        <f t="shared" si="3"/>
        <v>22201.200000000001</v>
      </c>
      <c r="BS40" s="45">
        <f t="shared" si="4"/>
        <v>1590</v>
      </c>
      <c r="BT40" s="45">
        <f t="shared" si="5"/>
        <v>140940</v>
      </c>
      <c r="BU40" s="45">
        <f t="shared" si="6"/>
        <v>22201.200000000001</v>
      </c>
      <c r="BV40" s="45">
        <f t="shared" si="7"/>
        <v>0</v>
      </c>
      <c r="BW40" s="45">
        <f t="shared" si="8"/>
        <v>0</v>
      </c>
      <c r="BX40" s="46">
        <f t="shared" si="9"/>
        <v>2.0804438280166437E-2</v>
      </c>
      <c r="BY40" s="46">
        <f t="shared" si="10"/>
        <v>0.96153846153846168</v>
      </c>
      <c r="BZ40" s="46">
        <f t="shared" si="11"/>
        <v>0.14174344436569808</v>
      </c>
      <c r="CA40" s="46">
        <f t="shared" si="12"/>
        <v>2.0804438280166437E-2</v>
      </c>
      <c r="CB40" s="46">
        <f t="shared" si="13"/>
        <v>0</v>
      </c>
      <c r="CC40" s="46">
        <f t="shared" si="14"/>
        <v>0</v>
      </c>
      <c r="CD40" s="45">
        <f t="shared" si="15"/>
        <v>50.070082955955883</v>
      </c>
    </row>
    <row r="41" spans="1:82" ht="14.4" x14ac:dyDescent="0.3">
      <c r="A41" s="5" t="s">
        <v>340</v>
      </c>
      <c r="B41" s="5" t="s">
        <v>262</v>
      </c>
      <c r="C41" s="4" t="s">
        <v>10</v>
      </c>
      <c r="D41" s="27">
        <v>33.4</v>
      </c>
      <c r="E41" s="16" t="s">
        <v>112</v>
      </c>
      <c r="F41" s="17">
        <f t="shared" si="28"/>
        <v>1.4999999999999999E-2</v>
      </c>
      <c r="G41" s="18">
        <f>VLOOKUP(E41,WorkingDB[],2,FALSE)</f>
        <v>0.72099999999999997</v>
      </c>
      <c r="H41" s="19">
        <f>VLOOKUP(E41,WorkingDB[],3,FALSE)</f>
        <v>840</v>
      </c>
      <c r="I41" s="19">
        <f>VLOOKUP(E41,WorkingDB[],4,FALSE)</f>
        <v>1762</v>
      </c>
      <c r="J41" s="5">
        <f>VLOOKUP(E41,WorkingDB[],5,FALSE)</f>
        <v>0</v>
      </c>
      <c r="K41" s="5">
        <f>VLOOKUP(E41,WorkingDB[],6,FALSE)</f>
        <v>0</v>
      </c>
      <c r="L41" s="44">
        <f>VLOOKUP(E41,WorkingDB[],7,FALSE)*F41+VLOOKUP(E41,CostDB[],5,FALSE)</f>
        <v>339.1</v>
      </c>
      <c r="M41" s="16" t="s">
        <v>239</v>
      </c>
      <c r="N41" s="17">
        <f>50/1000</f>
        <v>0.05</v>
      </c>
      <c r="O41" s="18">
        <f>VLOOKUP(M41,WorkingDB[],2,FALSE)</f>
        <v>2.5999999999999999E-2</v>
      </c>
      <c r="P41" s="19">
        <f>VLOOKUP(M41,WorkingDB[],3,FALSE)</f>
        <v>1590</v>
      </c>
      <c r="Q41" s="19">
        <f>VLOOKUP(M41,WorkingDB[],4,FALSE)</f>
        <v>40</v>
      </c>
      <c r="R41" s="5">
        <f>VLOOKUP(M41,WorkingDB[],5,FALSE)</f>
        <v>0</v>
      </c>
      <c r="S41" s="5">
        <f>VLOOKUP(M41,WorkingDB[],6,FALSE)</f>
        <v>0</v>
      </c>
      <c r="T41" s="44">
        <f>VLOOKUP(M41,WorkingDB[],7,FALSE)*N41+VLOOKUP(M41,CostDB[],5,FALSE)</f>
        <v>481.25</v>
      </c>
      <c r="U41" s="16" t="s">
        <v>104</v>
      </c>
      <c r="V41" s="17">
        <v>0.2</v>
      </c>
      <c r="W41" s="18">
        <f>VLOOKUP(U41,WorkingDB[],2,FALSE)</f>
        <v>1.411</v>
      </c>
      <c r="X41" s="19">
        <f>VLOOKUP(U41,WorkingDB[],3,FALSE)</f>
        <v>300</v>
      </c>
      <c r="Y41" s="19">
        <f>VLOOKUP(U41,WorkingDB[],4,FALSE)</f>
        <v>2349</v>
      </c>
      <c r="Z41" s="5">
        <f>VLOOKUP(U41,WorkingDB[],5,FALSE)</f>
        <v>0</v>
      </c>
      <c r="AA41" s="5">
        <f>VLOOKUP(U41,WorkingDB[],6,FALSE)</f>
        <v>0</v>
      </c>
      <c r="AB41" s="44">
        <f>VLOOKUP(U41,WorkingDB[],7,FALSE)*V41+VLOOKUP(U41,CostDB[],5,FALSE)</f>
        <v>1617.3200000000002</v>
      </c>
      <c r="AC41" s="16" t="s">
        <v>112</v>
      </c>
      <c r="AD41" s="17">
        <f t="shared" si="30"/>
        <v>1.4999999999999999E-2</v>
      </c>
      <c r="AE41" s="18">
        <f>VLOOKUP(AC41,WorkingDB[],2,FALSE)</f>
        <v>0.72099999999999997</v>
      </c>
      <c r="AF41" s="19">
        <f>VLOOKUP(AC41,WorkingDB[],3,FALSE)</f>
        <v>840</v>
      </c>
      <c r="AG41" s="19">
        <f>VLOOKUP(AC41,WorkingDB[],4,FALSE)</f>
        <v>1762</v>
      </c>
      <c r="AH41" s="5">
        <f>VLOOKUP(AC41,WorkingDB[],5,FALSE)</f>
        <v>0</v>
      </c>
      <c r="AI41" s="5">
        <f>VLOOKUP(AC41,WorkingDB[],6,FALSE)</f>
        <v>0</v>
      </c>
      <c r="AJ41" s="44">
        <f>VLOOKUP(AC41,WorkingDB[],7,FALSE)*AD41+VLOOKUP(AC41,CostDB[],5,FALSE)</f>
        <v>339.1</v>
      </c>
      <c r="AK41" s="16" t="s">
        <v>90</v>
      </c>
      <c r="AL41" s="17">
        <v>0</v>
      </c>
      <c r="AM41" s="18">
        <f>VLOOKUP(AK41,WorkingDB[],2,FALSE)</f>
        <v>0</v>
      </c>
      <c r="AN41" s="19">
        <f>VLOOKUP(AK41,WorkingDB[],3,FALSE)</f>
        <v>0</v>
      </c>
      <c r="AO41" s="19">
        <f>VLOOKUP(AK41,WorkingDB[],4,FALSE)</f>
        <v>0</v>
      </c>
      <c r="AP41" s="5">
        <f>VLOOKUP(AK41,WorkingDB[],5,FALSE)</f>
        <v>0</v>
      </c>
      <c r="AQ41" s="5">
        <f>VLOOKUP(AK41,WorkingDB[],6,FALSE)</f>
        <v>0</v>
      </c>
      <c r="AR41" s="44" t="e">
        <f>VLOOKUP(AK41,WorkingDB[],7,FALSE)*AL41+VLOOKUP(AK41,CostDB[],5,FALSE)</f>
        <v>#N/A</v>
      </c>
      <c r="AS41" s="16" t="s">
        <v>90</v>
      </c>
      <c r="AT41" s="17">
        <v>0</v>
      </c>
      <c r="AU41" s="18">
        <f>VLOOKUP(AS41,WorkingDB[],2,FALSE)</f>
        <v>0</v>
      </c>
      <c r="AV41" s="19">
        <f>VLOOKUP(AS41,WorkingDB[],3,FALSE)</f>
        <v>0</v>
      </c>
      <c r="AW41" s="19">
        <f>VLOOKUP(AS41,WorkingDB[],4,FALSE)</f>
        <v>0</v>
      </c>
      <c r="AX41" s="5">
        <f>VLOOKUP(AS41,WorkingDB[],5,FALSE)</f>
        <v>0</v>
      </c>
      <c r="AY41" s="5">
        <f>VLOOKUP(AS41,WorkingDB[],6,FALSE)</f>
        <v>0</v>
      </c>
      <c r="AZ41" s="44" t="e">
        <f>VLOOKUP(AS41,WorkingDB[],7,FALSE)*AT41+VLOOKUP(AS41,CostDB[],5,FALSE)</f>
        <v>#N/A</v>
      </c>
      <c r="BA41" s="27">
        <v>8.35</v>
      </c>
      <c r="BB41" s="20">
        <f t="shared" si="31"/>
        <v>0.28000000000000003</v>
      </c>
      <c r="BC41" s="18">
        <f t="shared" si="32"/>
        <v>0.44323690109810593</v>
      </c>
      <c r="BD41" s="18">
        <f t="shared" si="33"/>
        <v>0.12410633230746967</v>
      </c>
      <c r="BE41" s="19">
        <f t="shared" si="34"/>
        <v>524.66</v>
      </c>
      <c r="BF41" s="19">
        <f t="shared" si="35"/>
        <v>1873.785714285714</v>
      </c>
      <c r="BG41" s="19">
        <f t="shared" si="36"/>
        <v>188522.40000000002</v>
      </c>
      <c r="BH41" s="19">
        <f t="shared" si="37"/>
        <v>359.32299012693943</v>
      </c>
      <c r="BI41" s="18">
        <f t="shared" si="38"/>
        <v>118.14750352146871</v>
      </c>
      <c r="BJ41" s="22">
        <f t="shared" si="39"/>
        <v>1.8432702451322233E-7</v>
      </c>
      <c r="BK41" s="23">
        <f t="shared" si="40"/>
        <v>6.6357728824760042E-4</v>
      </c>
      <c r="BL41" s="19">
        <f t="shared" si="29"/>
        <v>2776.77</v>
      </c>
      <c r="BM41" s="18"/>
      <c r="BP41" s="20">
        <f t="shared" si="2"/>
        <v>258.06412639405204</v>
      </c>
      <c r="BR41" s="45">
        <f t="shared" si="3"/>
        <v>22201.200000000001</v>
      </c>
      <c r="BS41" s="45">
        <f t="shared" si="4"/>
        <v>3180</v>
      </c>
      <c r="BT41" s="45">
        <f t="shared" si="5"/>
        <v>140940</v>
      </c>
      <c r="BU41" s="45">
        <f t="shared" si="6"/>
        <v>22201.200000000001</v>
      </c>
      <c r="BV41" s="45">
        <f t="shared" si="7"/>
        <v>0</v>
      </c>
      <c r="BW41" s="45">
        <f t="shared" si="8"/>
        <v>0</v>
      </c>
      <c r="BX41" s="46">
        <f t="shared" si="9"/>
        <v>2.0804438280166437E-2</v>
      </c>
      <c r="BY41" s="46">
        <f t="shared" si="10"/>
        <v>1.9230769230769234</v>
      </c>
      <c r="BZ41" s="46">
        <f t="shared" si="11"/>
        <v>0.14174344436569808</v>
      </c>
      <c r="CA41" s="46">
        <f t="shared" si="12"/>
        <v>2.0804438280166437E-2</v>
      </c>
      <c r="CB41" s="46">
        <f t="shared" si="13"/>
        <v>0</v>
      </c>
      <c r="CC41" s="46">
        <f t="shared" si="14"/>
        <v>0</v>
      </c>
      <c r="CD41" s="45">
        <f t="shared" si="15"/>
        <v>94.30355282806488</v>
      </c>
    </row>
    <row r="42" spans="1:82" ht="14.4" x14ac:dyDescent="0.3">
      <c r="A42" s="5" t="s">
        <v>341</v>
      </c>
      <c r="B42" s="5" t="s">
        <v>263</v>
      </c>
      <c r="C42" s="4" t="s">
        <v>10</v>
      </c>
      <c r="D42" s="27">
        <v>33.4</v>
      </c>
      <c r="E42" s="16" t="s">
        <v>112</v>
      </c>
      <c r="F42" s="17">
        <f t="shared" si="28"/>
        <v>1.4999999999999999E-2</v>
      </c>
      <c r="G42" s="18">
        <f>VLOOKUP(E42,WorkingDB[],2,FALSE)</f>
        <v>0.72099999999999997</v>
      </c>
      <c r="H42" s="19">
        <f>VLOOKUP(E42,WorkingDB[],3,FALSE)</f>
        <v>840</v>
      </c>
      <c r="I42" s="19">
        <f>VLOOKUP(E42,WorkingDB[],4,FALSE)</f>
        <v>1762</v>
      </c>
      <c r="J42" s="5">
        <f>VLOOKUP(E42,WorkingDB[],5,FALSE)</f>
        <v>0</v>
      </c>
      <c r="K42" s="5">
        <f>VLOOKUP(E42,WorkingDB[],6,FALSE)</f>
        <v>0</v>
      </c>
      <c r="L42" s="44">
        <f>VLOOKUP(E42,WorkingDB[],7,FALSE)*F42+VLOOKUP(E42,CostDB[],5,FALSE)</f>
        <v>339.1</v>
      </c>
      <c r="M42" s="16" t="s">
        <v>393</v>
      </c>
      <c r="N42" s="17">
        <v>0.2</v>
      </c>
      <c r="O42" s="18">
        <f>VLOOKUP(M42,WorkingDB[],2,FALSE)</f>
        <v>1.58</v>
      </c>
      <c r="P42" s="19">
        <f>VLOOKUP(M42,WorkingDB[],3,FALSE)</f>
        <v>880</v>
      </c>
      <c r="Q42" s="19">
        <f>VLOOKUP(M42,WorkingDB[],4,FALSE)</f>
        <v>2288</v>
      </c>
      <c r="R42" s="5">
        <f>VLOOKUP(M42,WorkingDB[],5,FALSE)</f>
        <v>0</v>
      </c>
      <c r="S42" s="5">
        <f>VLOOKUP(M42,WorkingDB[],6,FALSE)</f>
        <v>0</v>
      </c>
      <c r="T42" s="44">
        <f>VLOOKUP(M42,WorkingDB[],7,FALSE)*N42+VLOOKUP(M42,CostDB[],5,FALSE)</f>
        <v>2706.56</v>
      </c>
      <c r="U42" s="16" t="s">
        <v>112</v>
      </c>
      <c r="V42" s="17">
        <v>1.4999999999999999E-2</v>
      </c>
      <c r="W42" s="18">
        <f>VLOOKUP(U42,WorkingDB[],2,FALSE)</f>
        <v>0.72099999999999997</v>
      </c>
      <c r="X42" s="19">
        <f>VLOOKUP(U42,WorkingDB[],3,FALSE)</f>
        <v>840</v>
      </c>
      <c r="Y42" s="19">
        <f>VLOOKUP(U42,WorkingDB[],4,FALSE)</f>
        <v>1762</v>
      </c>
      <c r="Z42" s="5">
        <f>VLOOKUP(U42,WorkingDB[],5,FALSE)</f>
        <v>0</v>
      </c>
      <c r="AA42" s="5">
        <f>VLOOKUP(U42,WorkingDB[],6,FALSE)</f>
        <v>0</v>
      </c>
      <c r="AB42" s="44">
        <f>VLOOKUP(U42,WorkingDB[],7,FALSE)*V42+VLOOKUP(U42,CostDB[],5,FALSE)</f>
        <v>339.1</v>
      </c>
      <c r="AC42" s="16" t="s">
        <v>90</v>
      </c>
      <c r="AD42" s="17">
        <v>0</v>
      </c>
      <c r="AE42" s="18">
        <f>VLOOKUP(AC42,WorkingDB[],2,FALSE)</f>
        <v>0</v>
      </c>
      <c r="AF42" s="19">
        <f>VLOOKUP(AC42,WorkingDB[],3,FALSE)</f>
        <v>0</v>
      </c>
      <c r="AG42" s="19">
        <f>VLOOKUP(AC42,WorkingDB[],4,FALSE)</f>
        <v>0</v>
      </c>
      <c r="AH42" s="5">
        <f>VLOOKUP(AC42,WorkingDB[],5,FALSE)</f>
        <v>0</v>
      </c>
      <c r="AI42" s="5">
        <f>VLOOKUP(AC42,WorkingDB[],6,FALSE)</f>
        <v>0</v>
      </c>
      <c r="AJ42" s="44" t="e">
        <f>VLOOKUP(AC42,WorkingDB[],7,FALSE)*AD42+VLOOKUP(AC42,CostDB[],5,FALSE)</f>
        <v>#N/A</v>
      </c>
      <c r="AK42" s="16" t="s">
        <v>90</v>
      </c>
      <c r="AL42" s="17">
        <v>0</v>
      </c>
      <c r="AM42" s="18">
        <f>VLOOKUP(AK42,WorkingDB[],2,FALSE)</f>
        <v>0</v>
      </c>
      <c r="AN42" s="19">
        <f>VLOOKUP(AK42,WorkingDB[],3,FALSE)</f>
        <v>0</v>
      </c>
      <c r="AO42" s="19">
        <f>VLOOKUP(AK42,WorkingDB[],4,FALSE)</f>
        <v>0</v>
      </c>
      <c r="AP42" s="5">
        <f>VLOOKUP(AK42,WorkingDB[],5,FALSE)</f>
        <v>0</v>
      </c>
      <c r="AQ42" s="5">
        <f>VLOOKUP(AK42,WorkingDB[],6,FALSE)</f>
        <v>0</v>
      </c>
      <c r="AR42" s="44" t="e">
        <f>VLOOKUP(AK42,WorkingDB[],7,FALSE)*AL42+VLOOKUP(AK42,CostDB[],5,FALSE)</f>
        <v>#N/A</v>
      </c>
      <c r="AS42" s="16" t="s">
        <v>90</v>
      </c>
      <c r="AT42" s="17">
        <v>0</v>
      </c>
      <c r="AU42" s="18">
        <f>VLOOKUP(AS42,WorkingDB[],2,FALSE)</f>
        <v>0</v>
      </c>
      <c r="AV42" s="19">
        <f>VLOOKUP(AS42,WorkingDB[],3,FALSE)</f>
        <v>0</v>
      </c>
      <c r="AW42" s="19">
        <f>VLOOKUP(AS42,WorkingDB[],4,FALSE)</f>
        <v>0</v>
      </c>
      <c r="AX42" s="5">
        <f>VLOOKUP(AS42,WorkingDB[],5,FALSE)</f>
        <v>0</v>
      </c>
      <c r="AY42" s="5">
        <f>VLOOKUP(AS42,WorkingDB[],6,FALSE)</f>
        <v>0</v>
      </c>
      <c r="AZ42" s="44" t="e">
        <f>VLOOKUP(AS42,WorkingDB[],7,FALSE)*AT42+VLOOKUP(AS42,CostDB[],5,FALSE)</f>
        <v>#N/A</v>
      </c>
      <c r="BA42" s="27">
        <v>8.35</v>
      </c>
      <c r="BB42" s="20">
        <f>F42+N42+V42+AD42+AL42+AT42</f>
        <v>0.23000000000000004</v>
      </c>
      <c r="BC42" s="18">
        <f>1/(1/D42+IF(E42&lt;&gt;"NA",F42/G42,0)+IF(M42&lt;&gt;"NA",N42/O42,0)+IF(U42&lt;&gt;"NA",V42/W42,0)+IF(AC42&lt;&gt;"NA",AD42/AE42,0)+IF(AK42&lt;&gt;"NA",AL42/AM42,0)+IF(AS42&lt;&gt;"NA",AT42/AU42,0)+1/BA42)</f>
        <v>3.1457248824753994</v>
      </c>
      <c r="BD42" s="18">
        <f>BC42*BB42</f>
        <v>0.723516722969342</v>
      </c>
      <c r="BE42" s="19">
        <f>IF(E42&lt;&gt;"NA",F42*I42,0)+IF(M42&lt;&gt;"NA",N42*Q42,0)+IF(U42&lt;&gt;"NA",V42*Y42,0)+IF(AC42&lt;&gt;"NA",AD42*AG42,0)+IF(AK42&lt;&gt;"NA",AL42*AO42,0)+IF(AS42&lt;&gt;"NA",AT42*AW42,0)</f>
        <v>510.46000000000004</v>
      </c>
      <c r="BF42" s="19">
        <f>BE42/BB42</f>
        <v>2219.391304347826</v>
      </c>
      <c r="BG42" s="19">
        <f>IF(E42&lt;&gt;"NA",F42*H42*I42,0)+IF(M42&lt;&gt;"NA",N42*P42*Q42,0)+IF(U42&lt;&gt;"NA",V42*X42*Y42,0)+IF(AC42&lt;&gt;"NA",AD42*AF42*AG42,0)+IF(AK42&lt;&gt;"NA",AL42*AN42*AO42,0)+IF(AS42&lt;&gt;"NA",AT42*AV42*AW42,0)</f>
        <v>447090.4</v>
      </c>
      <c r="BH42" s="19">
        <f>BG42/BE42</f>
        <v>875.85785370058375</v>
      </c>
      <c r="BI42" s="18">
        <f>((BH42)*BF42*BB42*(1/BC42))/3600</f>
        <v>39.479542050749885</v>
      </c>
      <c r="BJ42" s="22">
        <f>BD42/(BH42*BF42)</f>
        <v>3.722040246960093E-7</v>
      </c>
      <c r="BK42" s="23">
        <f t="shared" si="40"/>
        <v>1.3399344889056335E-3</v>
      </c>
      <c r="BL42" s="19">
        <f t="shared" si="29"/>
        <v>3384.7599999999998</v>
      </c>
      <c r="BM42" s="18"/>
      <c r="BP42" s="20">
        <f t="shared" si="2"/>
        <v>314.56877323420071</v>
      </c>
      <c r="BR42" s="45">
        <f t="shared" si="3"/>
        <v>22201.200000000001</v>
      </c>
      <c r="BS42" s="45">
        <f t="shared" si="4"/>
        <v>402688</v>
      </c>
      <c r="BT42" s="45">
        <f t="shared" si="5"/>
        <v>22201.200000000001</v>
      </c>
      <c r="BU42" s="45">
        <f t="shared" si="6"/>
        <v>0</v>
      </c>
      <c r="BV42" s="45">
        <f t="shared" si="7"/>
        <v>0</v>
      </c>
      <c r="BW42" s="45">
        <f t="shared" si="8"/>
        <v>0</v>
      </c>
      <c r="BX42" s="46">
        <f t="shared" si="9"/>
        <v>2.0804438280166437E-2</v>
      </c>
      <c r="BY42" s="46">
        <f t="shared" si="10"/>
        <v>0.12658227848101267</v>
      </c>
      <c r="BZ42" s="46">
        <f t="shared" si="11"/>
        <v>2.0804438280166437E-2</v>
      </c>
      <c r="CA42" s="46">
        <f t="shared" si="12"/>
        <v>0</v>
      </c>
      <c r="CB42" s="46">
        <f t="shared" si="13"/>
        <v>0</v>
      </c>
      <c r="CC42" s="46">
        <f t="shared" si="14"/>
        <v>0</v>
      </c>
      <c r="CD42" s="45">
        <f t="shared" si="15"/>
        <v>14.162295975474745</v>
      </c>
    </row>
    <row r="44" spans="1:82" ht="14.4" x14ac:dyDescent="0.3">
      <c r="A44" s="27" t="s">
        <v>342</v>
      </c>
      <c r="B44" s="27" t="s">
        <v>263</v>
      </c>
      <c r="C44" s="30" t="s">
        <v>226</v>
      </c>
      <c r="D44" s="28">
        <v>33.4</v>
      </c>
      <c r="E44" s="31" t="s">
        <v>112</v>
      </c>
      <c r="F44" s="32">
        <f t="shared" si="28"/>
        <v>1.4999999999999999E-2</v>
      </c>
      <c r="G44" s="33">
        <f>VLOOKUP(E44,WorkingDB[],2,FALSE)</f>
        <v>0.72099999999999997</v>
      </c>
      <c r="H44" s="34">
        <f>VLOOKUP(E44,WorkingDB[],3,FALSE)</f>
        <v>840</v>
      </c>
      <c r="I44" s="34">
        <f>VLOOKUP(E44,WorkingDB[],4,FALSE)</f>
        <v>1762</v>
      </c>
      <c r="J44" s="27">
        <f>VLOOKUP(E44,WorkingDB[],5,FALSE)</f>
        <v>0</v>
      </c>
      <c r="K44" s="27">
        <f>VLOOKUP(E44,WorkingDB[],6,FALSE)</f>
        <v>0</v>
      </c>
      <c r="L44" s="34">
        <f>VLOOKUP(E44,WorkingDB[],7,FALSE)*F44+VLOOKUP(E44,CostDB[],5,FALSE)</f>
        <v>339.1</v>
      </c>
      <c r="M44" s="31" t="s">
        <v>108</v>
      </c>
      <c r="N44" s="32">
        <v>7.4999999999999997E-2</v>
      </c>
      <c r="O44" s="33">
        <f>VLOOKUP(M44,WorkingDB[],2,FALSE)</f>
        <v>0.79800000000000004</v>
      </c>
      <c r="P44" s="34">
        <f>VLOOKUP(M44,WorkingDB[],3,FALSE)</f>
        <v>880</v>
      </c>
      <c r="Q44" s="34">
        <f>VLOOKUP(M44,WorkingDB[],4,FALSE)</f>
        <v>1892</v>
      </c>
      <c r="R44" s="27">
        <f>VLOOKUP(M44,WorkingDB[],5,FALSE)</f>
        <v>0</v>
      </c>
      <c r="S44" s="27">
        <f>VLOOKUP(M44,WorkingDB[],6,FALSE)</f>
        <v>0</v>
      </c>
      <c r="T44" s="34">
        <f>VLOOKUP(M44,WorkingDB[],7,FALSE)*N44+VLOOKUP(M44,CostDB[],5,FALSE)</f>
        <v>549.04999999999995</v>
      </c>
      <c r="U44" s="31" t="s">
        <v>107</v>
      </c>
      <c r="V44" s="32">
        <v>0.15</v>
      </c>
      <c r="W44" s="33">
        <f>VLOOKUP(U44,WorkingDB[],2,FALSE)</f>
        <v>1.58</v>
      </c>
      <c r="X44" s="34">
        <f>VLOOKUP(U44,WorkingDB[],3,FALSE)</f>
        <v>880</v>
      </c>
      <c r="Y44" s="34">
        <f>VLOOKUP(U44,WorkingDB[],4,FALSE)</f>
        <v>2288</v>
      </c>
      <c r="Z44" s="27">
        <f>VLOOKUP(U44,WorkingDB[],5,FALSE)</f>
        <v>0</v>
      </c>
      <c r="AA44" s="27">
        <f>VLOOKUP(U44,WorkingDB[],6,FALSE)</f>
        <v>0</v>
      </c>
      <c r="AB44" s="34">
        <f>VLOOKUP(U44,WorkingDB[],7,FALSE)*V44+VLOOKUP(U44,CostDB[],5,FALSE)</f>
        <v>2374.4449999999997</v>
      </c>
      <c r="AC44" s="31" t="s">
        <v>112</v>
      </c>
      <c r="AD44" s="32">
        <f t="shared" si="30"/>
        <v>1.4999999999999999E-2</v>
      </c>
      <c r="AE44" s="33">
        <f>VLOOKUP(AC44,WorkingDB[],2,FALSE)</f>
        <v>0.72099999999999997</v>
      </c>
      <c r="AF44" s="34">
        <f>VLOOKUP(AC44,WorkingDB[],3,FALSE)</f>
        <v>840</v>
      </c>
      <c r="AG44" s="34">
        <f>VLOOKUP(AC44,WorkingDB[],4,FALSE)</f>
        <v>1762</v>
      </c>
      <c r="AH44" s="27">
        <f>VLOOKUP(AC44,WorkingDB[],5,FALSE)</f>
        <v>0</v>
      </c>
      <c r="AI44" s="27">
        <f>VLOOKUP(AC44,WorkingDB[],6,FALSE)</f>
        <v>0</v>
      </c>
      <c r="AJ44" s="34">
        <f>VLOOKUP(AC44,WorkingDB[],7,FALSE)*AD44+VLOOKUP(AC44,CostDB[],5,FALSE)</f>
        <v>339.1</v>
      </c>
      <c r="AK44" s="31" t="s">
        <v>90</v>
      </c>
      <c r="AL44" s="32">
        <v>0</v>
      </c>
      <c r="AM44" s="33">
        <f>VLOOKUP(AK44,WorkingDB[],2,FALSE)</f>
        <v>0</v>
      </c>
      <c r="AN44" s="34">
        <f>VLOOKUP(AK44,WorkingDB[],3,FALSE)</f>
        <v>0</v>
      </c>
      <c r="AO44" s="34">
        <f>VLOOKUP(AK44,WorkingDB[],4,FALSE)</f>
        <v>0</v>
      </c>
      <c r="AP44" s="27">
        <f>VLOOKUP(AK44,WorkingDB[],5,FALSE)</f>
        <v>0</v>
      </c>
      <c r="AQ44" s="27">
        <f>VLOOKUP(AK44,WorkingDB[],6,FALSE)</f>
        <v>0</v>
      </c>
      <c r="AR44" s="34" t="e">
        <f>VLOOKUP(AK44,WorkingDB[],7,FALSE)*AL44+VLOOKUP(AK44,CostDB[],5,FALSE)</f>
        <v>#N/A</v>
      </c>
      <c r="AS44" s="31" t="s">
        <v>90</v>
      </c>
      <c r="AT44" s="32">
        <v>0</v>
      </c>
      <c r="AU44" s="33">
        <f>VLOOKUP(AS44,WorkingDB[],2,FALSE)</f>
        <v>0</v>
      </c>
      <c r="AV44" s="34">
        <f>VLOOKUP(AS44,WorkingDB[],3,FALSE)</f>
        <v>0</v>
      </c>
      <c r="AW44" s="34">
        <f>VLOOKUP(AS44,WorkingDB[],4,FALSE)</f>
        <v>0</v>
      </c>
      <c r="AX44" s="27">
        <f>VLOOKUP(AS44,WorkingDB[],5,FALSE)</f>
        <v>0</v>
      </c>
      <c r="AY44" s="27">
        <f>VLOOKUP(AS44,WorkingDB[],6,FALSE)</f>
        <v>0</v>
      </c>
      <c r="AZ44" s="34" t="e">
        <f>VLOOKUP(AS44,WorkingDB[],7,FALSE)*AT44+VLOOKUP(AS44,CostDB[],5,FALSE)</f>
        <v>#N/A</v>
      </c>
      <c r="BA44" s="27">
        <v>9.3086381369319291</v>
      </c>
      <c r="BB44" s="35">
        <f>F44+N44+V44+AD44+AL44+AT44</f>
        <v>0.255</v>
      </c>
      <c r="BC44" s="33">
        <f>1/(1/D44+IF(E44&lt;&gt;"NA",F44/G44,0)+IF(M44&lt;&gt;"NA",N44/O44,0)+IF(U44&lt;&gt;"NA",V44/W44,0)+IF(AC44&lt;&gt;"NA",AD44/AE44,0)+IF(AK44&lt;&gt;"NA",AL44/AM44,0)+IF(AS44&lt;&gt;"NA",AT44/AU44,0)+1/BA44)</f>
        <v>2.7181464202876069</v>
      </c>
      <c r="BD44" s="33">
        <f>BC44*BB44</f>
        <v>0.69312733717333974</v>
      </c>
      <c r="BE44" s="34">
        <f>IF(E44&lt;&gt;"NA",F44*I44,0)+IF(M44&lt;&gt;"NA",N44*Q44,0)+IF(U44&lt;&gt;"NA",V44*Y44,0)+IF(AC44&lt;&gt;"NA",AD44*AG44,0)+IF(AK44&lt;&gt;"NA",AL44*AO44,0)+IF(AS44&lt;&gt;"NA",AT44*AW44,0)</f>
        <v>537.95999999999992</v>
      </c>
      <c r="BF44" s="34">
        <f>BE44/BB44</f>
        <v>2109.6470588235293</v>
      </c>
      <c r="BG44" s="34">
        <f>IF(E44&lt;&gt;"NA",F44*H44*I44,0)+IF(M44&lt;&gt;"NA",N44*P44*Q44,0)+IF(U44&lt;&gt;"NA",V44*X44*Y44,0)+IF(AC44&lt;&gt;"NA",AD44*AF44*AG44,0)+IF(AK44&lt;&gt;"NA",AL44*AN44*AO44,0)+IF(AS44&lt;&gt;"NA",AT44*AV44*AW44,0)</f>
        <v>471290.4</v>
      </c>
      <c r="BH44" s="34">
        <f>BG44/BE44</f>
        <v>876.06959625250965</v>
      </c>
      <c r="BI44" s="33">
        <f>((BH44)*BF44*BB44*(1/BC44))/3600</f>
        <v>48.162968345961296</v>
      </c>
      <c r="BJ44" s="36">
        <f>BD44/(BH44*BF44)</f>
        <v>3.7502879536523893E-7</v>
      </c>
      <c r="BK44" s="37">
        <f t="shared" si="40"/>
        <v>1.3501036633148601E-3</v>
      </c>
      <c r="BL44" s="34">
        <f>IF(ISNA(L44)=FALSE,L44,0)+IF(ISNA(T44)=FALSE,T44,0)+IF(ISNA(AB44)=FALSE,AB44,0)+IF(ISNA(AJ44)=FALSE,AJ44,0)+IF(ISNA(AR44)=FALSE,AR44,0)+IF(ISNA(AZ44)=FALSE,AZ44,0)</f>
        <v>3601.6949999999997</v>
      </c>
      <c r="BM44" s="18"/>
      <c r="BP44" s="20">
        <f t="shared" si="2"/>
        <v>334.73001858736058</v>
      </c>
      <c r="BR44" s="45">
        <f t="shared" ref="BR44" si="51">F44*I44*H44</f>
        <v>22201.200000000001</v>
      </c>
      <c r="BS44" s="45">
        <f t="shared" ref="BS44" si="52">N44*Q44*P44</f>
        <v>124872</v>
      </c>
      <c r="BT44" s="45">
        <f t="shared" ref="BT44" si="53">V44*Y44*X44</f>
        <v>302016</v>
      </c>
      <c r="BU44" s="45">
        <f t="shared" ref="BU44" si="54">AD44*AG44*AF44</f>
        <v>22201.200000000001</v>
      </c>
      <c r="BV44" s="45">
        <f t="shared" ref="BV44" si="55">AL44*AO44*AN44</f>
        <v>0</v>
      </c>
      <c r="BW44" s="45">
        <f t="shared" ref="BW44" si="56">AT44*AW44*AV44</f>
        <v>0</v>
      </c>
      <c r="BX44" s="46">
        <f t="shared" ref="BX44" si="57">IF(ISERROR(F44/G44)=TRUE,0,F44/G44)</f>
        <v>2.0804438280166437E-2</v>
      </c>
      <c r="BY44" s="46">
        <f t="shared" ref="BY44" si="58">IF(ISERROR(N44/O44)=TRUE,0,N44/O44)</f>
        <v>9.3984962406015032E-2</v>
      </c>
      <c r="BZ44" s="46">
        <f t="shared" ref="BZ44" si="59">IF(ISERROR(V44/W44)=TRUE,0,V44/W44)</f>
        <v>9.4936708860759486E-2</v>
      </c>
      <c r="CA44" s="46">
        <f t="shared" ref="CA44" si="60">IF(ISERROR(AD44/AE44)=TRUE,0,AD44/AE44)</f>
        <v>2.0804438280166437E-2</v>
      </c>
      <c r="CB44" s="46">
        <f t="shared" ref="CB44" si="61">IF(ISERROR(AL44/AM44)=TRUE,0,AL44/AM44)</f>
        <v>0</v>
      </c>
      <c r="CC44" s="46">
        <f t="shared" ref="CC44" si="62">IF(ISERROR(AT44/AU44)=TRUE,0,AT44/AU44)</f>
        <v>0</v>
      </c>
      <c r="CD44" s="45">
        <f t="shared" ref="CD44" si="63">(((1/$D44+BX44/2)*BR44)+((1/$D44+BX44+BY44/2)*BS44)+((1/$D44+BX44+BY44+BZ44/2)*BT44)+((1/$D44+BX44+BY44+BZ44+CA44/2)*BU44)+((1/$D44+BX44+BY44+BZ44+CA44+CB44/2)*BV44)+((1/$D44+BX44+BY44+BZ44+CA44+CB44+CC44/2)*BW44))/3600</f>
        <v>21.30525580982486</v>
      </c>
    </row>
    <row r="45" spans="1:82" ht="14.4" x14ac:dyDescent="0.3">
      <c r="A45" s="5" t="s">
        <v>343</v>
      </c>
      <c r="B45" s="5" t="s">
        <v>264</v>
      </c>
      <c r="C45" s="4" t="s">
        <v>226</v>
      </c>
      <c r="D45" s="28">
        <v>33.4</v>
      </c>
      <c r="E45" s="16" t="s">
        <v>112</v>
      </c>
      <c r="F45" s="17">
        <f t="shared" si="28"/>
        <v>1.4999999999999999E-2</v>
      </c>
      <c r="G45" s="18">
        <f>VLOOKUP(E45,WorkingDB[],2,FALSE)</f>
        <v>0.72099999999999997</v>
      </c>
      <c r="H45" s="19">
        <f>VLOOKUP(E45,WorkingDB[],3,FALSE)</f>
        <v>840</v>
      </c>
      <c r="I45" s="19">
        <f>VLOOKUP(E45,WorkingDB[],4,FALSE)</f>
        <v>1762</v>
      </c>
      <c r="J45" s="5">
        <f>VLOOKUP(E45,WorkingDB[],5,FALSE)</f>
        <v>0</v>
      </c>
      <c r="K45" s="5">
        <f>VLOOKUP(E45,WorkingDB[],6,FALSE)</f>
        <v>0</v>
      </c>
      <c r="L45" s="44">
        <f>VLOOKUP(E45,WorkingDB[],7,FALSE)*F45+VLOOKUP(E45,CostDB[],5,FALSE)</f>
        <v>339.1</v>
      </c>
      <c r="M45" s="16" t="s">
        <v>108</v>
      </c>
      <c r="N45" s="17">
        <v>7.4999999999999997E-2</v>
      </c>
      <c r="O45" s="18">
        <f>VLOOKUP(M45,WorkingDB[],2,FALSE)</f>
        <v>0.79800000000000004</v>
      </c>
      <c r="P45" s="19">
        <f>VLOOKUP(M45,WorkingDB[],3,FALSE)</f>
        <v>880</v>
      </c>
      <c r="Q45" s="19">
        <f>VLOOKUP(M45,WorkingDB[],4,FALSE)</f>
        <v>1892</v>
      </c>
      <c r="R45" s="5">
        <f>VLOOKUP(M45,WorkingDB[],5,FALSE)</f>
        <v>0</v>
      </c>
      <c r="S45" s="5">
        <f>VLOOKUP(M45,WorkingDB[],6,FALSE)</f>
        <v>0</v>
      </c>
      <c r="T45" s="44">
        <f>VLOOKUP(M45,WorkingDB[],7,FALSE)*N45+VLOOKUP(M45,CostDB[],5,FALSE)</f>
        <v>549.04999999999995</v>
      </c>
      <c r="U45" s="16" t="s">
        <v>237</v>
      </c>
      <c r="V45" s="17">
        <v>2.5000000000000001E-2</v>
      </c>
      <c r="W45" s="18">
        <f>VLOOKUP(U45,WorkingDB[],2,FALSE)</f>
        <v>2.8000000000000001E-2</v>
      </c>
      <c r="X45" s="19">
        <f>VLOOKUP(U45,WorkingDB[],3,FALSE)</f>
        <v>1213</v>
      </c>
      <c r="Y45" s="19">
        <f>VLOOKUP(U45,WorkingDB[],4,FALSE)</f>
        <v>35</v>
      </c>
      <c r="Z45" s="5">
        <f>VLOOKUP(U45,WorkingDB[],5,FALSE)</f>
        <v>0</v>
      </c>
      <c r="AA45" s="5">
        <f>VLOOKUP(U45,WorkingDB[],6,FALSE)</f>
        <v>0</v>
      </c>
      <c r="AB45" s="44">
        <f>VLOOKUP(U45,WorkingDB[],7,FALSE)*V45+VLOOKUP(U45,CostDB[],5,FALSE)</f>
        <v>575.65</v>
      </c>
      <c r="AC45" s="16" t="s">
        <v>107</v>
      </c>
      <c r="AD45" s="17">
        <v>0.15</v>
      </c>
      <c r="AE45" s="18">
        <f>VLOOKUP(AC45,WorkingDB[],2,FALSE)</f>
        <v>1.58</v>
      </c>
      <c r="AF45" s="19">
        <f>VLOOKUP(AC45,WorkingDB[],3,FALSE)</f>
        <v>880</v>
      </c>
      <c r="AG45" s="19">
        <f>VLOOKUP(AC45,WorkingDB[],4,FALSE)</f>
        <v>2288</v>
      </c>
      <c r="AH45" s="5">
        <f>VLOOKUP(AC45,WorkingDB[],5,FALSE)</f>
        <v>0</v>
      </c>
      <c r="AI45" s="5">
        <f>VLOOKUP(AC45,WorkingDB[],6,FALSE)</f>
        <v>0</v>
      </c>
      <c r="AJ45" s="44">
        <f>VLOOKUP(AC45,WorkingDB[],7,FALSE)*AD45+VLOOKUP(AC45,CostDB[],5,FALSE)</f>
        <v>2374.4449999999997</v>
      </c>
      <c r="AK45" s="16" t="s">
        <v>112</v>
      </c>
      <c r="AL45" s="17">
        <f t="shared" ref="AL45:AL64" si="64">15/1000</f>
        <v>1.4999999999999999E-2</v>
      </c>
      <c r="AM45" s="18">
        <f>VLOOKUP(AK45,WorkingDB[],2,FALSE)</f>
        <v>0.72099999999999997</v>
      </c>
      <c r="AN45" s="19">
        <f>VLOOKUP(AK45,WorkingDB[],3,FALSE)</f>
        <v>840</v>
      </c>
      <c r="AO45" s="19">
        <f>VLOOKUP(AK45,WorkingDB[],4,FALSE)</f>
        <v>1762</v>
      </c>
      <c r="AP45" s="5">
        <f>VLOOKUP(AK45,WorkingDB[],5,FALSE)</f>
        <v>0</v>
      </c>
      <c r="AQ45" s="5">
        <f>VLOOKUP(AK45,WorkingDB[],6,FALSE)</f>
        <v>0</v>
      </c>
      <c r="AR45" s="44">
        <f>VLOOKUP(AK45,WorkingDB[],7,FALSE)*AL45+VLOOKUP(AK45,CostDB[],5,FALSE)</f>
        <v>339.1</v>
      </c>
      <c r="AS45" s="16" t="s">
        <v>90</v>
      </c>
      <c r="AT45" s="17">
        <v>0</v>
      </c>
      <c r="AU45" s="18">
        <f>VLOOKUP(AS45,WorkingDB[],2,FALSE)</f>
        <v>0</v>
      </c>
      <c r="AV45" s="19">
        <f>VLOOKUP(AS45,WorkingDB[],3,FALSE)</f>
        <v>0</v>
      </c>
      <c r="AW45" s="19">
        <f>VLOOKUP(AS45,WorkingDB[],4,FALSE)</f>
        <v>0</v>
      </c>
      <c r="AX45" s="5">
        <f>VLOOKUP(AS45,WorkingDB[],5,FALSE)</f>
        <v>0</v>
      </c>
      <c r="AY45" s="5">
        <f>VLOOKUP(AS45,WorkingDB[],6,FALSE)</f>
        <v>0</v>
      </c>
      <c r="AZ45" s="44" t="e">
        <f>VLOOKUP(AS45,WorkingDB[],7,FALSE)*AT45+VLOOKUP(AS45,CostDB[],5,FALSE)</f>
        <v>#N/A</v>
      </c>
      <c r="BA45" s="27">
        <v>9.3086381369319291</v>
      </c>
      <c r="BB45" s="20">
        <f t="shared" ref="BB45:BB64" si="65">F45+N45+V45+AD45+AL45+AT45</f>
        <v>0.28000000000000003</v>
      </c>
      <c r="BC45" s="18">
        <f t="shared" ref="BC45:BC64" si="66">1/(1/D45+IF(E45&lt;&gt;"NA",F45/G45,0)+IF(M45&lt;&gt;"NA",N45/O45,0)+IF(U45&lt;&gt;"NA",V45/W45,0)+IF(AC45&lt;&gt;"NA",AD45/AE45,0)+IF(AK45&lt;&gt;"NA",AL45/AM45,0)+IF(AS45&lt;&gt;"NA",AT45/AU45,0)+1/BA45)</f>
        <v>0.79317557418614504</v>
      </c>
      <c r="BD45" s="18">
        <f t="shared" ref="BD45:BD64" si="67">BC45*BB45</f>
        <v>0.22208916077212063</v>
      </c>
      <c r="BE45" s="19">
        <f t="shared" ref="BE45:BE64" si="68">IF(E45&lt;&gt;"NA",F45*I45,0)+IF(M45&lt;&gt;"NA",N45*Q45,0)+IF(U45&lt;&gt;"NA",V45*Y45,0)+IF(AC45&lt;&gt;"NA",AD45*AG45,0)+IF(AK45&lt;&gt;"NA",AL45*AO45,0)+IF(AS45&lt;&gt;"NA",AT45*AW45,0)</f>
        <v>538.83499999999992</v>
      </c>
      <c r="BF45" s="19">
        <f t="shared" ref="BF45:BF64" si="69">BE45/BB45</f>
        <v>1924.4107142857138</v>
      </c>
      <c r="BG45" s="19">
        <f t="shared" ref="BG45:BG64" si="70">IF(E45&lt;&gt;"NA",F45*H45*I45,0)+IF(M45&lt;&gt;"NA",N45*P45*Q45,0)+IF(U45&lt;&gt;"NA",V45*X45*Y45,0)+IF(AC45&lt;&gt;"NA",AD45*AF45*AG45,0)+IF(AK45&lt;&gt;"NA",AL45*AN45*AO45,0)+IF(AS45&lt;&gt;"NA",AT45*AV45*AW45,0)</f>
        <v>472351.77500000002</v>
      </c>
      <c r="BH45" s="19">
        <f t="shared" ref="BH45:BH64" si="71">BG45/BE45</f>
        <v>876.61672868317771</v>
      </c>
      <c r="BI45" s="18">
        <f t="shared" ref="BI45:BI64" si="72">((BH45)*BF45*BB45*(1/BC45))/3600</f>
        <v>165.42217216348163</v>
      </c>
      <c r="BJ45" s="22">
        <f t="shared" ref="BJ45:BJ64" si="73">BD45/(BH45*BF45)</f>
        <v>1.3164969056418552E-7</v>
      </c>
      <c r="BK45" s="23">
        <f t="shared" si="40"/>
        <v>4.7393888603106788E-4</v>
      </c>
      <c r="BL45" s="19">
        <f t="shared" si="29"/>
        <v>4177.3450000000003</v>
      </c>
      <c r="BM45" s="18"/>
      <c r="BP45" s="20">
        <f t="shared" si="2"/>
        <v>388.22908921933089</v>
      </c>
      <c r="BR45" s="45">
        <f t="shared" ref="BR45:BR64" si="74">F45*I45*H45</f>
        <v>22201.200000000001</v>
      </c>
      <c r="BS45" s="45">
        <f t="shared" ref="BS45:BS64" si="75">N45*Q45*P45</f>
        <v>124872</v>
      </c>
      <c r="BT45" s="45">
        <f t="shared" ref="BT45:BT64" si="76">V45*Y45*X45</f>
        <v>1061.375</v>
      </c>
      <c r="BU45" s="45">
        <f t="shared" ref="BU45:BU64" si="77">AD45*AG45*AF45</f>
        <v>302016</v>
      </c>
      <c r="BV45" s="45">
        <f t="shared" ref="BV45:BV64" si="78">AL45*AO45*AN45</f>
        <v>22201.200000000001</v>
      </c>
      <c r="BW45" s="45">
        <f t="shared" ref="BW45:BW64" si="79">AT45*AW45*AV45</f>
        <v>0</v>
      </c>
      <c r="BX45" s="46">
        <f t="shared" ref="BX45:BX64" si="80">IF(ISERROR(F45/G45)=TRUE,0,F45/G45)</f>
        <v>2.0804438280166437E-2</v>
      </c>
      <c r="BY45" s="46">
        <f t="shared" ref="BY45:BY64" si="81">IF(ISERROR(N45/O45)=TRUE,0,N45/O45)</f>
        <v>9.3984962406015032E-2</v>
      </c>
      <c r="BZ45" s="46">
        <f t="shared" ref="BZ45:BZ64" si="82">IF(ISERROR(V45/W45)=TRUE,0,V45/W45)</f>
        <v>0.8928571428571429</v>
      </c>
      <c r="CA45" s="46">
        <f t="shared" ref="CA45:CA64" si="83">IF(ISERROR(AD45/AE45)=TRUE,0,AD45/AE45)</f>
        <v>9.4936708860759486E-2</v>
      </c>
      <c r="CB45" s="46">
        <f t="shared" ref="CB45:CB64" si="84">IF(ISERROR(AL45/AM45)=TRUE,0,AL45/AM45)</f>
        <v>2.0804438280166437E-2</v>
      </c>
      <c r="CC45" s="46">
        <f t="shared" ref="CC45:CC64" si="85">IF(ISERROR(AT45/AU45)=TRUE,0,AT45/AU45)</f>
        <v>0</v>
      </c>
      <c r="CD45" s="45">
        <f t="shared" ref="CD45:CD64" si="86">(((1/$D45+BX45/2)*BR45)+((1/$D45+BX45+BY45/2)*BS45)+((1/$D45+BX45+BY45+BZ45/2)*BT45)+((1/$D45+BX45+BY45+BZ45+CA45/2)*BU45)+((1/$D45+BX45+BY45+BZ45+CA45+CB45/2)*BV45)+((1/$D45+BX45+BY45+BZ45+CA45+CB45+CC45/2)*BW45))/3600</f>
        <v>101.89055672007677</v>
      </c>
    </row>
    <row r="46" spans="1:82" ht="14.4" x14ac:dyDescent="0.3">
      <c r="A46" s="5" t="s">
        <v>344</v>
      </c>
      <c r="B46" s="5" t="s">
        <v>265</v>
      </c>
      <c r="C46" s="4" t="s">
        <v>226</v>
      </c>
      <c r="D46" s="28">
        <v>33.4</v>
      </c>
      <c r="E46" s="16" t="s">
        <v>112</v>
      </c>
      <c r="F46" s="17">
        <f t="shared" si="28"/>
        <v>1.4999999999999999E-2</v>
      </c>
      <c r="G46" s="18">
        <f>VLOOKUP(E46,WorkingDB[],2,FALSE)</f>
        <v>0.72099999999999997</v>
      </c>
      <c r="H46" s="19">
        <f>VLOOKUP(E46,WorkingDB[],3,FALSE)</f>
        <v>840</v>
      </c>
      <c r="I46" s="19">
        <f>VLOOKUP(E46,WorkingDB[],4,FALSE)</f>
        <v>1762</v>
      </c>
      <c r="J46" s="5">
        <f>VLOOKUP(E46,WorkingDB[],5,FALSE)</f>
        <v>0</v>
      </c>
      <c r="K46" s="5">
        <f>VLOOKUP(E46,WorkingDB[],6,FALSE)</f>
        <v>0</v>
      </c>
      <c r="L46" s="44">
        <f>VLOOKUP(E46,WorkingDB[],7,FALSE)*F46+VLOOKUP(E46,CostDB[],5,FALSE)</f>
        <v>339.1</v>
      </c>
      <c r="M46" s="16" t="s">
        <v>108</v>
      </c>
      <c r="N46" s="17">
        <v>7.4999999999999997E-2</v>
      </c>
      <c r="O46" s="18">
        <f>VLOOKUP(M46,WorkingDB[],2,FALSE)</f>
        <v>0.79800000000000004</v>
      </c>
      <c r="P46" s="19">
        <f>VLOOKUP(M46,WorkingDB[],3,FALSE)</f>
        <v>880</v>
      </c>
      <c r="Q46" s="19">
        <f>VLOOKUP(M46,WorkingDB[],4,FALSE)</f>
        <v>1892</v>
      </c>
      <c r="R46" s="5">
        <f>VLOOKUP(M46,WorkingDB[],5,FALSE)</f>
        <v>0</v>
      </c>
      <c r="S46" s="5">
        <f>VLOOKUP(M46,WorkingDB[],6,FALSE)</f>
        <v>0</v>
      </c>
      <c r="T46" s="44">
        <f>VLOOKUP(M46,WorkingDB[],7,FALSE)*N46+VLOOKUP(M46,CostDB[],5,FALSE)</f>
        <v>549.04999999999995</v>
      </c>
      <c r="U46" s="16" t="s">
        <v>237</v>
      </c>
      <c r="V46" s="17">
        <v>0.05</v>
      </c>
      <c r="W46" s="18">
        <f>VLOOKUP(U46,WorkingDB[],2,FALSE)</f>
        <v>2.8000000000000001E-2</v>
      </c>
      <c r="X46" s="19">
        <f>VLOOKUP(U46,WorkingDB[],3,FALSE)</f>
        <v>1213</v>
      </c>
      <c r="Y46" s="19">
        <f>VLOOKUP(U46,WorkingDB[],4,FALSE)</f>
        <v>35</v>
      </c>
      <c r="Z46" s="5">
        <f>VLOOKUP(U46,WorkingDB[],5,FALSE)</f>
        <v>0</v>
      </c>
      <c r="AA46" s="5">
        <f>VLOOKUP(U46,WorkingDB[],6,FALSE)</f>
        <v>0</v>
      </c>
      <c r="AB46" s="44">
        <f>VLOOKUP(U46,WorkingDB[],7,FALSE)*V46+VLOOKUP(U46,CostDB[],5,FALSE)</f>
        <v>850.65</v>
      </c>
      <c r="AC46" s="16" t="s">
        <v>107</v>
      </c>
      <c r="AD46" s="17">
        <v>0.15</v>
      </c>
      <c r="AE46" s="18">
        <f>VLOOKUP(AC46,WorkingDB[],2,FALSE)</f>
        <v>1.58</v>
      </c>
      <c r="AF46" s="19">
        <f>VLOOKUP(AC46,WorkingDB[],3,FALSE)</f>
        <v>880</v>
      </c>
      <c r="AG46" s="19">
        <f>VLOOKUP(AC46,WorkingDB[],4,FALSE)</f>
        <v>2288</v>
      </c>
      <c r="AH46" s="5">
        <f>VLOOKUP(AC46,WorkingDB[],5,FALSE)</f>
        <v>0</v>
      </c>
      <c r="AI46" s="5">
        <f>VLOOKUP(AC46,WorkingDB[],6,FALSE)</f>
        <v>0</v>
      </c>
      <c r="AJ46" s="44">
        <f>VLOOKUP(AC46,WorkingDB[],7,FALSE)*AD46+VLOOKUP(AC46,CostDB[],5,FALSE)</f>
        <v>2374.4449999999997</v>
      </c>
      <c r="AK46" s="16" t="s">
        <v>112</v>
      </c>
      <c r="AL46" s="17">
        <f t="shared" si="64"/>
        <v>1.4999999999999999E-2</v>
      </c>
      <c r="AM46" s="18">
        <f>VLOOKUP(AK46,WorkingDB[],2,FALSE)</f>
        <v>0.72099999999999997</v>
      </c>
      <c r="AN46" s="19">
        <f>VLOOKUP(AK46,WorkingDB[],3,FALSE)</f>
        <v>840</v>
      </c>
      <c r="AO46" s="19">
        <f>VLOOKUP(AK46,WorkingDB[],4,FALSE)</f>
        <v>1762</v>
      </c>
      <c r="AP46" s="5">
        <f>VLOOKUP(AK46,WorkingDB[],5,FALSE)</f>
        <v>0</v>
      </c>
      <c r="AQ46" s="5">
        <f>VLOOKUP(AK46,WorkingDB[],6,FALSE)</f>
        <v>0</v>
      </c>
      <c r="AR46" s="44">
        <f>VLOOKUP(AK46,WorkingDB[],7,FALSE)*AL46+VLOOKUP(AK46,CostDB[],5,FALSE)</f>
        <v>339.1</v>
      </c>
      <c r="AS46" s="16" t="s">
        <v>90</v>
      </c>
      <c r="AT46" s="17">
        <v>0</v>
      </c>
      <c r="AU46" s="18">
        <f>VLOOKUP(AS46,WorkingDB[],2,FALSE)</f>
        <v>0</v>
      </c>
      <c r="AV46" s="19">
        <f>VLOOKUP(AS46,WorkingDB[],3,FALSE)</f>
        <v>0</v>
      </c>
      <c r="AW46" s="19">
        <f>VLOOKUP(AS46,WorkingDB[],4,FALSE)</f>
        <v>0</v>
      </c>
      <c r="AX46" s="5">
        <f>VLOOKUP(AS46,WorkingDB[],5,FALSE)</f>
        <v>0</v>
      </c>
      <c r="AY46" s="5">
        <f>VLOOKUP(AS46,WorkingDB[],6,FALSE)</f>
        <v>0</v>
      </c>
      <c r="AZ46" s="44" t="e">
        <f>VLOOKUP(AS46,WorkingDB[],7,FALSE)*AT46+VLOOKUP(AS46,CostDB[],5,FALSE)</f>
        <v>#N/A</v>
      </c>
      <c r="BA46" s="27">
        <v>9.3086381369319291</v>
      </c>
      <c r="BB46" s="20">
        <f t="shared" si="65"/>
        <v>0.30500000000000005</v>
      </c>
      <c r="BC46" s="18">
        <f t="shared" si="66"/>
        <v>0.46433618277108979</v>
      </c>
      <c r="BD46" s="18">
        <f t="shared" si="67"/>
        <v>0.14162253574518241</v>
      </c>
      <c r="BE46" s="19">
        <f t="shared" si="68"/>
        <v>539.70999999999992</v>
      </c>
      <c r="BF46" s="19">
        <f t="shared" si="69"/>
        <v>1769.5409836065569</v>
      </c>
      <c r="BG46" s="19">
        <f t="shared" si="70"/>
        <v>473413.15</v>
      </c>
      <c r="BH46" s="19">
        <f t="shared" si="71"/>
        <v>877.1620870467475</v>
      </c>
      <c r="BI46" s="18">
        <f t="shared" si="72"/>
        <v>283.20785167544642</v>
      </c>
      <c r="BJ46" s="22">
        <f t="shared" si="73"/>
        <v>9.1241389053685224E-8</v>
      </c>
      <c r="BK46" s="23">
        <f t="shared" si="40"/>
        <v>3.2846900059326683E-4</v>
      </c>
      <c r="BL46" s="19">
        <f t="shared" si="29"/>
        <v>4452.3450000000003</v>
      </c>
      <c r="BM46" s="18"/>
      <c r="BP46" s="20">
        <f t="shared" si="2"/>
        <v>413.78671003717477</v>
      </c>
      <c r="BR46" s="45">
        <f t="shared" si="74"/>
        <v>22201.200000000001</v>
      </c>
      <c r="BS46" s="45">
        <f t="shared" si="75"/>
        <v>124872</v>
      </c>
      <c r="BT46" s="45">
        <f t="shared" si="76"/>
        <v>2122.75</v>
      </c>
      <c r="BU46" s="45">
        <f t="shared" si="77"/>
        <v>302016</v>
      </c>
      <c r="BV46" s="45">
        <f t="shared" si="78"/>
        <v>22201.200000000001</v>
      </c>
      <c r="BW46" s="45">
        <f t="shared" si="79"/>
        <v>0</v>
      </c>
      <c r="BX46" s="46">
        <f t="shared" si="80"/>
        <v>2.0804438280166437E-2</v>
      </c>
      <c r="BY46" s="46">
        <f t="shared" si="81"/>
        <v>9.3984962406015032E-2</v>
      </c>
      <c r="BZ46" s="46">
        <f t="shared" si="82"/>
        <v>1.7857142857142858</v>
      </c>
      <c r="CA46" s="46">
        <f t="shared" si="83"/>
        <v>9.4936708860759486E-2</v>
      </c>
      <c r="CB46" s="46">
        <f t="shared" si="84"/>
        <v>2.0804438280166437E-2</v>
      </c>
      <c r="CC46" s="46">
        <f t="shared" si="85"/>
        <v>0</v>
      </c>
      <c r="CD46" s="45">
        <f t="shared" si="86"/>
        <v>182.73909547755093</v>
      </c>
    </row>
    <row r="47" spans="1:82" ht="14.4" x14ac:dyDescent="0.3">
      <c r="A47" s="5" t="s">
        <v>345</v>
      </c>
      <c r="B47" s="5" t="s">
        <v>266</v>
      </c>
      <c r="C47" s="4" t="s">
        <v>226</v>
      </c>
      <c r="D47" s="28">
        <v>33.4</v>
      </c>
      <c r="E47" s="16" t="s">
        <v>112</v>
      </c>
      <c r="F47" s="17">
        <f t="shared" si="28"/>
        <v>1.4999999999999999E-2</v>
      </c>
      <c r="G47" s="18">
        <f>VLOOKUP(E47,WorkingDB[],2,FALSE)</f>
        <v>0.72099999999999997</v>
      </c>
      <c r="H47" s="19">
        <f>VLOOKUP(E47,WorkingDB[],3,FALSE)</f>
        <v>840</v>
      </c>
      <c r="I47" s="19">
        <f>VLOOKUP(E47,WorkingDB[],4,FALSE)</f>
        <v>1762</v>
      </c>
      <c r="J47" s="5">
        <f>VLOOKUP(E47,WorkingDB[],5,FALSE)</f>
        <v>0</v>
      </c>
      <c r="K47" s="5">
        <f>VLOOKUP(E47,WorkingDB[],6,FALSE)</f>
        <v>0</v>
      </c>
      <c r="L47" s="44">
        <f>VLOOKUP(E47,WorkingDB[],7,FALSE)*F47+VLOOKUP(E47,CostDB[],5,FALSE)</f>
        <v>339.1</v>
      </c>
      <c r="M47" s="16" t="s">
        <v>108</v>
      </c>
      <c r="N47" s="17">
        <v>7.4999999999999997E-2</v>
      </c>
      <c r="O47" s="18">
        <f>VLOOKUP(M47,WorkingDB[],2,FALSE)</f>
        <v>0.79800000000000004</v>
      </c>
      <c r="P47" s="19">
        <f>VLOOKUP(M47,WorkingDB[],3,FALSE)</f>
        <v>880</v>
      </c>
      <c r="Q47" s="19">
        <f>VLOOKUP(M47,WorkingDB[],4,FALSE)</f>
        <v>1892</v>
      </c>
      <c r="R47" s="5">
        <f>VLOOKUP(M47,WorkingDB[],5,FALSE)</f>
        <v>0</v>
      </c>
      <c r="S47" s="5">
        <f>VLOOKUP(M47,WorkingDB[],6,FALSE)</f>
        <v>0</v>
      </c>
      <c r="T47" s="44">
        <f>VLOOKUP(M47,WorkingDB[],7,FALSE)*N47+VLOOKUP(M47,CostDB[],5,FALSE)</f>
        <v>549.04999999999995</v>
      </c>
      <c r="U47" s="16" t="s">
        <v>237</v>
      </c>
      <c r="V47" s="17">
        <v>7.4999999999999997E-2</v>
      </c>
      <c r="W47" s="18">
        <f>VLOOKUP(U47,WorkingDB[],2,FALSE)</f>
        <v>2.8000000000000001E-2</v>
      </c>
      <c r="X47" s="19">
        <f>VLOOKUP(U47,WorkingDB[],3,FALSE)</f>
        <v>1213</v>
      </c>
      <c r="Y47" s="19">
        <f>VLOOKUP(U47,WorkingDB[],4,FALSE)</f>
        <v>35</v>
      </c>
      <c r="Z47" s="5">
        <f>VLOOKUP(U47,WorkingDB[],5,FALSE)</f>
        <v>0</v>
      </c>
      <c r="AA47" s="5">
        <f>VLOOKUP(U47,WorkingDB[],6,FALSE)</f>
        <v>0</v>
      </c>
      <c r="AB47" s="44">
        <f>VLOOKUP(U47,WorkingDB[],7,FALSE)*V47+VLOOKUP(U47,CostDB[],5,FALSE)</f>
        <v>1125.6500000000001</v>
      </c>
      <c r="AC47" s="16" t="s">
        <v>107</v>
      </c>
      <c r="AD47" s="17">
        <v>0.15</v>
      </c>
      <c r="AE47" s="18">
        <f>VLOOKUP(AC47,WorkingDB[],2,FALSE)</f>
        <v>1.58</v>
      </c>
      <c r="AF47" s="19">
        <f>VLOOKUP(AC47,WorkingDB[],3,FALSE)</f>
        <v>880</v>
      </c>
      <c r="AG47" s="19">
        <f>VLOOKUP(AC47,WorkingDB[],4,FALSE)</f>
        <v>2288</v>
      </c>
      <c r="AH47" s="5">
        <f>VLOOKUP(AC47,WorkingDB[],5,FALSE)</f>
        <v>0</v>
      </c>
      <c r="AI47" s="5">
        <f>VLOOKUP(AC47,WorkingDB[],6,FALSE)</f>
        <v>0</v>
      </c>
      <c r="AJ47" s="44">
        <f>VLOOKUP(AC47,WorkingDB[],7,FALSE)*AD47+VLOOKUP(AC47,CostDB[],5,FALSE)</f>
        <v>2374.4449999999997</v>
      </c>
      <c r="AK47" s="16" t="s">
        <v>112</v>
      </c>
      <c r="AL47" s="17">
        <f t="shared" si="64"/>
        <v>1.4999999999999999E-2</v>
      </c>
      <c r="AM47" s="18">
        <f>VLOOKUP(AK47,WorkingDB[],2,FALSE)</f>
        <v>0.72099999999999997</v>
      </c>
      <c r="AN47" s="19">
        <f>VLOOKUP(AK47,WorkingDB[],3,FALSE)</f>
        <v>840</v>
      </c>
      <c r="AO47" s="19">
        <f>VLOOKUP(AK47,WorkingDB[],4,FALSE)</f>
        <v>1762</v>
      </c>
      <c r="AP47" s="5">
        <f>VLOOKUP(AK47,WorkingDB[],5,FALSE)</f>
        <v>0</v>
      </c>
      <c r="AQ47" s="5">
        <f>VLOOKUP(AK47,WorkingDB[],6,FALSE)</f>
        <v>0</v>
      </c>
      <c r="AR47" s="44">
        <f>VLOOKUP(AK47,WorkingDB[],7,FALSE)*AL47+VLOOKUP(AK47,CostDB[],5,FALSE)</f>
        <v>339.1</v>
      </c>
      <c r="AS47" s="16" t="s">
        <v>90</v>
      </c>
      <c r="AT47" s="17">
        <v>0</v>
      </c>
      <c r="AU47" s="18">
        <f>VLOOKUP(AS47,WorkingDB[],2,FALSE)</f>
        <v>0</v>
      </c>
      <c r="AV47" s="19">
        <f>VLOOKUP(AS47,WorkingDB[],3,FALSE)</f>
        <v>0</v>
      </c>
      <c r="AW47" s="19">
        <f>VLOOKUP(AS47,WorkingDB[],4,FALSE)</f>
        <v>0</v>
      </c>
      <c r="AX47" s="5">
        <f>VLOOKUP(AS47,WorkingDB[],5,FALSE)</f>
        <v>0</v>
      </c>
      <c r="AY47" s="5">
        <f>VLOOKUP(AS47,WorkingDB[],6,FALSE)</f>
        <v>0</v>
      </c>
      <c r="AZ47" s="44" t="e">
        <f>VLOOKUP(AS47,WorkingDB[],7,FALSE)*AT47+VLOOKUP(AS47,CostDB[],5,FALSE)</f>
        <v>#N/A</v>
      </c>
      <c r="BA47" s="27">
        <v>9.3086381369319291</v>
      </c>
      <c r="BB47" s="20">
        <f t="shared" si="65"/>
        <v>0.32999999999999996</v>
      </c>
      <c r="BC47" s="18">
        <f t="shared" si="66"/>
        <v>0.32824884665198623</v>
      </c>
      <c r="BD47" s="18">
        <f t="shared" si="67"/>
        <v>0.10832211939515544</v>
      </c>
      <c r="BE47" s="19">
        <f t="shared" si="68"/>
        <v>540.58499999999992</v>
      </c>
      <c r="BF47" s="19">
        <f t="shared" si="69"/>
        <v>1638.1363636363635</v>
      </c>
      <c r="BG47" s="19">
        <f t="shared" si="70"/>
        <v>474474.52500000002</v>
      </c>
      <c r="BH47" s="19">
        <f t="shared" si="71"/>
        <v>877.70567995782369</v>
      </c>
      <c r="BI47" s="18">
        <f t="shared" si="72"/>
        <v>401.52000688185552</v>
      </c>
      <c r="BJ47" s="22">
        <f t="shared" si="73"/>
        <v>7.5338711599745617E-8</v>
      </c>
      <c r="BK47" s="23">
        <f t="shared" si="40"/>
        <v>2.7121936175908423E-4</v>
      </c>
      <c r="BL47" s="19">
        <f t="shared" si="29"/>
        <v>4727.3450000000003</v>
      </c>
      <c r="BM47" s="18"/>
      <c r="BP47" s="20">
        <f t="shared" si="2"/>
        <v>439.3443308550186</v>
      </c>
      <c r="BR47" s="45">
        <f t="shared" si="74"/>
        <v>22201.200000000001</v>
      </c>
      <c r="BS47" s="45">
        <f t="shared" si="75"/>
        <v>124872</v>
      </c>
      <c r="BT47" s="45">
        <f t="shared" si="76"/>
        <v>3184.125</v>
      </c>
      <c r="BU47" s="45">
        <f t="shared" si="77"/>
        <v>302016</v>
      </c>
      <c r="BV47" s="45">
        <f t="shared" si="78"/>
        <v>22201.200000000001</v>
      </c>
      <c r="BW47" s="45">
        <f t="shared" si="79"/>
        <v>0</v>
      </c>
      <c r="BX47" s="46">
        <f t="shared" si="80"/>
        <v>2.0804438280166437E-2</v>
      </c>
      <c r="BY47" s="46">
        <f t="shared" si="81"/>
        <v>9.3984962406015032E-2</v>
      </c>
      <c r="BZ47" s="46">
        <f t="shared" si="82"/>
        <v>2.6785714285714284</v>
      </c>
      <c r="CA47" s="46">
        <f t="shared" si="83"/>
        <v>9.4936708860759486E-2</v>
      </c>
      <c r="CB47" s="46">
        <f t="shared" si="84"/>
        <v>2.0804438280166437E-2</v>
      </c>
      <c r="CC47" s="46">
        <f t="shared" si="85"/>
        <v>0</v>
      </c>
      <c r="CD47" s="45">
        <f t="shared" si="86"/>
        <v>263.85087208224729</v>
      </c>
    </row>
    <row r="48" spans="1:82" ht="14.4" x14ac:dyDescent="0.3">
      <c r="A48" s="5" t="s">
        <v>346</v>
      </c>
      <c r="B48" s="5" t="s">
        <v>267</v>
      </c>
      <c r="C48" s="4" t="s">
        <v>226</v>
      </c>
      <c r="D48" s="28">
        <v>33.4</v>
      </c>
      <c r="E48" s="16" t="s">
        <v>112</v>
      </c>
      <c r="F48" s="17">
        <f t="shared" si="28"/>
        <v>1.4999999999999999E-2</v>
      </c>
      <c r="G48" s="18">
        <f>VLOOKUP(E48,WorkingDB[],2,FALSE)</f>
        <v>0.72099999999999997</v>
      </c>
      <c r="H48" s="19">
        <f>VLOOKUP(E48,WorkingDB[],3,FALSE)</f>
        <v>840</v>
      </c>
      <c r="I48" s="19">
        <f>VLOOKUP(E48,WorkingDB[],4,FALSE)</f>
        <v>1762</v>
      </c>
      <c r="J48" s="5">
        <f>VLOOKUP(E48,WorkingDB[],5,FALSE)</f>
        <v>0</v>
      </c>
      <c r="K48" s="5">
        <f>VLOOKUP(E48,WorkingDB[],6,FALSE)</f>
        <v>0</v>
      </c>
      <c r="L48" s="44">
        <f>VLOOKUP(E48,WorkingDB[],7,FALSE)*F48+VLOOKUP(E48,CostDB[],5,FALSE)</f>
        <v>339.1</v>
      </c>
      <c r="M48" s="16" t="s">
        <v>108</v>
      </c>
      <c r="N48" s="17">
        <v>7.4999999999999997E-2</v>
      </c>
      <c r="O48" s="18">
        <f>VLOOKUP(M48,WorkingDB[],2,FALSE)</f>
        <v>0.79800000000000004</v>
      </c>
      <c r="P48" s="19">
        <f>VLOOKUP(M48,WorkingDB[],3,FALSE)</f>
        <v>880</v>
      </c>
      <c r="Q48" s="19">
        <f>VLOOKUP(M48,WorkingDB[],4,FALSE)</f>
        <v>1892</v>
      </c>
      <c r="R48" s="5">
        <f>VLOOKUP(M48,WorkingDB[],5,FALSE)</f>
        <v>0</v>
      </c>
      <c r="S48" s="5">
        <f>VLOOKUP(M48,WorkingDB[],6,FALSE)</f>
        <v>0</v>
      </c>
      <c r="T48" s="44">
        <f>VLOOKUP(M48,WorkingDB[],7,FALSE)*N48+VLOOKUP(M48,CostDB[],5,FALSE)</f>
        <v>549.04999999999995</v>
      </c>
      <c r="U48" s="16" t="s">
        <v>237</v>
      </c>
      <c r="V48" s="17">
        <v>0.1</v>
      </c>
      <c r="W48" s="18">
        <f>VLOOKUP(U48,WorkingDB[],2,FALSE)</f>
        <v>2.8000000000000001E-2</v>
      </c>
      <c r="X48" s="19">
        <f>VLOOKUP(U48,WorkingDB[],3,FALSE)</f>
        <v>1213</v>
      </c>
      <c r="Y48" s="19">
        <f>VLOOKUP(U48,WorkingDB[],4,FALSE)</f>
        <v>35</v>
      </c>
      <c r="Z48" s="5">
        <f>VLOOKUP(U48,WorkingDB[],5,FALSE)</f>
        <v>0</v>
      </c>
      <c r="AA48" s="5">
        <f>VLOOKUP(U48,WorkingDB[],6,FALSE)</f>
        <v>0</v>
      </c>
      <c r="AB48" s="44">
        <f>VLOOKUP(U48,WorkingDB[],7,FALSE)*V48+VLOOKUP(U48,CostDB[],5,FALSE)</f>
        <v>1400.65</v>
      </c>
      <c r="AC48" s="16" t="s">
        <v>107</v>
      </c>
      <c r="AD48" s="17">
        <v>0.15</v>
      </c>
      <c r="AE48" s="18">
        <f>VLOOKUP(AC48,WorkingDB[],2,FALSE)</f>
        <v>1.58</v>
      </c>
      <c r="AF48" s="19">
        <f>VLOOKUP(AC48,WorkingDB[],3,FALSE)</f>
        <v>880</v>
      </c>
      <c r="AG48" s="19">
        <f>VLOOKUP(AC48,WorkingDB[],4,FALSE)</f>
        <v>2288</v>
      </c>
      <c r="AH48" s="5">
        <f>VLOOKUP(AC48,WorkingDB[],5,FALSE)</f>
        <v>0</v>
      </c>
      <c r="AI48" s="5">
        <f>VLOOKUP(AC48,WorkingDB[],6,FALSE)</f>
        <v>0</v>
      </c>
      <c r="AJ48" s="44">
        <f>VLOOKUP(AC48,WorkingDB[],7,FALSE)*AD48+VLOOKUP(AC48,CostDB[],5,FALSE)</f>
        <v>2374.4449999999997</v>
      </c>
      <c r="AK48" s="16" t="s">
        <v>112</v>
      </c>
      <c r="AL48" s="17">
        <f t="shared" si="64"/>
        <v>1.4999999999999999E-2</v>
      </c>
      <c r="AM48" s="18">
        <f>VLOOKUP(AK48,WorkingDB[],2,FALSE)</f>
        <v>0.72099999999999997</v>
      </c>
      <c r="AN48" s="19">
        <f>VLOOKUP(AK48,WorkingDB[],3,FALSE)</f>
        <v>840</v>
      </c>
      <c r="AO48" s="19">
        <f>VLOOKUP(AK48,WorkingDB[],4,FALSE)</f>
        <v>1762</v>
      </c>
      <c r="AP48" s="5">
        <f>VLOOKUP(AK48,WorkingDB[],5,FALSE)</f>
        <v>0</v>
      </c>
      <c r="AQ48" s="5">
        <f>VLOOKUP(AK48,WorkingDB[],6,FALSE)</f>
        <v>0</v>
      </c>
      <c r="AR48" s="44">
        <f>VLOOKUP(AK48,WorkingDB[],7,FALSE)*AL48+VLOOKUP(AK48,CostDB[],5,FALSE)</f>
        <v>339.1</v>
      </c>
      <c r="AS48" s="16" t="s">
        <v>90</v>
      </c>
      <c r="AT48" s="17">
        <v>0</v>
      </c>
      <c r="AU48" s="18">
        <f>VLOOKUP(AS48,WorkingDB[],2,FALSE)</f>
        <v>0</v>
      </c>
      <c r="AV48" s="19">
        <f>VLOOKUP(AS48,WorkingDB[],3,FALSE)</f>
        <v>0</v>
      </c>
      <c r="AW48" s="19">
        <f>VLOOKUP(AS48,WorkingDB[],4,FALSE)</f>
        <v>0</v>
      </c>
      <c r="AX48" s="5">
        <f>VLOOKUP(AS48,WorkingDB[],5,FALSE)</f>
        <v>0</v>
      </c>
      <c r="AY48" s="5">
        <f>VLOOKUP(AS48,WorkingDB[],6,FALSE)</f>
        <v>0</v>
      </c>
      <c r="AZ48" s="44" t="e">
        <f>VLOOKUP(AS48,WorkingDB[],7,FALSE)*AT48+VLOOKUP(AS48,CostDB[],5,FALSE)</f>
        <v>#N/A</v>
      </c>
      <c r="BA48" s="27">
        <v>9.3086381369319291</v>
      </c>
      <c r="BB48" s="20">
        <f t="shared" si="65"/>
        <v>0.35499999999999998</v>
      </c>
      <c r="BC48" s="18">
        <f t="shared" si="66"/>
        <v>0.25385050994524838</v>
      </c>
      <c r="BD48" s="18">
        <f t="shared" si="67"/>
        <v>9.0116931030563174E-2</v>
      </c>
      <c r="BE48" s="19">
        <f t="shared" si="68"/>
        <v>541.45999999999992</v>
      </c>
      <c r="BF48" s="19">
        <f t="shared" si="69"/>
        <v>1525.2394366197182</v>
      </c>
      <c r="BG48" s="19">
        <f t="shared" si="70"/>
        <v>475535.9</v>
      </c>
      <c r="BH48" s="19">
        <f t="shared" si="71"/>
        <v>878.24751597532611</v>
      </c>
      <c r="BI48" s="18">
        <f t="shared" si="72"/>
        <v>520.35863778270937</v>
      </c>
      <c r="BJ48" s="22">
        <f t="shared" si="73"/>
        <v>6.7274648487842715E-8</v>
      </c>
      <c r="BK48" s="23">
        <f t="shared" si="40"/>
        <v>2.4218873455623377E-4</v>
      </c>
      <c r="BL48" s="19">
        <f t="shared" si="29"/>
        <v>5002.3450000000003</v>
      </c>
      <c r="BM48" s="18"/>
      <c r="BP48" s="20">
        <f t="shared" si="2"/>
        <v>464.90195167286248</v>
      </c>
      <c r="BR48" s="45">
        <f t="shared" si="74"/>
        <v>22201.200000000001</v>
      </c>
      <c r="BS48" s="45">
        <f t="shared" si="75"/>
        <v>124872</v>
      </c>
      <c r="BT48" s="45">
        <f t="shared" si="76"/>
        <v>4245.5</v>
      </c>
      <c r="BU48" s="45">
        <f t="shared" si="77"/>
        <v>302016</v>
      </c>
      <c r="BV48" s="45">
        <f t="shared" si="78"/>
        <v>22201.200000000001</v>
      </c>
      <c r="BW48" s="45">
        <f t="shared" si="79"/>
        <v>0</v>
      </c>
      <c r="BX48" s="46">
        <f t="shared" si="80"/>
        <v>2.0804438280166437E-2</v>
      </c>
      <c r="BY48" s="46">
        <f t="shared" si="81"/>
        <v>9.3984962406015032E-2</v>
      </c>
      <c r="BZ48" s="46">
        <f t="shared" si="82"/>
        <v>3.5714285714285716</v>
      </c>
      <c r="CA48" s="46">
        <f t="shared" si="83"/>
        <v>9.4936708860759486E-2</v>
      </c>
      <c r="CB48" s="46">
        <f t="shared" si="84"/>
        <v>2.0804438280166437E-2</v>
      </c>
      <c r="CC48" s="46">
        <f t="shared" si="85"/>
        <v>0</v>
      </c>
      <c r="CD48" s="45">
        <f t="shared" si="86"/>
        <v>345.22588653416585</v>
      </c>
    </row>
    <row r="49" spans="1:82" ht="14.4" x14ac:dyDescent="0.3">
      <c r="A49" s="5" t="s">
        <v>347</v>
      </c>
      <c r="B49" s="5" t="s">
        <v>268</v>
      </c>
      <c r="C49" s="4" t="s">
        <v>226</v>
      </c>
      <c r="D49" s="28">
        <v>33.4</v>
      </c>
      <c r="E49" s="16" t="s">
        <v>112</v>
      </c>
      <c r="F49" s="17">
        <f t="shared" si="28"/>
        <v>1.4999999999999999E-2</v>
      </c>
      <c r="G49" s="18">
        <f>VLOOKUP(E49,WorkingDB[],2,FALSE)</f>
        <v>0.72099999999999997</v>
      </c>
      <c r="H49" s="19">
        <f>VLOOKUP(E49,WorkingDB[],3,FALSE)</f>
        <v>840</v>
      </c>
      <c r="I49" s="19">
        <f>VLOOKUP(E49,WorkingDB[],4,FALSE)</f>
        <v>1762</v>
      </c>
      <c r="J49" s="5">
        <f>VLOOKUP(E49,WorkingDB[],5,FALSE)</f>
        <v>0</v>
      </c>
      <c r="K49" s="5">
        <f>VLOOKUP(E49,WorkingDB[],6,FALSE)</f>
        <v>0</v>
      </c>
      <c r="L49" s="44">
        <f>VLOOKUP(E49,WorkingDB[],7,FALSE)*F49+VLOOKUP(E49,CostDB[],5,FALSE)</f>
        <v>339.1</v>
      </c>
      <c r="M49" s="16" t="s">
        <v>108</v>
      </c>
      <c r="N49" s="17">
        <v>7.4999999999999997E-2</v>
      </c>
      <c r="O49" s="18">
        <f>VLOOKUP(M49,WorkingDB[],2,FALSE)</f>
        <v>0.79800000000000004</v>
      </c>
      <c r="P49" s="19">
        <f>VLOOKUP(M49,WorkingDB[],3,FALSE)</f>
        <v>880</v>
      </c>
      <c r="Q49" s="19">
        <f>VLOOKUP(M49,WorkingDB[],4,FALSE)</f>
        <v>1892</v>
      </c>
      <c r="R49" s="5">
        <f>VLOOKUP(M49,WorkingDB[],5,FALSE)</f>
        <v>0</v>
      </c>
      <c r="S49" s="5">
        <f>VLOOKUP(M49,WorkingDB[],6,FALSE)</f>
        <v>0</v>
      </c>
      <c r="T49" s="44">
        <f>VLOOKUP(M49,WorkingDB[],7,FALSE)*N49+VLOOKUP(M49,CostDB[],5,FALSE)</f>
        <v>549.04999999999995</v>
      </c>
      <c r="U49" s="16" t="s">
        <v>397</v>
      </c>
      <c r="V49" s="17">
        <v>2.5000000000000001E-2</v>
      </c>
      <c r="W49" s="18">
        <f>VLOOKUP(U49,WorkingDB[],2,FALSE)</f>
        <v>2.5999999999999999E-2</v>
      </c>
      <c r="X49" s="19">
        <f>VLOOKUP(U49,WorkingDB[],3,FALSE)</f>
        <v>1590</v>
      </c>
      <c r="Y49" s="19">
        <f>VLOOKUP(U49,WorkingDB[],4,FALSE)</f>
        <v>40</v>
      </c>
      <c r="Z49" s="5">
        <f>VLOOKUP(U49,WorkingDB[],5,FALSE)</f>
        <v>0</v>
      </c>
      <c r="AA49" s="5">
        <f>VLOOKUP(U49,WorkingDB[],6,FALSE)</f>
        <v>0</v>
      </c>
      <c r="AB49" s="44">
        <f>VLOOKUP(U49,WorkingDB[],7,FALSE)*V49+VLOOKUP(U49,CostDB[],5,FALSE)</f>
        <v>1218.625</v>
      </c>
      <c r="AC49" s="16" t="s">
        <v>107</v>
      </c>
      <c r="AD49" s="17">
        <v>0.15</v>
      </c>
      <c r="AE49" s="18">
        <f>VLOOKUP(AC49,WorkingDB[],2,FALSE)</f>
        <v>1.58</v>
      </c>
      <c r="AF49" s="19">
        <f>VLOOKUP(AC49,WorkingDB[],3,FALSE)</f>
        <v>880</v>
      </c>
      <c r="AG49" s="19">
        <f>VLOOKUP(AC49,WorkingDB[],4,FALSE)</f>
        <v>2288</v>
      </c>
      <c r="AH49" s="5">
        <f>VLOOKUP(AC49,WorkingDB[],5,FALSE)</f>
        <v>0</v>
      </c>
      <c r="AI49" s="5">
        <f>VLOOKUP(AC49,WorkingDB[],6,FALSE)</f>
        <v>0</v>
      </c>
      <c r="AJ49" s="44">
        <f>VLOOKUP(AC49,WorkingDB[],7,FALSE)*AD49+VLOOKUP(AC49,CostDB[],5,FALSE)</f>
        <v>2374.4449999999997</v>
      </c>
      <c r="AK49" s="16" t="s">
        <v>112</v>
      </c>
      <c r="AL49" s="17">
        <f t="shared" si="64"/>
        <v>1.4999999999999999E-2</v>
      </c>
      <c r="AM49" s="18">
        <f>VLOOKUP(AK49,WorkingDB[],2,FALSE)</f>
        <v>0.72099999999999997</v>
      </c>
      <c r="AN49" s="19">
        <f>VLOOKUP(AK49,WorkingDB[],3,FALSE)</f>
        <v>840</v>
      </c>
      <c r="AO49" s="19">
        <f>VLOOKUP(AK49,WorkingDB[],4,FALSE)</f>
        <v>1762</v>
      </c>
      <c r="AP49" s="5">
        <f>VLOOKUP(AK49,WorkingDB[],5,FALSE)</f>
        <v>0</v>
      </c>
      <c r="AQ49" s="5">
        <f>VLOOKUP(AK49,WorkingDB[],6,FALSE)</f>
        <v>0</v>
      </c>
      <c r="AR49" s="44">
        <f>VLOOKUP(AK49,WorkingDB[],7,FALSE)*AL49+VLOOKUP(AK49,CostDB[],5,FALSE)</f>
        <v>339.1</v>
      </c>
      <c r="AS49" s="16" t="s">
        <v>90</v>
      </c>
      <c r="AT49" s="17">
        <v>0</v>
      </c>
      <c r="AU49" s="18">
        <f>VLOOKUP(AS49,WorkingDB[],2,FALSE)</f>
        <v>0</v>
      </c>
      <c r="AV49" s="19">
        <f>VLOOKUP(AS49,WorkingDB[],3,FALSE)</f>
        <v>0</v>
      </c>
      <c r="AW49" s="19">
        <f>VLOOKUP(AS49,WorkingDB[],4,FALSE)</f>
        <v>0</v>
      </c>
      <c r="AX49" s="5">
        <f>VLOOKUP(AS49,WorkingDB[],5,FALSE)</f>
        <v>0</v>
      </c>
      <c r="AY49" s="5">
        <f>VLOOKUP(AS49,WorkingDB[],6,FALSE)</f>
        <v>0</v>
      </c>
      <c r="AZ49" s="44" t="e">
        <f>VLOOKUP(AS49,WorkingDB[],7,FALSE)*AT49+VLOOKUP(AS49,CostDB[],5,FALSE)</f>
        <v>#N/A</v>
      </c>
      <c r="BA49" s="27">
        <v>9.3086381369319291</v>
      </c>
      <c r="BB49" s="20">
        <f t="shared" si="65"/>
        <v>0.28000000000000003</v>
      </c>
      <c r="BC49" s="18">
        <f t="shared" si="66"/>
        <v>0.75219854709193934</v>
      </c>
      <c r="BD49" s="18">
        <f t="shared" si="67"/>
        <v>0.21061559318574302</v>
      </c>
      <c r="BE49" s="19">
        <f t="shared" si="68"/>
        <v>538.95999999999992</v>
      </c>
      <c r="BF49" s="19">
        <f t="shared" si="69"/>
        <v>1924.8571428571424</v>
      </c>
      <c r="BG49" s="19">
        <f t="shared" si="70"/>
        <v>472880.4</v>
      </c>
      <c r="BH49" s="19">
        <f t="shared" si="71"/>
        <v>877.39424075998238</v>
      </c>
      <c r="BI49" s="18">
        <f t="shared" si="72"/>
        <v>174.6289821676715</v>
      </c>
      <c r="BJ49" s="22">
        <f t="shared" si="73"/>
        <v>1.2470883989272562E-7</v>
      </c>
      <c r="BK49" s="23">
        <f t="shared" si="40"/>
        <v>4.4895182361381225E-4</v>
      </c>
      <c r="BL49" s="19">
        <f t="shared" si="29"/>
        <v>4820.32</v>
      </c>
      <c r="BM49" s="18"/>
      <c r="BP49" s="20">
        <f t="shared" si="2"/>
        <v>447.98513011152414</v>
      </c>
      <c r="BR49" s="45">
        <f t="shared" si="74"/>
        <v>22201.200000000001</v>
      </c>
      <c r="BS49" s="45">
        <f t="shared" si="75"/>
        <v>124872</v>
      </c>
      <c r="BT49" s="45">
        <f t="shared" si="76"/>
        <v>1590</v>
      </c>
      <c r="BU49" s="45">
        <f t="shared" si="77"/>
        <v>302016</v>
      </c>
      <c r="BV49" s="45">
        <f t="shared" si="78"/>
        <v>22201.200000000001</v>
      </c>
      <c r="BW49" s="45">
        <f t="shared" si="79"/>
        <v>0</v>
      </c>
      <c r="BX49" s="46">
        <f t="shared" si="80"/>
        <v>2.0804438280166437E-2</v>
      </c>
      <c r="BY49" s="46">
        <f t="shared" si="81"/>
        <v>9.3984962406015032E-2</v>
      </c>
      <c r="BZ49" s="46">
        <f t="shared" si="82"/>
        <v>0.96153846153846168</v>
      </c>
      <c r="CA49" s="46">
        <f t="shared" si="83"/>
        <v>9.4936708860759486E-2</v>
      </c>
      <c r="CB49" s="46">
        <f t="shared" si="84"/>
        <v>2.0804438280166437E-2</v>
      </c>
      <c r="CC49" s="46">
        <f t="shared" si="85"/>
        <v>0</v>
      </c>
      <c r="CD49" s="45">
        <f t="shared" si="86"/>
        <v>108.17799211725294</v>
      </c>
    </row>
    <row r="50" spans="1:82" ht="14.4" x14ac:dyDescent="0.3">
      <c r="A50" s="5" t="s">
        <v>348</v>
      </c>
      <c r="B50" s="5" t="s">
        <v>269</v>
      </c>
      <c r="C50" s="4" t="s">
        <v>226</v>
      </c>
      <c r="D50" s="28">
        <v>33.4</v>
      </c>
      <c r="E50" s="16" t="s">
        <v>112</v>
      </c>
      <c r="F50" s="17">
        <f t="shared" si="28"/>
        <v>1.4999999999999999E-2</v>
      </c>
      <c r="G50" s="18">
        <f>VLOOKUP(E50,WorkingDB[],2,FALSE)</f>
        <v>0.72099999999999997</v>
      </c>
      <c r="H50" s="19">
        <f>VLOOKUP(E50,WorkingDB[],3,FALSE)</f>
        <v>840</v>
      </c>
      <c r="I50" s="19">
        <f>VLOOKUP(E50,WorkingDB[],4,FALSE)</f>
        <v>1762</v>
      </c>
      <c r="J50" s="5">
        <f>VLOOKUP(E50,WorkingDB[],5,FALSE)</f>
        <v>0</v>
      </c>
      <c r="K50" s="5">
        <f>VLOOKUP(E50,WorkingDB[],6,FALSE)</f>
        <v>0</v>
      </c>
      <c r="L50" s="44">
        <f>VLOOKUP(E50,WorkingDB[],7,FALSE)*F50+VLOOKUP(E50,CostDB[],5,FALSE)</f>
        <v>339.1</v>
      </c>
      <c r="M50" s="16" t="s">
        <v>108</v>
      </c>
      <c r="N50" s="17">
        <v>7.4999999999999997E-2</v>
      </c>
      <c r="O50" s="18">
        <f>VLOOKUP(M50,WorkingDB[],2,FALSE)</f>
        <v>0.79800000000000004</v>
      </c>
      <c r="P50" s="19">
        <f>VLOOKUP(M50,WorkingDB[],3,FALSE)</f>
        <v>880</v>
      </c>
      <c r="Q50" s="19">
        <f>VLOOKUP(M50,WorkingDB[],4,FALSE)</f>
        <v>1892</v>
      </c>
      <c r="R50" s="5">
        <f>VLOOKUP(M50,WorkingDB[],5,FALSE)</f>
        <v>0</v>
      </c>
      <c r="S50" s="5">
        <f>VLOOKUP(M50,WorkingDB[],6,FALSE)</f>
        <v>0</v>
      </c>
      <c r="T50" s="44">
        <f>VLOOKUP(M50,WorkingDB[],7,FALSE)*N50+VLOOKUP(M50,CostDB[],5,FALSE)</f>
        <v>549.04999999999995</v>
      </c>
      <c r="U50" s="16" t="s">
        <v>397</v>
      </c>
      <c r="V50" s="17">
        <v>0.05</v>
      </c>
      <c r="W50" s="18">
        <f>VLOOKUP(U50,WorkingDB[],2,FALSE)</f>
        <v>2.5999999999999999E-2</v>
      </c>
      <c r="X50" s="19">
        <f>VLOOKUP(U50,WorkingDB[],3,FALSE)</f>
        <v>1590</v>
      </c>
      <c r="Y50" s="19">
        <f>VLOOKUP(U50,WorkingDB[],4,FALSE)</f>
        <v>40</v>
      </c>
      <c r="Z50" s="5">
        <f>VLOOKUP(U50,WorkingDB[],5,FALSE)</f>
        <v>0</v>
      </c>
      <c r="AA50" s="5">
        <f>VLOOKUP(U50,WorkingDB[],6,FALSE)</f>
        <v>0</v>
      </c>
      <c r="AB50" s="44">
        <f>VLOOKUP(U50,WorkingDB[],7,FALSE)*V50+VLOOKUP(U50,CostDB[],5,FALSE)</f>
        <v>1459.25</v>
      </c>
      <c r="AC50" s="16" t="s">
        <v>107</v>
      </c>
      <c r="AD50" s="17">
        <v>0.15</v>
      </c>
      <c r="AE50" s="18">
        <f>VLOOKUP(AC50,WorkingDB[],2,FALSE)</f>
        <v>1.58</v>
      </c>
      <c r="AF50" s="19">
        <f>VLOOKUP(AC50,WorkingDB[],3,FALSE)</f>
        <v>880</v>
      </c>
      <c r="AG50" s="19">
        <f>VLOOKUP(AC50,WorkingDB[],4,FALSE)</f>
        <v>2288</v>
      </c>
      <c r="AH50" s="5">
        <f>VLOOKUP(AC50,WorkingDB[],5,FALSE)</f>
        <v>0</v>
      </c>
      <c r="AI50" s="5">
        <f>VLOOKUP(AC50,WorkingDB[],6,FALSE)</f>
        <v>0</v>
      </c>
      <c r="AJ50" s="44">
        <f>VLOOKUP(AC50,WorkingDB[],7,FALSE)*AD50+VLOOKUP(AC50,CostDB[],5,FALSE)</f>
        <v>2374.4449999999997</v>
      </c>
      <c r="AK50" s="16" t="s">
        <v>112</v>
      </c>
      <c r="AL50" s="17">
        <f t="shared" si="64"/>
        <v>1.4999999999999999E-2</v>
      </c>
      <c r="AM50" s="18">
        <f>VLOOKUP(AK50,WorkingDB[],2,FALSE)</f>
        <v>0.72099999999999997</v>
      </c>
      <c r="AN50" s="19">
        <f>VLOOKUP(AK50,WorkingDB[],3,FALSE)</f>
        <v>840</v>
      </c>
      <c r="AO50" s="19">
        <f>VLOOKUP(AK50,WorkingDB[],4,FALSE)</f>
        <v>1762</v>
      </c>
      <c r="AP50" s="5">
        <f>VLOOKUP(AK50,WorkingDB[],5,FALSE)</f>
        <v>0</v>
      </c>
      <c r="AQ50" s="5">
        <f>VLOOKUP(AK50,WorkingDB[],6,FALSE)</f>
        <v>0</v>
      </c>
      <c r="AR50" s="44">
        <f>VLOOKUP(AK50,WorkingDB[],7,FALSE)*AL50+VLOOKUP(AK50,CostDB[],5,FALSE)</f>
        <v>339.1</v>
      </c>
      <c r="AS50" s="16" t="s">
        <v>90</v>
      </c>
      <c r="AT50" s="17">
        <v>0</v>
      </c>
      <c r="AU50" s="18">
        <f>VLOOKUP(AS50,WorkingDB[],2,FALSE)</f>
        <v>0</v>
      </c>
      <c r="AV50" s="19">
        <f>VLOOKUP(AS50,WorkingDB[],3,FALSE)</f>
        <v>0</v>
      </c>
      <c r="AW50" s="19">
        <f>VLOOKUP(AS50,WorkingDB[],4,FALSE)</f>
        <v>0</v>
      </c>
      <c r="AX50" s="5">
        <f>VLOOKUP(AS50,WorkingDB[],5,FALSE)</f>
        <v>0</v>
      </c>
      <c r="AY50" s="5">
        <f>VLOOKUP(AS50,WorkingDB[],6,FALSE)</f>
        <v>0</v>
      </c>
      <c r="AZ50" s="44" t="e">
        <f>VLOOKUP(AS50,WorkingDB[],7,FALSE)*AT50+VLOOKUP(AS50,CostDB[],5,FALSE)</f>
        <v>#N/A</v>
      </c>
      <c r="BA50" s="27">
        <v>9.3086381369319291</v>
      </c>
      <c r="BB50" s="20">
        <f t="shared" si="65"/>
        <v>0.30500000000000005</v>
      </c>
      <c r="BC50" s="18">
        <f t="shared" si="66"/>
        <v>0.43649543754232589</v>
      </c>
      <c r="BD50" s="18">
        <f t="shared" si="67"/>
        <v>0.13313110845040943</v>
      </c>
      <c r="BE50" s="19">
        <f t="shared" si="68"/>
        <v>539.95999999999992</v>
      </c>
      <c r="BF50" s="19">
        <f t="shared" si="69"/>
        <v>1770.3606557377043</v>
      </c>
      <c r="BG50" s="19">
        <f t="shared" si="70"/>
        <v>474470.40000000002</v>
      </c>
      <c r="BH50" s="19">
        <f t="shared" si="71"/>
        <v>878.7139788132456</v>
      </c>
      <c r="BI50" s="18">
        <f t="shared" si="72"/>
        <v>301.94435496374058</v>
      </c>
      <c r="BJ50" s="22">
        <f t="shared" si="73"/>
        <v>8.5579602178291596E-8</v>
      </c>
      <c r="BK50" s="23">
        <f t="shared" si="40"/>
        <v>3.0808656784184977E-4</v>
      </c>
      <c r="BL50" s="19">
        <f t="shared" si="29"/>
        <v>5060.9449999999997</v>
      </c>
      <c r="BM50" s="18"/>
      <c r="BP50" s="20">
        <f t="shared" si="2"/>
        <v>470.34804832713752</v>
      </c>
      <c r="BR50" s="45">
        <f t="shared" si="74"/>
        <v>22201.200000000001</v>
      </c>
      <c r="BS50" s="45">
        <f t="shared" si="75"/>
        <v>124872</v>
      </c>
      <c r="BT50" s="45">
        <f t="shared" si="76"/>
        <v>3180</v>
      </c>
      <c r="BU50" s="45">
        <f t="shared" si="77"/>
        <v>302016</v>
      </c>
      <c r="BV50" s="45">
        <f t="shared" si="78"/>
        <v>22201.200000000001</v>
      </c>
      <c r="BW50" s="45">
        <f t="shared" si="79"/>
        <v>0</v>
      </c>
      <c r="BX50" s="46">
        <f t="shared" si="80"/>
        <v>2.0804438280166437E-2</v>
      </c>
      <c r="BY50" s="46">
        <f t="shared" si="81"/>
        <v>9.3984962406015032E-2</v>
      </c>
      <c r="BZ50" s="46">
        <f t="shared" si="82"/>
        <v>1.9230769230769234</v>
      </c>
      <c r="CA50" s="46">
        <f t="shared" si="83"/>
        <v>9.4936708860759486E-2</v>
      </c>
      <c r="CB50" s="46">
        <f t="shared" si="84"/>
        <v>2.0804438280166437E-2</v>
      </c>
      <c r="CC50" s="46">
        <f t="shared" si="85"/>
        <v>0</v>
      </c>
      <c r="CD50" s="45">
        <f t="shared" si="86"/>
        <v>195.47540791186043</v>
      </c>
    </row>
    <row r="51" spans="1:82" ht="14.4" x14ac:dyDescent="0.3">
      <c r="A51" s="5" t="s">
        <v>349</v>
      </c>
      <c r="B51" s="5" t="s">
        <v>270</v>
      </c>
      <c r="C51" s="4" t="s">
        <v>226</v>
      </c>
      <c r="D51" s="28">
        <v>33.4</v>
      </c>
      <c r="E51" s="16" t="s">
        <v>112</v>
      </c>
      <c r="F51" s="17">
        <f t="shared" si="28"/>
        <v>1.4999999999999999E-2</v>
      </c>
      <c r="G51" s="18">
        <f>VLOOKUP(E51,WorkingDB[],2,FALSE)</f>
        <v>0.72099999999999997</v>
      </c>
      <c r="H51" s="19">
        <f>VLOOKUP(E51,WorkingDB[],3,FALSE)</f>
        <v>840</v>
      </c>
      <c r="I51" s="19">
        <f>VLOOKUP(E51,WorkingDB[],4,FALSE)</f>
        <v>1762</v>
      </c>
      <c r="J51" s="5">
        <f>VLOOKUP(E51,WorkingDB[],5,FALSE)</f>
        <v>0</v>
      </c>
      <c r="K51" s="5">
        <f>VLOOKUP(E51,WorkingDB[],6,FALSE)</f>
        <v>0</v>
      </c>
      <c r="L51" s="44">
        <f>VLOOKUP(E51,WorkingDB[],7,FALSE)*F51+VLOOKUP(E51,CostDB[],5,FALSE)</f>
        <v>339.1</v>
      </c>
      <c r="M51" s="16" t="s">
        <v>108</v>
      </c>
      <c r="N51" s="17">
        <v>7.4999999999999997E-2</v>
      </c>
      <c r="O51" s="18">
        <f>VLOOKUP(M51,WorkingDB[],2,FALSE)</f>
        <v>0.79800000000000004</v>
      </c>
      <c r="P51" s="19">
        <f>VLOOKUP(M51,WorkingDB[],3,FALSE)</f>
        <v>880</v>
      </c>
      <c r="Q51" s="19">
        <f>VLOOKUP(M51,WorkingDB[],4,FALSE)</f>
        <v>1892</v>
      </c>
      <c r="R51" s="5">
        <f>VLOOKUP(M51,WorkingDB[],5,FALSE)</f>
        <v>0</v>
      </c>
      <c r="S51" s="5">
        <f>VLOOKUP(M51,WorkingDB[],6,FALSE)</f>
        <v>0</v>
      </c>
      <c r="T51" s="44">
        <f>VLOOKUP(M51,WorkingDB[],7,FALSE)*N51+VLOOKUP(M51,CostDB[],5,FALSE)</f>
        <v>549.04999999999995</v>
      </c>
      <c r="U51" s="16" t="s">
        <v>397</v>
      </c>
      <c r="V51" s="17">
        <v>7.4999999999999997E-2</v>
      </c>
      <c r="W51" s="18">
        <f>VLOOKUP(U51,WorkingDB[],2,FALSE)</f>
        <v>2.5999999999999999E-2</v>
      </c>
      <c r="X51" s="19">
        <f>VLOOKUP(U51,WorkingDB[],3,FALSE)</f>
        <v>1590</v>
      </c>
      <c r="Y51" s="19">
        <f>VLOOKUP(U51,WorkingDB[],4,FALSE)</f>
        <v>40</v>
      </c>
      <c r="Z51" s="5">
        <f>VLOOKUP(U51,WorkingDB[],5,FALSE)</f>
        <v>0</v>
      </c>
      <c r="AA51" s="5">
        <f>VLOOKUP(U51,WorkingDB[],6,FALSE)</f>
        <v>0</v>
      </c>
      <c r="AB51" s="44">
        <f>VLOOKUP(U51,WorkingDB[],7,FALSE)*V51+VLOOKUP(U51,CostDB[],5,FALSE)</f>
        <v>1699.875</v>
      </c>
      <c r="AC51" s="16" t="s">
        <v>107</v>
      </c>
      <c r="AD51" s="17">
        <v>0.15</v>
      </c>
      <c r="AE51" s="18">
        <f>VLOOKUP(AC51,WorkingDB[],2,FALSE)</f>
        <v>1.58</v>
      </c>
      <c r="AF51" s="19">
        <f>VLOOKUP(AC51,WorkingDB[],3,FALSE)</f>
        <v>880</v>
      </c>
      <c r="AG51" s="19">
        <f>VLOOKUP(AC51,WorkingDB[],4,FALSE)</f>
        <v>2288</v>
      </c>
      <c r="AH51" s="5">
        <f>VLOOKUP(AC51,WorkingDB[],5,FALSE)</f>
        <v>0</v>
      </c>
      <c r="AI51" s="5">
        <f>VLOOKUP(AC51,WorkingDB[],6,FALSE)</f>
        <v>0</v>
      </c>
      <c r="AJ51" s="44">
        <f>VLOOKUP(AC51,WorkingDB[],7,FALSE)*AD51+VLOOKUP(AC51,CostDB[],5,FALSE)</f>
        <v>2374.4449999999997</v>
      </c>
      <c r="AK51" s="16" t="s">
        <v>112</v>
      </c>
      <c r="AL51" s="17">
        <f t="shared" si="64"/>
        <v>1.4999999999999999E-2</v>
      </c>
      <c r="AM51" s="18">
        <f>VLOOKUP(AK51,WorkingDB[],2,FALSE)</f>
        <v>0.72099999999999997</v>
      </c>
      <c r="AN51" s="19">
        <f>VLOOKUP(AK51,WorkingDB[],3,FALSE)</f>
        <v>840</v>
      </c>
      <c r="AO51" s="19">
        <f>VLOOKUP(AK51,WorkingDB[],4,FALSE)</f>
        <v>1762</v>
      </c>
      <c r="AP51" s="5">
        <f>VLOOKUP(AK51,WorkingDB[],5,FALSE)</f>
        <v>0</v>
      </c>
      <c r="AQ51" s="5">
        <f>VLOOKUP(AK51,WorkingDB[],6,FALSE)</f>
        <v>0</v>
      </c>
      <c r="AR51" s="44">
        <f>VLOOKUP(AK51,WorkingDB[],7,FALSE)*AL51+VLOOKUP(AK51,CostDB[],5,FALSE)</f>
        <v>339.1</v>
      </c>
      <c r="AS51" s="16" t="s">
        <v>90</v>
      </c>
      <c r="AT51" s="17">
        <v>0</v>
      </c>
      <c r="AU51" s="18">
        <f>VLOOKUP(AS51,WorkingDB[],2,FALSE)</f>
        <v>0</v>
      </c>
      <c r="AV51" s="19">
        <f>VLOOKUP(AS51,WorkingDB[],3,FALSE)</f>
        <v>0</v>
      </c>
      <c r="AW51" s="19">
        <f>VLOOKUP(AS51,WorkingDB[],4,FALSE)</f>
        <v>0</v>
      </c>
      <c r="AX51" s="5">
        <f>VLOOKUP(AS51,WorkingDB[],5,FALSE)</f>
        <v>0</v>
      </c>
      <c r="AY51" s="5">
        <f>VLOOKUP(AS51,WorkingDB[],6,FALSE)</f>
        <v>0</v>
      </c>
      <c r="AZ51" s="44" t="e">
        <f>VLOOKUP(AS51,WorkingDB[],7,FALSE)*AT51+VLOOKUP(AS51,CostDB[],5,FALSE)</f>
        <v>#N/A</v>
      </c>
      <c r="BA51" s="27">
        <v>9.3086381369319291</v>
      </c>
      <c r="BB51" s="20">
        <f t="shared" si="65"/>
        <v>0.32999999999999996</v>
      </c>
      <c r="BC51" s="18">
        <f t="shared" si="66"/>
        <v>0.3074545599677857</v>
      </c>
      <c r="BD51" s="18">
        <f t="shared" si="67"/>
        <v>0.10146000478936927</v>
      </c>
      <c r="BE51" s="19">
        <f t="shared" si="68"/>
        <v>540.95999999999992</v>
      </c>
      <c r="BF51" s="19">
        <f t="shared" si="69"/>
        <v>1639.2727272727273</v>
      </c>
      <c r="BG51" s="19">
        <f t="shared" si="70"/>
        <v>476060.4</v>
      </c>
      <c r="BH51" s="19">
        <f t="shared" si="71"/>
        <v>880.02883762200554</v>
      </c>
      <c r="BI51" s="18">
        <f t="shared" si="72"/>
        <v>430.10908673416867</v>
      </c>
      <c r="BJ51" s="22">
        <f t="shared" si="73"/>
        <v>7.0330994933608953E-8</v>
      </c>
      <c r="BK51" s="23">
        <f t="shared" si="40"/>
        <v>2.5319158176099224E-4</v>
      </c>
      <c r="BL51" s="19">
        <f t="shared" si="29"/>
        <v>5301.57</v>
      </c>
      <c r="BM51" s="18"/>
      <c r="BP51" s="20">
        <f t="shared" si="2"/>
        <v>492.7109665427509</v>
      </c>
      <c r="BR51" s="45">
        <f t="shared" si="74"/>
        <v>22201.200000000001</v>
      </c>
      <c r="BS51" s="45">
        <f t="shared" si="75"/>
        <v>124872</v>
      </c>
      <c r="BT51" s="45">
        <f t="shared" si="76"/>
        <v>4770</v>
      </c>
      <c r="BU51" s="45">
        <f t="shared" si="77"/>
        <v>302016</v>
      </c>
      <c r="BV51" s="45">
        <f t="shared" si="78"/>
        <v>22201.200000000001</v>
      </c>
      <c r="BW51" s="45">
        <f t="shared" si="79"/>
        <v>0</v>
      </c>
      <c r="BX51" s="46">
        <f t="shared" si="80"/>
        <v>2.0804438280166437E-2</v>
      </c>
      <c r="BY51" s="46">
        <f t="shared" si="81"/>
        <v>9.3984962406015032E-2</v>
      </c>
      <c r="BZ51" s="46">
        <f t="shared" si="82"/>
        <v>2.8846153846153846</v>
      </c>
      <c r="CA51" s="46">
        <f t="shared" si="83"/>
        <v>9.4936708860759486E-2</v>
      </c>
      <c r="CB51" s="46">
        <f t="shared" si="84"/>
        <v>2.0804438280166437E-2</v>
      </c>
      <c r="CC51" s="46">
        <f t="shared" si="85"/>
        <v>0</v>
      </c>
      <c r="CD51" s="45">
        <f t="shared" si="86"/>
        <v>283.19750319364744</v>
      </c>
    </row>
    <row r="52" spans="1:82" ht="14.4" x14ac:dyDescent="0.3">
      <c r="A52" s="5" t="s">
        <v>350</v>
      </c>
      <c r="B52" s="5" t="s">
        <v>271</v>
      </c>
      <c r="C52" s="4" t="s">
        <v>226</v>
      </c>
      <c r="D52" s="28">
        <v>33.4</v>
      </c>
      <c r="E52" s="16" t="s">
        <v>112</v>
      </c>
      <c r="F52" s="17">
        <f t="shared" si="28"/>
        <v>1.4999999999999999E-2</v>
      </c>
      <c r="G52" s="18">
        <f>VLOOKUP(E52,WorkingDB[],2,FALSE)</f>
        <v>0.72099999999999997</v>
      </c>
      <c r="H52" s="19">
        <f>VLOOKUP(E52,WorkingDB[],3,FALSE)</f>
        <v>840</v>
      </c>
      <c r="I52" s="19">
        <f>VLOOKUP(E52,WorkingDB[],4,FALSE)</f>
        <v>1762</v>
      </c>
      <c r="J52" s="5">
        <f>VLOOKUP(E52,WorkingDB[],5,FALSE)</f>
        <v>0</v>
      </c>
      <c r="K52" s="5">
        <f>VLOOKUP(E52,WorkingDB[],6,FALSE)</f>
        <v>0</v>
      </c>
      <c r="L52" s="44">
        <f>VLOOKUP(E52,WorkingDB[],7,FALSE)*F52+VLOOKUP(E52,CostDB[],5,FALSE)</f>
        <v>339.1</v>
      </c>
      <c r="M52" s="16" t="s">
        <v>108</v>
      </c>
      <c r="N52" s="17">
        <v>7.4999999999999997E-2</v>
      </c>
      <c r="O52" s="18">
        <f>VLOOKUP(M52,WorkingDB[],2,FALSE)</f>
        <v>0.79800000000000004</v>
      </c>
      <c r="P52" s="19">
        <f>VLOOKUP(M52,WorkingDB[],3,FALSE)</f>
        <v>880</v>
      </c>
      <c r="Q52" s="19">
        <f>VLOOKUP(M52,WorkingDB[],4,FALSE)</f>
        <v>1892</v>
      </c>
      <c r="R52" s="5">
        <f>VLOOKUP(M52,WorkingDB[],5,FALSE)</f>
        <v>0</v>
      </c>
      <c r="S52" s="5">
        <f>VLOOKUP(M52,WorkingDB[],6,FALSE)</f>
        <v>0</v>
      </c>
      <c r="T52" s="44">
        <f>VLOOKUP(M52,WorkingDB[],7,FALSE)*N52+VLOOKUP(M52,CostDB[],5,FALSE)</f>
        <v>549.04999999999995</v>
      </c>
      <c r="U52" s="16" t="s">
        <v>239</v>
      </c>
      <c r="V52" s="17">
        <v>0.1</v>
      </c>
      <c r="W52" s="18">
        <f>VLOOKUP(U52,WorkingDB[],2,FALSE)</f>
        <v>2.5999999999999999E-2</v>
      </c>
      <c r="X52" s="19">
        <f>VLOOKUP(U52,WorkingDB[],3,FALSE)</f>
        <v>1590</v>
      </c>
      <c r="Y52" s="19">
        <f>VLOOKUP(U52,WorkingDB[],4,FALSE)</f>
        <v>40</v>
      </c>
      <c r="Z52" s="5">
        <f>VLOOKUP(U52,WorkingDB[],5,FALSE)</f>
        <v>0</v>
      </c>
      <c r="AA52" s="5">
        <f>VLOOKUP(U52,WorkingDB[],6,FALSE)</f>
        <v>0</v>
      </c>
      <c r="AB52" s="44">
        <f>VLOOKUP(U52,WorkingDB[],7,FALSE)*V52+VLOOKUP(U52,CostDB[],5,FALSE)</f>
        <v>962.5</v>
      </c>
      <c r="AC52" s="16" t="s">
        <v>107</v>
      </c>
      <c r="AD52" s="17">
        <v>0.15</v>
      </c>
      <c r="AE52" s="18">
        <f>VLOOKUP(AC52,WorkingDB[],2,FALSE)</f>
        <v>1.58</v>
      </c>
      <c r="AF52" s="19">
        <f>VLOOKUP(AC52,WorkingDB[],3,FALSE)</f>
        <v>880</v>
      </c>
      <c r="AG52" s="19">
        <f>VLOOKUP(AC52,WorkingDB[],4,FALSE)</f>
        <v>2288</v>
      </c>
      <c r="AH52" s="5">
        <f>VLOOKUP(AC52,WorkingDB[],5,FALSE)</f>
        <v>0</v>
      </c>
      <c r="AI52" s="5">
        <f>VLOOKUP(AC52,WorkingDB[],6,FALSE)</f>
        <v>0</v>
      </c>
      <c r="AJ52" s="44">
        <f>VLOOKUP(AC52,WorkingDB[],7,FALSE)*AD52+VLOOKUP(AC52,CostDB[],5,FALSE)</f>
        <v>2374.4449999999997</v>
      </c>
      <c r="AK52" s="16" t="s">
        <v>112</v>
      </c>
      <c r="AL52" s="17">
        <f t="shared" si="64"/>
        <v>1.4999999999999999E-2</v>
      </c>
      <c r="AM52" s="18">
        <f>VLOOKUP(AK52,WorkingDB[],2,FALSE)</f>
        <v>0.72099999999999997</v>
      </c>
      <c r="AN52" s="19">
        <f>VLOOKUP(AK52,WorkingDB[],3,FALSE)</f>
        <v>840</v>
      </c>
      <c r="AO52" s="19">
        <f>VLOOKUP(AK52,WorkingDB[],4,FALSE)</f>
        <v>1762</v>
      </c>
      <c r="AP52" s="5">
        <f>VLOOKUP(AK52,WorkingDB[],5,FALSE)</f>
        <v>0</v>
      </c>
      <c r="AQ52" s="5">
        <f>VLOOKUP(AK52,WorkingDB[],6,FALSE)</f>
        <v>0</v>
      </c>
      <c r="AR52" s="44">
        <f>VLOOKUP(AK52,WorkingDB[],7,FALSE)*AL52+VLOOKUP(AK52,CostDB[],5,FALSE)</f>
        <v>339.1</v>
      </c>
      <c r="AS52" s="16" t="s">
        <v>90</v>
      </c>
      <c r="AT52" s="17">
        <v>0</v>
      </c>
      <c r="AU52" s="18">
        <f>VLOOKUP(AS52,WorkingDB[],2,FALSE)</f>
        <v>0</v>
      </c>
      <c r="AV52" s="19">
        <f>VLOOKUP(AS52,WorkingDB[],3,FALSE)</f>
        <v>0</v>
      </c>
      <c r="AW52" s="19">
        <f>VLOOKUP(AS52,WorkingDB[],4,FALSE)</f>
        <v>0</v>
      </c>
      <c r="AX52" s="5">
        <f>VLOOKUP(AS52,WorkingDB[],5,FALSE)</f>
        <v>0</v>
      </c>
      <c r="AY52" s="5">
        <f>VLOOKUP(AS52,WorkingDB[],6,FALSE)</f>
        <v>0</v>
      </c>
      <c r="AZ52" s="44" t="e">
        <f>VLOOKUP(AS52,WorkingDB[],7,FALSE)*AT52+VLOOKUP(AS52,CostDB[],5,FALSE)</f>
        <v>#N/A</v>
      </c>
      <c r="BA52" s="27">
        <v>9.3086381369319291</v>
      </c>
      <c r="BB52" s="20">
        <f t="shared" si="65"/>
        <v>0.35499999999999998</v>
      </c>
      <c r="BC52" s="18">
        <f t="shared" si="66"/>
        <v>0.23730131751095307</v>
      </c>
      <c r="BD52" s="18">
        <f t="shared" si="67"/>
        <v>8.4241967716388338E-2</v>
      </c>
      <c r="BE52" s="19">
        <f t="shared" si="68"/>
        <v>541.95999999999992</v>
      </c>
      <c r="BF52" s="19">
        <f t="shared" si="69"/>
        <v>1526.6478873239435</v>
      </c>
      <c r="BG52" s="19">
        <f t="shared" si="70"/>
        <v>477650.4</v>
      </c>
      <c r="BH52" s="19">
        <f t="shared" si="71"/>
        <v>881.33884419514368</v>
      </c>
      <c r="BI52" s="18">
        <f t="shared" si="72"/>
        <v>559.12317747895588</v>
      </c>
      <c r="BJ52" s="22">
        <f t="shared" si="73"/>
        <v>6.2610433361550334E-8</v>
      </c>
      <c r="BK52" s="23">
        <f t="shared" si="40"/>
        <v>2.253975601015812E-4</v>
      </c>
      <c r="BL52" s="19">
        <f t="shared" si="29"/>
        <v>4564.1949999999997</v>
      </c>
      <c r="BM52" s="18"/>
      <c r="BP52" s="20">
        <f t="shared" si="2"/>
        <v>424.18169144981408</v>
      </c>
      <c r="BR52" s="45">
        <f t="shared" si="74"/>
        <v>22201.200000000001</v>
      </c>
      <c r="BS52" s="45">
        <f t="shared" si="75"/>
        <v>124872</v>
      </c>
      <c r="BT52" s="45">
        <f t="shared" si="76"/>
        <v>6360</v>
      </c>
      <c r="BU52" s="45">
        <f t="shared" si="77"/>
        <v>302016</v>
      </c>
      <c r="BV52" s="45">
        <f t="shared" si="78"/>
        <v>22201.200000000001</v>
      </c>
      <c r="BW52" s="45">
        <f t="shared" si="79"/>
        <v>0</v>
      </c>
      <c r="BX52" s="46">
        <f t="shared" si="80"/>
        <v>2.0804438280166437E-2</v>
      </c>
      <c r="BY52" s="46">
        <f t="shared" si="81"/>
        <v>9.3984962406015032E-2</v>
      </c>
      <c r="BZ52" s="46">
        <f t="shared" si="82"/>
        <v>3.8461538461538467</v>
      </c>
      <c r="CA52" s="46">
        <f t="shared" si="83"/>
        <v>9.4936708860759486E-2</v>
      </c>
      <c r="CB52" s="46">
        <f t="shared" si="84"/>
        <v>2.0804438280166437E-2</v>
      </c>
      <c r="CC52" s="46">
        <f t="shared" si="85"/>
        <v>0</v>
      </c>
      <c r="CD52" s="45">
        <f t="shared" si="86"/>
        <v>371.34427796261406</v>
      </c>
    </row>
    <row r="53" spans="1:82" ht="14.4" x14ac:dyDescent="0.3">
      <c r="A53" s="5" t="s">
        <v>351</v>
      </c>
      <c r="B53" s="5" t="s">
        <v>288</v>
      </c>
      <c r="C53" s="4" t="s">
        <v>226</v>
      </c>
      <c r="D53" s="28">
        <v>33.4</v>
      </c>
      <c r="E53" s="16" t="s">
        <v>112</v>
      </c>
      <c r="F53" s="17">
        <f t="shared" si="28"/>
        <v>1.4999999999999999E-2</v>
      </c>
      <c r="G53" s="18">
        <f>VLOOKUP(E53,WorkingDB[],2,FALSE)</f>
        <v>0.72099999999999997</v>
      </c>
      <c r="H53" s="19">
        <f>VLOOKUP(E53,WorkingDB[],3,FALSE)</f>
        <v>840</v>
      </c>
      <c r="I53" s="19">
        <f>VLOOKUP(E53,WorkingDB[],4,FALSE)</f>
        <v>1762</v>
      </c>
      <c r="J53" s="5">
        <f>VLOOKUP(E53,WorkingDB[],5,FALSE)</f>
        <v>0</v>
      </c>
      <c r="K53" s="5">
        <f>VLOOKUP(E53,WorkingDB[],6,FALSE)</f>
        <v>0</v>
      </c>
      <c r="L53" s="44">
        <f>VLOOKUP(E53,WorkingDB[],7,FALSE)*F53+VLOOKUP(E53,CostDB[],5,FALSE)</f>
        <v>339.1</v>
      </c>
      <c r="M53" s="16" t="s">
        <v>108</v>
      </c>
      <c r="N53" s="17">
        <v>7.4999999999999997E-2</v>
      </c>
      <c r="O53" s="18">
        <f>VLOOKUP(M53,WorkingDB[],2,FALSE)</f>
        <v>0.79800000000000004</v>
      </c>
      <c r="P53" s="19">
        <f>VLOOKUP(M53,WorkingDB[],3,FALSE)</f>
        <v>880</v>
      </c>
      <c r="Q53" s="19">
        <f>VLOOKUP(M53,WorkingDB[],4,FALSE)</f>
        <v>1892</v>
      </c>
      <c r="R53" s="5">
        <f>VLOOKUP(M53,WorkingDB[],5,FALSE)</f>
        <v>0</v>
      </c>
      <c r="S53" s="5">
        <f>VLOOKUP(M53,WorkingDB[],6,FALSE)</f>
        <v>0</v>
      </c>
      <c r="T53" s="44">
        <f>VLOOKUP(M53,WorkingDB[],7,FALSE)*N53+VLOOKUP(M53,CostDB[],5,FALSE)</f>
        <v>549.04999999999995</v>
      </c>
      <c r="U53" s="16" t="s">
        <v>238</v>
      </c>
      <c r="V53" s="17">
        <f>2.5/1000</f>
        <v>2.5000000000000001E-3</v>
      </c>
      <c r="W53" s="18">
        <f>VLOOKUP(U53,WorkingDB[],2,FALSE)</f>
        <v>3.7999999999999999E-2</v>
      </c>
      <c r="X53" s="19">
        <f>VLOOKUP(U53,WorkingDB[],3,FALSE)</f>
        <v>1213</v>
      </c>
      <c r="Y53" s="19">
        <f>VLOOKUP(U53,WorkingDB[],4,FALSE)</f>
        <v>28</v>
      </c>
      <c r="Z53" s="5">
        <f>VLOOKUP(U53,WorkingDB[],5,FALSE)</f>
        <v>0</v>
      </c>
      <c r="AA53" s="5">
        <f>VLOOKUP(U53,WorkingDB[],6,FALSE)</f>
        <v>0</v>
      </c>
      <c r="AB53" s="44">
        <f>VLOOKUP(U53,WorkingDB[],7,FALSE)*V53+VLOOKUP(U53,CostDB[],5,FALSE)</f>
        <v>2685.2375000000002</v>
      </c>
      <c r="AC53" s="16" t="s">
        <v>107</v>
      </c>
      <c r="AD53" s="17">
        <v>0.15</v>
      </c>
      <c r="AE53" s="18">
        <f>VLOOKUP(AC53,WorkingDB[],2,FALSE)</f>
        <v>1.58</v>
      </c>
      <c r="AF53" s="19">
        <f>VLOOKUP(AC53,WorkingDB[],3,FALSE)</f>
        <v>880</v>
      </c>
      <c r="AG53" s="19">
        <f>VLOOKUP(AC53,WorkingDB[],4,FALSE)</f>
        <v>2288</v>
      </c>
      <c r="AH53" s="5">
        <f>VLOOKUP(AC53,WorkingDB[],5,FALSE)</f>
        <v>0</v>
      </c>
      <c r="AI53" s="5">
        <f>VLOOKUP(AC53,WorkingDB[],6,FALSE)</f>
        <v>0</v>
      </c>
      <c r="AJ53" s="44">
        <f>VLOOKUP(AC53,WorkingDB[],7,FALSE)*AD53+VLOOKUP(AC53,CostDB[],5,FALSE)</f>
        <v>2374.4449999999997</v>
      </c>
      <c r="AK53" s="16" t="s">
        <v>112</v>
      </c>
      <c r="AL53" s="17">
        <f t="shared" si="64"/>
        <v>1.4999999999999999E-2</v>
      </c>
      <c r="AM53" s="18">
        <f>VLOOKUP(AK53,WorkingDB[],2,FALSE)</f>
        <v>0.72099999999999997</v>
      </c>
      <c r="AN53" s="19">
        <f>VLOOKUP(AK53,WorkingDB[],3,FALSE)</f>
        <v>840</v>
      </c>
      <c r="AO53" s="19">
        <f>VLOOKUP(AK53,WorkingDB[],4,FALSE)</f>
        <v>1762</v>
      </c>
      <c r="AP53" s="5">
        <f>VLOOKUP(AK53,WorkingDB[],5,FALSE)</f>
        <v>0</v>
      </c>
      <c r="AQ53" s="5">
        <f>VLOOKUP(AK53,WorkingDB[],6,FALSE)</f>
        <v>0</v>
      </c>
      <c r="AR53" s="44">
        <f>VLOOKUP(AK53,WorkingDB[],7,FALSE)*AL53+VLOOKUP(AK53,CostDB[],5,FALSE)</f>
        <v>339.1</v>
      </c>
      <c r="AS53" s="16" t="s">
        <v>90</v>
      </c>
      <c r="AT53" s="17">
        <v>0</v>
      </c>
      <c r="AU53" s="18">
        <f>VLOOKUP(AS53,WorkingDB[],2,FALSE)</f>
        <v>0</v>
      </c>
      <c r="AV53" s="19">
        <f>VLOOKUP(AS53,WorkingDB[],3,FALSE)</f>
        <v>0</v>
      </c>
      <c r="AW53" s="19">
        <f>VLOOKUP(AS53,WorkingDB[],4,FALSE)</f>
        <v>0</v>
      </c>
      <c r="AX53" s="5">
        <f>VLOOKUP(AS53,WorkingDB[],5,FALSE)</f>
        <v>0</v>
      </c>
      <c r="AY53" s="5">
        <f>VLOOKUP(AS53,WorkingDB[],6,FALSE)</f>
        <v>0</v>
      </c>
      <c r="AZ53" s="44" t="e">
        <f>VLOOKUP(AS53,WorkingDB[],7,FALSE)*AT53+VLOOKUP(AS53,CostDB[],5,FALSE)</f>
        <v>#N/A</v>
      </c>
      <c r="BA53" s="27">
        <v>9.3086381369319291</v>
      </c>
      <c r="BB53" s="20">
        <f t="shared" ref="BB53:BB60" si="87">F53+N53+V53+AD53+AL53+AT53</f>
        <v>0.25750000000000001</v>
      </c>
      <c r="BC53" s="18">
        <f t="shared" ref="BC53:BC60" si="88">1/(1/D53+IF(E53&lt;&gt;"NA",F53/G53,0)+IF(M53&lt;&gt;"NA",N53/O53,0)+IF(U53&lt;&gt;"NA",V53/W53,0)+IF(AC53&lt;&gt;"NA",AD53/AE53,0)+IF(AK53&lt;&gt;"NA",AL53/AM53,0)+IF(AS53&lt;&gt;"NA",AT53/AU53,0)+1/BA53)</f>
        <v>2.3058091288724079</v>
      </c>
      <c r="BD53" s="18">
        <f t="shared" ref="BD53:BD60" si="89">BC53*BB53</f>
        <v>0.59374585068464503</v>
      </c>
      <c r="BE53" s="19">
        <f t="shared" ref="BE53:BE60" si="90">IF(E53&lt;&gt;"NA",F53*I53,0)+IF(M53&lt;&gt;"NA",N53*Q53,0)+IF(U53&lt;&gt;"NA",V53*Y53,0)+IF(AC53&lt;&gt;"NA",AD53*AG53,0)+IF(AK53&lt;&gt;"NA",AL53*AO53,0)+IF(AS53&lt;&gt;"NA",AT53*AW53,0)</f>
        <v>538.03</v>
      </c>
      <c r="BF53" s="19">
        <f t="shared" ref="BF53:BF60" si="91">BE53/BB53</f>
        <v>2089.4368932038833</v>
      </c>
      <c r="BG53" s="19">
        <f t="shared" ref="BG53:BG60" si="92">IF(E53&lt;&gt;"NA",F53*H53*I53,0)+IF(M53&lt;&gt;"NA",N53*P53*Q53,0)+IF(U53&lt;&gt;"NA",V53*X53*Y53,0)+IF(AC53&lt;&gt;"NA",AD53*AF53*AG53,0)+IF(AK53&lt;&gt;"NA",AL53*AN53*AO53,0)+IF(AS53&lt;&gt;"NA",AT53*AV53*AW53,0)</f>
        <v>471375.31</v>
      </c>
      <c r="BH53" s="19">
        <f t="shared" ref="BH53:BH60" si="93">BG53/BE53</f>
        <v>876.11343233648688</v>
      </c>
      <c r="BI53" s="18">
        <f t="shared" ref="BI53:BI60" si="94">((BH53)*BF53*BB53*(1/BC53))/3600</f>
        <v>56.785960499316133</v>
      </c>
      <c r="BJ53" s="22">
        <f t="shared" ref="BJ53:BJ60" si="95">BD53/(BH53*BF53)</f>
        <v>3.2434782498747356E-7</v>
      </c>
      <c r="BK53" s="23">
        <f t="shared" ref="BK53:BK60" si="96">BJ53*3600</f>
        <v>1.1676521699549049E-3</v>
      </c>
      <c r="BL53" s="19">
        <f t="shared" si="29"/>
        <v>6286.9325000000008</v>
      </c>
      <c r="BM53" s="18"/>
      <c r="BP53" s="20">
        <f t="shared" si="2"/>
        <v>584.28740706319707</v>
      </c>
      <c r="BR53" s="45">
        <f t="shared" si="74"/>
        <v>22201.200000000001</v>
      </c>
      <c r="BS53" s="45">
        <f t="shared" si="75"/>
        <v>124872</v>
      </c>
      <c r="BT53" s="45">
        <f t="shared" si="76"/>
        <v>84.910000000000011</v>
      </c>
      <c r="BU53" s="45">
        <f t="shared" si="77"/>
        <v>302016</v>
      </c>
      <c r="BV53" s="45">
        <f t="shared" si="78"/>
        <v>22201.200000000001</v>
      </c>
      <c r="BW53" s="45">
        <f t="shared" si="79"/>
        <v>0</v>
      </c>
      <c r="BX53" s="46">
        <f t="shared" si="80"/>
        <v>2.0804438280166437E-2</v>
      </c>
      <c r="BY53" s="46">
        <f t="shared" si="81"/>
        <v>9.3984962406015032E-2</v>
      </c>
      <c r="BZ53" s="46">
        <f t="shared" si="82"/>
        <v>6.5789473684210523E-2</v>
      </c>
      <c r="CA53" s="46">
        <f t="shared" si="83"/>
        <v>9.4936708860759486E-2</v>
      </c>
      <c r="CB53" s="46">
        <f t="shared" si="84"/>
        <v>2.0804438280166437E-2</v>
      </c>
      <c r="CC53" s="46">
        <f t="shared" si="85"/>
        <v>0</v>
      </c>
      <c r="CD53" s="45">
        <f t="shared" si="86"/>
        <v>27.234467205117863</v>
      </c>
    </row>
    <row r="54" spans="1:82" ht="14.4" x14ac:dyDescent="0.3">
      <c r="A54" s="5" t="s">
        <v>352</v>
      </c>
      <c r="B54" s="5" t="s">
        <v>284</v>
      </c>
      <c r="C54" s="4" t="s">
        <v>226</v>
      </c>
      <c r="D54" s="28">
        <v>33.4</v>
      </c>
      <c r="E54" s="16" t="s">
        <v>112</v>
      </c>
      <c r="F54" s="17">
        <f t="shared" si="28"/>
        <v>1.4999999999999999E-2</v>
      </c>
      <c r="G54" s="18">
        <f>VLOOKUP(E54,WorkingDB[],2,FALSE)</f>
        <v>0.72099999999999997</v>
      </c>
      <c r="H54" s="19">
        <f>VLOOKUP(E54,WorkingDB[],3,FALSE)</f>
        <v>840</v>
      </c>
      <c r="I54" s="19">
        <f>VLOOKUP(E54,WorkingDB[],4,FALSE)</f>
        <v>1762</v>
      </c>
      <c r="J54" s="5">
        <f>VLOOKUP(E54,WorkingDB[],5,FALSE)</f>
        <v>0</v>
      </c>
      <c r="K54" s="5">
        <f>VLOOKUP(E54,WorkingDB[],6,FALSE)</f>
        <v>0</v>
      </c>
      <c r="L54" s="44">
        <f>VLOOKUP(E54,WorkingDB[],7,FALSE)*F54+VLOOKUP(E54,CostDB[],5,FALSE)</f>
        <v>339.1</v>
      </c>
      <c r="M54" s="16" t="s">
        <v>108</v>
      </c>
      <c r="N54" s="17">
        <v>7.4999999999999997E-2</v>
      </c>
      <c r="O54" s="18">
        <f>VLOOKUP(M54,WorkingDB[],2,FALSE)</f>
        <v>0.79800000000000004</v>
      </c>
      <c r="P54" s="19">
        <f>VLOOKUP(M54,WorkingDB[],3,FALSE)</f>
        <v>880</v>
      </c>
      <c r="Q54" s="19">
        <f>VLOOKUP(M54,WorkingDB[],4,FALSE)</f>
        <v>1892</v>
      </c>
      <c r="R54" s="5">
        <f>VLOOKUP(M54,WorkingDB[],5,FALSE)</f>
        <v>0</v>
      </c>
      <c r="S54" s="5">
        <f>VLOOKUP(M54,WorkingDB[],6,FALSE)</f>
        <v>0</v>
      </c>
      <c r="T54" s="44">
        <f>VLOOKUP(M54,WorkingDB[],7,FALSE)*N54+VLOOKUP(M54,CostDB[],5,FALSE)</f>
        <v>549.04999999999995</v>
      </c>
      <c r="U54" s="16" t="s">
        <v>238</v>
      </c>
      <c r="V54" s="17">
        <f>5/1000</f>
        <v>5.0000000000000001E-3</v>
      </c>
      <c r="W54" s="18">
        <f>VLOOKUP(U54,WorkingDB[],2,FALSE)</f>
        <v>3.7999999999999999E-2</v>
      </c>
      <c r="X54" s="19">
        <f>VLOOKUP(U54,WorkingDB[],3,FALSE)</f>
        <v>1213</v>
      </c>
      <c r="Y54" s="19">
        <f>VLOOKUP(U54,WorkingDB[],4,FALSE)</f>
        <v>28</v>
      </c>
      <c r="Z54" s="5">
        <f>VLOOKUP(U54,WorkingDB[],5,FALSE)</f>
        <v>0</v>
      </c>
      <c r="AA54" s="5">
        <f>VLOOKUP(U54,WorkingDB[],6,FALSE)</f>
        <v>0</v>
      </c>
      <c r="AB54" s="44">
        <f>VLOOKUP(U54,WorkingDB[],7,FALSE)*V54+VLOOKUP(U54,CostDB[],5,FALSE)</f>
        <v>2702.4250000000002</v>
      </c>
      <c r="AC54" s="16" t="s">
        <v>107</v>
      </c>
      <c r="AD54" s="17">
        <v>0.15</v>
      </c>
      <c r="AE54" s="18">
        <f>VLOOKUP(AC54,WorkingDB[],2,FALSE)</f>
        <v>1.58</v>
      </c>
      <c r="AF54" s="19">
        <f>VLOOKUP(AC54,WorkingDB[],3,FALSE)</f>
        <v>880</v>
      </c>
      <c r="AG54" s="19">
        <f>VLOOKUP(AC54,WorkingDB[],4,FALSE)</f>
        <v>2288</v>
      </c>
      <c r="AH54" s="5">
        <f>VLOOKUP(AC54,WorkingDB[],5,FALSE)</f>
        <v>0</v>
      </c>
      <c r="AI54" s="5">
        <f>VLOOKUP(AC54,WorkingDB[],6,FALSE)</f>
        <v>0</v>
      </c>
      <c r="AJ54" s="44">
        <f>VLOOKUP(AC54,WorkingDB[],7,FALSE)*AD54+VLOOKUP(AC54,CostDB[],5,FALSE)</f>
        <v>2374.4449999999997</v>
      </c>
      <c r="AK54" s="16" t="s">
        <v>112</v>
      </c>
      <c r="AL54" s="17">
        <f t="shared" si="64"/>
        <v>1.4999999999999999E-2</v>
      </c>
      <c r="AM54" s="18">
        <f>VLOOKUP(AK54,WorkingDB[],2,FALSE)</f>
        <v>0.72099999999999997</v>
      </c>
      <c r="AN54" s="19">
        <f>VLOOKUP(AK54,WorkingDB[],3,FALSE)</f>
        <v>840</v>
      </c>
      <c r="AO54" s="19">
        <f>VLOOKUP(AK54,WorkingDB[],4,FALSE)</f>
        <v>1762</v>
      </c>
      <c r="AP54" s="5">
        <f>VLOOKUP(AK54,WorkingDB[],5,FALSE)</f>
        <v>0</v>
      </c>
      <c r="AQ54" s="5">
        <f>VLOOKUP(AK54,WorkingDB[],6,FALSE)</f>
        <v>0</v>
      </c>
      <c r="AR54" s="44">
        <f>VLOOKUP(AK54,WorkingDB[],7,FALSE)*AL54+VLOOKUP(AK54,CostDB[],5,FALSE)</f>
        <v>339.1</v>
      </c>
      <c r="AS54" s="16" t="s">
        <v>90</v>
      </c>
      <c r="AT54" s="17">
        <v>0</v>
      </c>
      <c r="AU54" s="18">
        <f>VLOOKUP(AS54,WorkingDB[],2,FALSE)</f>
        <v>0</v>
      </c>
      <c r="AV54" s="19">
        <f>VLOOKUP(AS54,WorkingDB[],3,FALSE)</f>
        <v>0</v>
      </c>
      <c r="AW54" s="19">
        <f>VLOOKUP(AS54,WorkingDB[],4,FALSE)</f>
        <v>0</v>
      </c>
      <c r="AX54" s="5">
        <f>VLOOKUP(AS54,WorkingDB[],5,FALSE)</f>
        <v>0</v>
      </c>
      <c r="AY54" s="5">
        <f>VLOOKUP(AS54,WorkingDB[],6,FALSE)</f>
        <v>0</v>
      </c>
      <c r="AZ54" s="44" t="e">
        <f>VLOOKUP(AS54,WorkingDB[],7,FALSE)*AT54+VLOOKUP(AS54,CostDB[],5,FALSE)</f>
        <v>#N/A</v>
      </c>
      <c r="BA54" s="27">
        <v>9.3086381369319291</v>
      </c>
      <c r="BB54" s="20">
        <f t="shared" si="87"/>
        <v>0.26</v>
      </c>
      <c r="BC54" s="18">
        <f t="shared" si="88"/>
        <v>2.0020953330889051</v>
      </c>
      <c r="BD54" s="18">
        <f t="shared" si="89"/>
        <v>0.52054478660311532</v>
      </c>
      <c r="BE54" s="19">
        <f t="shared" si="90"/>
        <v>538.09999999999991</v>
      </c>
      <c r="BF54" s="19">
        <f t="shared" si="91"/>
        <v>2069.6153846153843</v>
      </c>
      <c r="BG54" s="19">
        <f t="shared" si="92"/>
        <v>471460.22000000003</v>
      </c>
      <c r="BH54" s="19">
        <f t="shared" si="93"/>
        <v>876.15725701542488</v>
      </c>
      <c r="BI54" s="18">
        <f t="shared" si="94"/>
        <v>65.412056088343519</v>
      </c>
      <c r="BJ54" s="22">
        <f t="shared" si="95"/>
        <v>2.870690649506123E-7</v>
      </c>
      <c r="BK54" s="23">
        <f t="shared" si="96"/>
        <v>1.0334486338222043E-3</v>
      </c>
      <c r="BL54" s="19">
        <f t="shared" si="29"/>
        <v>6304.1200000000008</v>
      </c>
      <c r="BM54" s="18"/>
      <c r="BP54" s="20">
        <f t="shared" si="2"/>
        <v>585.88475836431235</v>
      </c>
      <c r="BR54" s="45">
        <f t="shared" si="74"/>
        <v>22201.200000000001</v>
      </c>
      <c r="BS54" s="45">
        <f t="shared" si="75"/>
        <v>124872</v>
      </c>
      <c r="BT54" s="45">
        <f t="shared" si="76"/>
        <v>169.82000000000002</v>
      </c>
      <c r="BU54" s="45">
        <f t="shared" si="77"/>
        <v>302016</v>
      </c>
      <c r="BV54" s="45">
        <f t="shared" si="78"/>
        <v>22201.200000000001</v>
      </c>
      <c r="BW54" s="45">
        <f t="shared" si="79"/>
        <v>0</v>
      </c>
      <c r="BX54" s="46">
        <f t="shared" si="80"/>
        <v>2.0804438280166437E-2</v>
      </c>
      <c r="BY54" s="46">
        <f t="shared" si="81"/>
        <v>9.3984962406015032E-2</v>
      </c>
      <c r="BZ54" s="46">
        <f t="shared" si="82"/>
        <v>0.13157894736842105</v>
      </c>
      <c r="CA54" s="46">
        <f t="shared" si="83"/>
        <v>9.4936708860759486E-2</v>
      </c>
      <c r="CB54" s="46">
        <f t="shared" si="84"/>
        <v>2.0804438280166437E-2</v>
      </c>
      <c r="CC54" s="46">
        <f t="shared" si="85"/>
        <v>0</v>
      </c>
      <c r="CD54" s="45">
        <f t="shared" si="86"/>
        <v>33.165230318247126</v>
      </c>
    </row>
    <row r="55" spans="1:82" ht="14.4" x14ac:dyDescent="0.3">
      <c r="A55" s="5" t="s">
        <v>353</v>
      </c>
      <c r="B55" s="5" t="s">
        <v>289</v>
      </c>
      <c r="C55" s="4" t="s">
        <v>226</v>
      </c>
      <c r="D55" s="28">
        <v>33.4</v>
      </c>
      <c r="E55" s="16" t="s">
        <v>112</v>
      </c>
      <c r="F55" s="17">
        <f t="shared" si="28"/>
        <v>1.4999999999999999E-2</v>
      </c>
      <c r="G55" s="18">
        <f>VLOOKUP(E55,WorkingDB[],2,FALSE)</f>
        <v>0.72099999999999997</v>
      </c>
      <c r="H55" s="19">
        <f>VLOOKUP(E55,WorkingDB[],3,FALSE)</f>
        <v>840</v>
      </c>
      <c r="I55" s="19">
        <f>VLOOKUP(E55,WorkingDB[],4,FALSE)</f>
        <v>1762</v>
      </c>
      <c r="J55" s="5">
        <f>VLOOKUP(E55,WorkingDB[],5,FALSE)</f>
        <v>0</v>
      </c>
      <c r="K55" s="5">
        <f>VLOOKUP(E55,WorkingDB[],6,FALSE)</f>
        <v>0</v>
      </c>
      <c r="L55" s="44">
        <f>VLOOKUP(E55,WorkingDB[],7,FALSE)*F55+VLOOKUP(E55,CostDB[],5,FALSE)</f>
        <v>339.1</v>
      </c>
      <c r="M55" s="16" t="s">
        <v>108</v>
      </c>
      <c r="N55" s="17">
        <v>7.4999999999999997E-2</v>
      </c>
      <c r="O55" s="18">
        <f>VLOOKUP(M55,WorkingDB[],2,FALSE)</f>
        <v>0.79800000000000004</v>
      </c>
      <c r="P55" s="19">
        <f>VLOOKUP(M55,WorkingDB[],3,FALSE)</f>
        <v>880</v>
      </c>
      <c r="Q55" s="19">
        <f>VLOOKUP(M55,WorkingDB[],4,FALSE)</f>
        <v>1892</v>
      </c>
      <c r="R55" s="5">
        <f>VLOOKUP(M55,WorkingDB[],5,FALSE)</f>
        <v>0</v>
      </c>
      <c r="S55" s="5">
        <f>VLOOKUP(M55,WorkingDB[],6,FALSE)</f>
        <v>0</v>
      </c>
      <c r="T55" s="44">
        <f>VLOOKUP(M55,WorkingDB[],7,FALSE)*N55+VLOOKUP(M55,CostDB[],5,FALSE)</f>
        <v>549.04999999999995</v>
      </c>
      <c r="U55" s="16" t="s">
        <v>238</v>
      </c>
      <c r="V55" s="17">
        <f>7.5/1000</f>
        <v>7.4999999999999997E-3</v>
      </c>
      <c r="W55" s="18">
        <f>VLOOKUP(U55,WorkingDB[],2,FALSE)</f>
        <v>3.7999999999999999E-2</v>
      </c>
      <c r="X55" s="19">
        <f>VLOOKUP(U55,WorkingDB[],3,FALSE)</f>
        <v>1213</v>
      </c>
      <c r="Y55" s="19">
        <f>VLOOKUP(U55,WorkingDB[],4,FALSE)</f>
        <v>28</v>
      </c>
      <c r="Z55" s="5">
        <f>VLOOKUP(U55,WorkingDB[],5,FALSE)</f>
        <v>0</v>
      </c>
      <c r="AA55" s="5">
        <f>VLOOKUP(U55,WorkingDB[],6,FALSE)</f>
        <v>0</v>
      </c>
      <c r="AB55" s="44">
        <f>VLOOKUP(U55,WorkingDB[],7,FALSE)*V55+VLOOKUP(U55,CostDB[],5,FALSE)</f>
        <v>2719.6125000000002</v>
      </c>
      <c r="AC55" s="16" t="s">
        <v>107</v>
      </c>
      <c r="AD55" s="17">
        <v>0.15</v>
      </c>
      <c r="AE55" s="18">
        <f>VLOOKUP(AC55,WorkingDB[],2,FALSE)</f>
        <v>1.58</v>
      </c>
      <c r="AF55" s="19">
        <f>VLOOKUP(AC55,WorkingDB[],3,FALSE)</f>
        <v>880</v>
      </c>
      <c r="AG55" s="19">
        <f>VLOOKUP(AC55,WorkingDB[],4,FALSE)</f>
        <v>2288</v>
      </c>
      <c r="AH55" s="5">
        <f>VLOOKUP(AC55,WorkingDB[],5,FALSE)</f>
        <v>0</v>
      </c>
      <c r="AI55" s="5">
        <f>VLOOKUP(AC55,WorkingDB[],6,FALSE)</f>
        <v>0</v>
      </c>
      <c r="AJ55" s="44">
        <f>VLOOKUP(AC55,WorkingDB[],7,FALSE)*AD55+VLOOKUP(AC55,CostDB[],5,FALSE)</f>
        <v>2374.4449999999997</v>
      </c>
      <c r="AK55" s="16" t="s">
        <v>112</v>
      </c>
      <c r="AL55" s="17">
        <f t="shared" si="64"/>
        <v>1.4999999999999999E-2</v>
      </c>
      <c r="AM55" s="18">
        <f>VLOOKUP(AK55,WorkingDB[],2,FALSE)</f>
        <v>0.72099999999999997</v>
      </c>
      <c r="AN55" s="19">
        <f>VLOOKUP(AK55,WorkingDB[],3,FALSE)</f>
        <v>840</v>
      </c>
      <c r="AO55" s="19">
        <f>VLOOKUP(AK55,WorkingDB[],4,FALSE)</f>
        <v>1762</v>
      </c>
      <c r="AP55" s="5">
        <f>VLOOKUP(AK55,WorkingDB[],5,FALSE)</f>
        <v>0</v>
      </c>
      <c r="AQ55" s="5">
        <f>VLOOKUP(AK55,WorkingDB[],6,FALSE)</f>
        <v>0</v>
      </c>
      <c r="AR55" s="44">
        <f>VLOOKUP(AK55,WorkingDB[],7,FALSE)*AL55+VLOOKUP(AK55,CostDB[],5,FALSE)</f>
        <v>339.1</v>
      </c>
      <c r="AS55" s="16" t="s">
        <v>90</v>
      </c>
      <c r="AT55" s="17">
        <v>0</v>
      </c>
      <c r="AU55" s="18">
        <f>VLOOKUP(AS55,WorkingDB[],2,FALSE)</f>
        <v>0</v>
      </c>
      <c r="AV55" s="19">
        <f>VLOOKUP(AS55,WorkingDB[],3,FALSE)</f>
        <v>0</v>
      </c>
      <c r="AW55" s="19">
        <f>VLOOKUP(AS55,WorkingDB[],4,FALSE)</f>
        <v>0</v>
      </c>
      <c r="AX55" s="5">
        <f>VLOOKUP(AS55,WorkingDB[],5,FALSE)</f>
        <v>0</v>
      </c>
      <c r="AY55" s="5">
        <f>VLOOKUP(AS55,WorkingDB[],6,FALSE)</f>
        <v>0</v>
      </c>
      <c r="AZ55" s="44" t="e">
        <f>VLOOKUP(AS55,WorkingDB[],7,FALSE)*AT55+VLOOKUP(AS55,CostDB[],5,FALSE)</f>
        <v>#N/A</v>
      </c>
      <c r="BA55" s="27">
        <v>9.3086381369319291</v>
      </c>
      <c r="BB55" s="20">
        <f t="shared" si="87"/>
        <v>0.26250000000000001</v>
      </c>
      <c r="BC55" s="18">
        <f t="shared" si="88"/>
        <v>1.7690780380930984</v>
      </c>
      <c r="BD55" s="18">
        <f t="shared" si="89"/>
        <v>0.46438298499943836</v>
      </c>
      <c r="BE55" s="19">
        <f t="shared" si="90"/>
        <v>538.16999999999996</v>
      </c>
      <c r="BF55" s="19">
        <f t="shared" si="91"/>
        <v>2050.1714285714284</v>
      </c>
      <c r="BG55" s="19">
        <f t="shared" si="92"/>
        <v>471545.13000000006</v>
      </c>
      <c r="BH55" s="19">
        <f t="shared" si="93"/>
        <v>876.20107029377357</v>
      </c>
      <c r="BI55" s="18">
        <f t="shared" si="94"/>
        <v>74.041255113043377</v>
      </c>
      <c r="BJ55" s="22">
        <f t="shared" si="95"/>
        <v>2.5851297321711825E-7</v>
      </c>
      <c r="BK55" s="23">
        <f t="shared" si="96"/>
        <v>9.3064670358162572E-4</v>
      </c>
      <c r="BL55" s="19">
        <f t="shared" si="29"/>
        <v>6321.3075000000008</v>
      </c>
      <c r="BM55" s="18"/>
      <c r="BP55" s="20">
        <f t="shared" si="2"/>
        <v>587.48210966542763</v>
      </c>
      <c r="BR55" s="45">
        <f t="shared" si="74"/>
        <v>22201.200000000001</v>
      </c>
      <c r="BS55" s="45">
        <f t="shared" si="75"/>
        <v>124872</v>
      </c>
      <c r="BT55" s="45">
        <f t="shared" si="76"/>
        <v>254.73</v>
      </c>
      <c r="BU55" s="45">
        <f t="shared" si="77"/>
        <v>302016</v>
      </c>
      <c r="BV55" s="45">
        <f t="shared" si="78"/>
        <v>22201.200000000001</v>
      </c>
      <c r="BW55" s="45">
        <f t="shared" si="79"/>
        <v>0</v>
      </c>
      <c r="BX55" s="46">
        <f t="shared" si="80"/>
        <v>2.0804438280166437E-2</v>
      </c>
      <c r="BY55" s="46">
        <f t="shared" si="81"/>
        <v>9.3984962406015032E-2</v>
      </c>
      <c r="BZ55" s="46">
        <f t="shared" si="82"/>
        <v>0.19736842105263158</v>
      </c>
      <c r="CA55" s="46">
        <f t="shared" si="83"/>
        <v>9.4936708860759486E-2</v>
      </c>
      <c r="CB55" s="46">
        <f t="shared" si="84"/>
        <v>2.0804438280166437E-2</v>
      </c>
      <c r="CC55" s="46">
        <f t="shared" si="85"/>
        <v>0</v>
      </c>
      <c r="CD55" s="45">
        <f t="shared" si="86"/>
        <v>39.097545149212635</v>
      </c>
    </row>
    <row r="56" spans="1:82" ht="14.4" x14ac:dyDescent="0.3">
      <c r="A56" s="5" t="s">
        <v>354</v>
      </c>
      <c r="B56" s="5" t="s">
        <v>285</v>
      </c>
      <c r="C56" s="4" t="s">
        <v>226</v>
      </c>
      <c r="D56" s="28">
        <v>33.4</v>
      </c>
      <c r="E56" s="16" t="s">
        <v>112</v>
      </c>
      <c r="F56" s="17">
        <f t="shared" si="28"/>
        <v>1.4999999999999999E-2</v>
      </c>
      <c r="G56" s="18">
        <f>VLOOKUP(E56,WorkingDB[],2,FALSE)</f>
        <v>0.72099999999999997</v>
      </c>
      <c r="H56" s="19">
        <f>VLOOKUP(E56,WorkingDB[],3,FALSE)</f>
        <v>840</v>
      </c>
      <c r="I56" s="19">
        <f>VLOOKUP(E56,WorkingDB[],4,FALSE)</f>
        <v>1762</v>
      </c>
      <c r="J56" s="5">
        <f>VLOOKUP(E56,WorkingDB[],5,FALSE)</f>
        <v>0</v>
      </c>
      <c r="K56" s="5">
        <f>VLOOKUP(E56,WorkingDB[],6,FALSE)</f>
        <v>0</v>
      </c>
      <c r="L56" s="44">
        <f>VLOOKUP(E56,WorkingDB[],7,FALSE)*F56+VLOOKUP(E56,CostDB[],5,FALSE)</f>
        <v>339.1</v>
      </c>
      <c r="M56" s="16" t="s">
        <v>108</v>
      </c>
      <c r="N56" s="17">
        <v>7.4999999999999997E-2</v>
      </c>
      <c r="O56" s="18">
        <f>VLOOKUP(M56,WorkingDB[],2,FALSE)</f>
        <v>0.79800000000000004</v>
      </c>
      <c r="P56" s="19">
        <f>VLOOKUP(M56,WorkingDB[],3,FALSE)</f>
        <v>880</v>
      </c>
      <c r="Q56" s="19">
        <f>VLOOKUP(M56,WorkingDB[],4,FALSE)</f>
        <v>1892</v>
      </c>
      <c r="R56" s="5">
        <f>VLOOKUP(M56,WorkingDB[],5,FALSE)</f>
        <v>0</v>
      </c>
      <c r="S56" s="5">
        <f>VLOOKUP(M56,WorkingDB[],6,FALSE)</f>
        <v>0</v>
      </c>
      <c r="T56" s="44">
        <f>VLOOKUP(M56,WorkingDB[],7,FALSE)*N56+VLOOKUP(M56,CostDB[],5,FALSE)</f>
        <v>549.04999999999995</v>
      </c>
      <c r="U56" s="16" t="s">
        <v>238</v>
      </c>
      <c r="V56" s="17">
        <f>10/1000</f>
        <v>0.01</v>
      </c>
      <c r="W56" s="18">
        <f>VLOOKUP(U56,WorkingDB[],2,FALSE)</f>
        <v>3.7999999999999999E-2</v>
      </c>
      <c r="X56" s="19">
        <f>VLOOKUP(U56,WorkingDB[],3,FALSE)</f>
        <v>1213</v>
      </c>
      <c r="Y56" s="19">
        <f>VLOOKUP(U56,WorkingDB[],4,FALSE)</f>
        <v>28</v>
      </c>
      <c r="Z56" s="5">
        <f>VLOOKUP(U56,WorkingDB[],5,FALSE)</f>
        <v>0</v>
      </c>
      <c r="AA56" s="5">
        <f>VLOOKUP(U56,WorkingDB[],6,FALSE)</f>
        <v>0</v>
      </c>
      <c r="AB56" s="44">
        <f>VLOOKUP(U56,WorkingDB[],7,FALSE)*V56+VLOOKUP(U56,CostDB[],5,FALSE)</f>
        <v>2736.8</v>
      </c>
      <c r="AC56" s="16" t="s">
        <v>107</v>
      </c>
      <c r="AD56" s="17">
        <v>0.15</v>
      </c>
      <c r="AE56" s="18">
        <f>VLOOKUP(AC56,WorkingDB[],2,FALSE)</f>
        <v>1.58</v>
      </c>
      <c r="AF56" s="19">
        <f>VLOOKUP(AC56,WorkingDB[],3,FALSE)</f>
        <v>880</v>
      </c>
      <c r="AG56" s="19">
        <f>VLOOKUP(AC56,WorkingDB[],4,FALSE)</f>
        <v>2288</v>
      </c>
      <c r="AH56" s="5">
        <f>VLOOKUP(AC56,WorkingDB[],5,FALSE)</f>
        <v>0</v>
      </c>
      <c r="AI56" s="5">
        <f>VLOOKUP(AC56,WorkingDB[],6,FALSE)</f>
        <v>0</v>
      </c>
      <c r="AJ56" s="44">
        <f>VLOOKUP(AC56,WorkingDB[],7,FALSE)*AD56+VLOOKUP(AC56,CostDB[],5,FALSE)</f>
        <v>2374.4449999999997</v>
      </c>
      <c r="AK56" s="16" t="s">
        <v>112</v>
      </c>
      <c r="AL56" s="17">
        <f t="shared" si="64"/>
        <v>1.4999999999999999E-2</v>
      </c>
      <c r="AM56" s="18">
        <f>VLOOKUP(AK56,WorkingDB[],2,FALSE)</f>
        <v>0.72099999999999997</v>
      </c>
      <c r="AN56" s="19">
        <f>VLOOKUP(AK56,WorkingDB[],3,FALSE)</f>
        <v>840</v>
      </c>
      <c r="AO56" s="19">
        <f>VLOOKUP(AK56,WorkingDB[],4,FALSE)</f>
        <v>1762</v>
      </c>
      <c r="AP56" s="5">
        <f>VLOOKUP(AK56,WorkingDB[],5,FALSE)</f>
        <v>0</v>
      </c>
      <c r="AQ56" s="5">
        <f>VLOOKUP(AK56,WorkingDB[],6,FALSE)</f>
        <v>0</v>
      </c>
      <c r="AR56" s="44">
        <f>VLOOKUP(AK56,WorkingDB[],7,FALSE)*AL56+VLOOKUP(AK56,CostDB[],5,FALSE)</f>
        <v>339.1</v>
      </c>
      <c r="AS56" s="16" t="s">
        <v>90</v>
      </c>
      <c r="AT56" s="17">
        <v>0</v>
      </c>
      <c r="AU56" s="18">
        <f>VLOOKUP(AS56,WorkingDB[],2,FALSE)</f>
        <v>0</v>
      </c>
      <c r="AV56" s="19">
        <f>VLOOKUP(AS56,WorkingDB[],3,FALSE)</f>
        <v>0</v>
      </c>
      <c r="AW56" s="19">
        <f>VLOOKUP(AS56,WorkingDB[],4,FALSE)</f>
        <v>0</v>
      </c>
      <c r="AX56" s="5">
        <f>VLOOKUP(AS56,WorkingDB[],5,FALSE)</f>
        <v>0</v>
      </c>
      <c r="AY56" s="5">
        <f>VLOOKUP(AS56,WorkingDB[],6,FALSE)</f>
        <v>0</v>
      </c>
      <c r="AZ56" s="44" t="e">
        <f>VLOOKUP(AS56,WorkingDB[],7,FALSE)*AT56+VLOOKUP(AS56,CostDB[],5,FALSE)</f>
        <v>#N/A</v>
      </c>
      <c r="BA56" s="27">
        <v>9.3086381369319291</v>
      </c>
      <c r="BB56" s="20">
        <f t="shared" si="87"/>
        <v>0.26500000000000001</v>
      </c>
      <c r="BC56" s="18">
        <f t="shared" si="88"/>
        <v>1.5846462676788338</v>
      </c>
      <c r="BD56" s="18">
        <f t="shared" si="89"/>
        <v>0.41993126093489097</v>
      </c>
      <c r="BE56" s="19">
        <f t="shared" si="90"/>
        <v>538.24</v>
      </c>
      <c r="BF56" s="19">
        <f t="shared" si="91"/>
        <v>2031.0943396226414</v>
      </c>
      <c r="BG56" s="19">
        <f t="shared" si="92"/>
        <v>471630.04000000004</v>
      </c>
      <c r="BH56" s="19">
        <f t="shared" si="93"/>
        <v>876.24487217598107</v>
      </c>
      <c r="BI56" s="18">
        <f t="shared" si="94"/>
        <v>82.673557573415763</v>
      </c>
      <c r="BJ56" s="22">
        <f t="shared" si="95"/>
        <v>2.3595143377157674E-7</v>
      </c>
      <c r="BK56" s="23">
        <f t="shared" si="96"/>
        <v>8.4942516157767627E-4</v>
      </c>
      <c r="BL56" s="19">
        <f t="shared" si="29"/>
        <v>6338.4950000000008</v>
      </c>
      <c r="BM56" s="18"/>
      <c r="BP56" s="20">
        <f t="shared" si="2"/>
        <v>589.0794609665428</v>
      </c>
      <c r="BR56" s="45">
        <f t="shared" si="74"/>
        <v>22201.200000000001</v>
      </c>
      <c r="BS56" s="45">
        <f t="shared" si="75"/>
        <v>124872</v>
      </c>
      <c r="BT56" s="45">
        <f t="shared" si="76"/>
        <v>339.64000000000004</v>
      </c>
      <c r="BU56" s="45">
        <f t="shared" si="77"/>
        <v>302016</v>
      </c>
      <c r="BV56" s="45">
        <f t="shared" si="78"/>
        <v>22201.200000000001</v>
      </c>
      <c r="BW56" s="45">
        <f t="shared" si="79"/>
        <v>0</v>
      </c>
      <c r="BX56" s="46">
        <f t="shared" si="80"/>
        <v>2.0804438280166437E-2</v>
      </c>
      <c r="BY56" s="46">
        <f t="shared" si="81"/>
        <v>9.3984962406015032E-2</v>
      </c>
      <c r="BZ56" s="46">
        <f t="shared" si="82"/>
        <v>0.26315789473684209</v>
      </c>
      <c r="CA56" s="46">
        <f t="shared" si="83"/>
        <v>9.4936708860759486E-2</v>
      </c>
      <c r="CB56" s="46">
        <f t="shared" si="84"/>
        <v>2.0804438280166437E-2</v>
      </c>
      <c r="CC56" s="46">
        <f t="shared" si="85"/>
        <v>0</v>
      </c>
      <c r="CD56" s="45">
        <f t="shared" si="86"/>
        <v>45.031411698014409</v>
      </c>
    </row>
    <row r="57" spans="1:82" ht="14.4" x14ac:dyDescent="0.3">
      <c r="A57" s="5" t="s">
        <v>355</v>
      </c>
      <c r="B57" s="5" t="s">
        <v>290</v>
      </c>
      <c r="C57" s="4" t="s">
        <v>226</v>
      </c>
      <c r="D57" s="28">
        <v>33.4</v>
      </c>
      <c r="E57" s="16" t="s">
        <v>112</v>
      </c>
      <c r="F57" s="17">
        <f t="shared" si="28"/>
        <v>1.4999999999999999E-2</v>
      </c>
      <c r="G57" s="18">
        <f>VLOOKUP(E57,WorkingDB[],2,FALSE)</f>
        <v>0.72099999999999997</v>
      </c>
      <c r="H57" s="19">
        <f>VLOOKUP(E57,WorkingDB[],3,FALSE)</f>
        <v>840</v>
      </c>
      <c r="I57" s="19">
        <f>VLOOKUP(E57,WorkingDB[],4,FALSE)</f>
        <v>1762</v>
      </c>
      <c r="J57" s="5">
        <f>VLOOKUP(E57,WorkingDB[],5,FALSE)</f>
        <v>0</v>
      </c>
      <c r="K57" s="5">
        <f>VLOOKUP(E57,WorkingDB[],6,FALSE)</f>
        <v>0</v>
      </c>
      <c r="L57" s="44">
        <f>VLOOKUP(E57,WorkingDB[],7,FALSE)*F57+VLOOKUP(E57,CostDB[],5,FALSE)</f>
        <v>339.1</v>
      </c>
      <c r="M57" s="16" t="s">
        <v>108</v>
      </c>
      <c r="N57" s="17">
        <v>7.4999999999999997E-2</v>
      </c>
      <c r="O57" s="18">
        <f>VLOOKUP(M57,WorkingDB[],2,FALSE)</f>
        <v>0.79800000000000004</v>
      </c>
      <c r="P57" s="19">
        <f>VLOOKUP(M57,WorkingDB[],3,FALSE)</f>
        <v>880</v>
      </c>
      <c r="Q57" s="19">
        <f>VLOOKUP(M57,WorkingDB[],4,FALSE)</f>
        <v>1892</v>
      </c>
      <c r="R57" s="5">
        <f>VLOOKUP(M57,WorkingDB[],5,FALSE)</f>
        <v>0</v>
      </c>
      <c r="S57" s="5">
        <f>VLOOKUP(M57,WorkingDB[],6,FALSE)</f>
        <v>0</v>
      </c>
      <c r="T57" s="44">
        <f>VLOOKUP(M57,WorkingDB[],7,FALSE)*N57+VLOOKUP(M57,CostDB[],5,FALSE)</f>
        <v>549.04999999999995</v>
      </c>
      <c r="U57" s="16" t="s">
        <v>238</v>
      </c>
      <c r="V57" s="17">
        <f>12.5/1000</f>
        <v>1.2500000000000001E-2</v>
      </c>
      <c r="W57" s="18">
        <f>VLOOKUP(U57,WorkingDB[],2,FALSE)</f>
        <v>3.7999999999999999E-2</v>
      </c>
      <c r="X57" s="19">
        <f>VLOOKUP(U57,WorkingDB[],3,FALSE)</f>
        <v>1213</v>
      </c>
      <c r="Y57" s="19">
        <f>VLOOKUP(U57,WorkingDB[],4,FALSE)</f>
        <v>28</v>
      </c>
      <c r="Z57" s="5">
        <f>VLOOKUP(U57,WorkingDB[],5,FALSE)</f>
        <v>0</v>
      </c>
      <c r="AA57" s="5">
        <f>VLOOKUP(U57,WorkingDB[],6,FALSE)</f>
        <v>0</v>
      </c>
      <c r="AB57" s="44">
        <f>VLOOKUP(U57,WorkingDB[],7,FALSE)*V57+VLOOKUP(U57,CostDB[],5,FALSE)</f>
        <v>2753.9875000000002</v>
      </c>
      <c r="AC57" s="16" t="s">
        <v>107</v>
      </c>
      <c r="AD57" s="17">
        <v>0.15</v>
      </c>
      <c r="AE57" s="18">
        <f>VLOOKUP(AC57,WorkingDB[],2,FALSE)</f>
        <v>1.58</v>
      </c>
      <c r="AF57" s="19">
        <f>VLOOKUP(AC57,WorkingDB[],3,FALSE)</f>
        <v>880</v>
      </c>
      <c r="AG57" s="19">
        <f>VLOOKUP(AC57,WorkingDB[],4,FALSE)</f>
        <v>2288</v>
      </c>
      <c r="AH57" s="5">
        <f>VLOOKUP(AC57,WorkingDB[],5,FALSE)</f>
        <v>0</v>
      </c>
      <c r="AI57" s="5">
        <f>VLOOKUP(AC57,WorkingDB[],6,FALSE)</f>
        <v>0</v>
      </c>
      <c r="AJ57" s="44">
        <f>VLOOKUP(AC57,WorkingDB[],7,FALSE)*AD57+VLOOKUP(AC57,CostDB[],5,FALSE)</f>
        <v>2374.4449999999997</v>
      </c>
      <c r="AK57" s="16" t="s">
        <v>112</v>
      </c>
      <c r="AL57" s="17">
        <f t="shared" si="64"/>
        <v>1.4999999999999999E-2</v>
      </c>
      <c r="AM57" s="18">
        <f>VLOOKUP(AK57,WorkingDB[],2,FALSE)</f>
        <v>0.72099999999999997</v>
      </c>
      <c r="AN57" s="19">
        <f>VLOOKUP(AK57,WorkingDB[],3,FALSE)</f>
        <v>840</v>
      </c>
      <c r="AO57" s="19">
        <f>VLOOKUP(AK57,WorkingDB[],4,FALSE)</f>
        <v>1762</v>
      </c>
      <c r="AP57" s="5">
        <f>VLOOKUP(AK57,WorkingDB[],5,FALSE)</f>
        <v>0</v>
      </c>
      <c r="AQ57" s="5">
        <f>VLOOKUP(AK57,WorkingDB[],6,FALSE)</f>
        <v>0</v>
      </c>
      <c r="AR57" s="44">
        <f>VLOOKUP(AK57,WorkingDB[],7,FALSE)*AL57+VLOOKUP(AK57,CostDB[],5,FALSE)</f>
        <v>339.1</v>
      </c>
      <c r="AS57" s="16" t="s">
        <v>90</v>
      </c>
      <c r="AT57" s="17">
        <v>0</v>
      </c>
      <c r="AU57" s="18">
        <f>VLOOKUP(AS57,WorkingDB[],2,FALSE)</f>
        <v>0</v>
      </c>
      <c r="AV57" s="19">
        <f>VLOOKUP(AS57,WorkingDB[],3,FALSE)</f>
        <v>0</v>
      </c>
      <c r="AW57" s="19">
        <f>VLOOKUP(AS57,WorkingDB[],4,FALSE)</f>
        <v>0</v>
      </c>
      <c r="AX57" s="5">
        <f>VLOOKUP(AS57,WorkingDB[],5,FALSE)</f>
        <v>0</v>
      </c>
      <c r="AY57" s="5">
        <f>VLOOKUP(AS57,WorkingDB[],6,FALSE)</f>
        <v>0</v>
      </c>
      <c r="AZ57" s="44" t="e">
        <f>VLOOKUP(AS57,WorkingDB[],7,FALSE)*AT57+VLOOKUP(AS57,CostDB[],5,FALSE)</f>
        <v>#N/A</v>
      </c>
      <c r="BA57" s="27">
        <v>9.3086381369319291</v>
      </c>
      <c r="BB57" s="20">
        <f t="shared" si="87"/>
        <v>0.26750000000000002</v>
      </c>
      <c r="BC57" s="18">
        <f t="shared" si="88"/>
        <v>1.4350390758666394</v>
      </c>
      <c r="BD57" s="18">
        <f t="shared" si="89"/>
        <v>0.38387295279432604</v>
      </c>
      <c r="BE57" s="19">
        <f t="shared" si="90"/>
        <v>538.30999999999995</v>
      </c>
      <c r="BF57" s="19">
        <f t="shared" si="91"/>
        <v>2012.3738317757006</v>
      </c>
      <c r="BG57" s="19">
        <f t="shared" si="92"/>
        <v>471714.95</v>
      </c>
      <c r="BH57" s="19">
        <f t="shared" si="93"/>
        <v>876.28866266649345</v>
      </c>
      <c r="BI57" s="18">
        <f t="shared" si="94"/>
        <v>91.308963469460664</v>
      </c>
      <c r="BJ57" s="22">
        <f t="shared" si="95"/>
        <v>2.1768658142482493E-7</v>
      </c>
      <c r="BK57" s="23">
        <f t="shared" si="96"/>
        <v>7.8367169312936976E-4</v>
      </c>
      <c r="BL57" s="19">
        <f t="shared" si="29"/>
        <v>6355.6825000000008</v>
      </c>
      <c r="BM57" s="18"/>
      <c r="BP57" s="20">
        <f t="shared" si="2"/>
        <v>590.67681226765808</v>
      </c>
      <c r="BR57" s="45">
        <f t="shared" si="74"/>
        <v>22201.200000000001</v>
      </c>
      <c r="BS57" s="45">
        <f t="shared" si="75"/>
        <v>124872</v>
      </c>
      <c r="BT57" s="45">
        <f t="shared" si="76"/>
        <v>424.55000000000007</v>
      </c>
      <c r="BU57" s="45">
        <f t="shared" si="77"/>
        <v>302016</v>
      </c>
      <c r="BV57" s="45">
        <f t="shared" si="78"/>
        <v>22201.200000000001</v>
      </c>
      <c r="BW57" s="45">
        <f t="shared" si="79"/>
        <v>0</v>
      </c>
      <c r="BX57" s="46">
        <f t="shared" si="80"/>
        <v>2.0804438280166437E-2</v>
      </c>
      <c r="BY57" s="46">
        <f t="shared" si="81"/>
        <v>9.3984962406015032E-2</v>
      </c>
      <c r="BZ57" s="46">
        <f t="shared" si="82"/>
        <v>0.32894736842105265</v>
      </c>
      <c r="CA57" s="46">
        <f t="shared" si="83"/>
        <v>9.4936708860759486E-2</v>
      </c>
      <c r="CB57" s="46">
        <f t="shared" si="84"/>
        <v>2.0804438280166437E-2</v>
      </c>
      <c r="CC57" s="46">
        <f t="shared" si="85"/>
        <v>0</v>
      </c>
      <c r="CD57" s="45">
        <f t="shared" si="86"/>
        <v>50.966829964652455</v>
      </c>
    </row>
    <row r="58" spans="1:82" ht="14.4" x14ac:dyDescent="0.3">
      <c r="A58" s="5" t="s">
        <v>356</v>
      </c>
      <c r="B58" s="5" t="s">
        <v>286</v>
      </c>
      <c r="C58" s="4" t="s">
        <v>226</v>
      </c>
      <c r="D58" s="28">
        <v>33.4</v>
      </c>
      <c r="E58" s="16" t="s">
        <v>112</v>
      </c>
      <c r="F58" s="17">
        <f t="shared" si="28"/>
        <v>1.4999999999999999E-2</v>
      </c>
      <c r="G58" s="18">
        <f>VLOOKUP(E58,WorkingDB[],2,FALSE)</f>
        <v>0.72099999999999997</v>
      </c>
      <c r="H58" s="19">
        <f>VLOOKUP(E58,WorkingDB[],3,FALSE)</f>
        <v>840</v>
      </c>
      <c r="I58" s="19">
        <f>VLOOKUP(E58,WorkingDB[],4,FALSE)</f>
        <v>1762</v>
      </c>
      <c r="J58" s="5">
        <f>VLOOKUP(E58,WorkingDB[],5,FALSE)</f>
        <v>0</v>
      </c>
      <c r="K58" s="5">
        <f>VLOOKUP(E58,WorkingDB[],6,FALSE)</f>
        <v>0</v>
      </c>
      <c r="L58" s="44">
        <f>VLOOKUP(E58,WorkingDB[],7,FALSE)*F58+VLOOKUP(E58,CostDB[],5,FALSE)</f>
        <v>339.1</v>
      </c>
      <c r="M58" s="16" t="s">
        <v>108</v>
      </c>
      <c r="N58" s="17">
        <v>7.4999999999999997E-2</v>
      </c>
      <c r="O58" s="18">
        <f>VLOOKUP(M58,WorkingDB[],2,FALSE)</f>
        <v>0.79800000000000004</v>
      </c>
      <c r="P58" s="19">
        <f>VLOOKUP(M58,WorkingDB[],3,FALSE)</f>
        <v>880</v>
      </c>
      <c r="Q58" s="19">
        <f>VLOOKUP(M58,WorkingDB[],4,FALSE)</f>
        <v>1892</v>
      </c>
      <c r="R58" s="5">
        <f>VLOOKUP(M58,WorkingDB[],5,FALSE)</f>
        <v>0</v>
      </c>
      <c r="S58" s="5">
        <f>VLOOKUP(M58,WorkingDB[],6,FALSE)</f>
        <v>0</v>
      </c>
      <c r="T58" s="44">
        <f>VLOOKUP(M58,WorkingDB[],7,FALSE)*N58+VLOOKUP(M58,CostDB[],5,FALSE)</f>
        <v>549.04999999999995</v>
      </c>
      <c r="U58" s="16" t="s">
        <v>238</v>
      </c>
      <c r="V58" s="17">
        <f>15/1000</f>
        <v>1.4999999999999999E-2</v>
      </c>
      <c r="W58" s="18">
        <f>VLOOKUP(U58,WorkingDB[],2,FALSE)</f>
        <v>3.7999999999999999E-2</v>
      </c>
      <c r="X58" s="19">
        <f>VLOOKUP(U58,WorkingDB[],3,FALSE)</f>
        <v>1213</v>
      </c>
      <c r="Y58" s="19">
        <f>VLOOKUP(U58,WorkingDB[],4,FALSE)</f>
        <v>28</v>
      </c>
      <c r="Z58" s="5">
        <f>VLOOKUP(U58,WorkingDB[],5,FALSE)</f>
        <v>0</v>
      </c>
      <c r="AA58" s="5">
        <f>VLOOKUP(U58,WorkingDB[],6,FALSE)</f>
        <v>0</v>
      </c>
      <c r="AB58" s="44">
        <f>VLOOKUP(U58,WorkingDB[],7,FALSE)*V58+VLOOKUP(U58,CostDB[],5,FALSE)</f>
        <v>2771.1750000000002</v>
      </c>
      <c r="AC58" s="16" t="s">
        <v>107</v>
      </c>
      <c r="AD58" s="17">
        <v>0.15</v>
      </c>
      <c r="AE58" s="18">
        <f>VLOOKUP(AC58,WorkingDB[],2,FALSE)</f>
        <v>1.58</v>
      </c>
      <c r="AF58" s="19">
        <f>VLOOKUP(AC58,WorkingDB[],3,FALSE)</f>
        <v>880</v>
      </c>
      <c r="AG58" s="19">
        <f>VLOOKUP(AC58,WorkingDB[],4,FALSE)</f>
        <v>2288</v>
      </c>
      <c r="AH58" s="5">
        <f>VLOOKUP(AC58,WorkingDB[],5,FALSE)</f>
        <v>0</v>
      </c>
      <c r="AI58" s="5">
        <f>VLOOKUP(AC58,WorkingDB[],6,FALSE)</f>
        <v>0</v>
      </c>
      <c r="AJ58" s="44">
        <f>VLOOKUP(AC58,WorkingDB[],7,FALSE)*AD58+VLOOKUP(AC58,CostDB[],5,FALSE)</f>
        <v>2374.4449999999997</v>
      </c>
      <c r="AK58" s="16" t="s">
        <v>112</v>
      </c>
      <c r="AL58" s="17">
        <f t="shared" si="64"/>
        <v>1.4999999999999999E-2</v>
      </c>
      <c r="AM58" s="18">
        <f>VLOOKUP(AK58,WorkingDB[],2,FALSE)</f>
        <v>0.72099999999999997</v>
      </c>
      <c r="AN58" s="19">
        <f>VLOOKUP(AK58,WorkingDB[],3,FALSE)</f>
        <v>840</v>
      </c>
      <c r="AO58" s="19">
        <f>VLOOKUP(AK58,WorkingDB[],4,FALSE)</f>
        <v>1762</v>
      </c>
      <c r="AP58" s="5">
        <f>VLOOKUP(AK58,WorkingDB[],5,FALSE)</f>
        <v>0</v>
      </c>
      <c r="AQ58" s="5">
        <f>VLOOKUP(AK58,WorkingDB[],6,FALSE)</f>
        <v>0</v>
      </c>
      <c r="AR58" s="44">
        <f>VLOOKUP(AK58,WorkingDB[],7,FALSE)*AL58+VLOOKUP(AK58,CostDB[],5,FALSE)</f>
        <v>339.1</v>
      </c>
      <c r="AS58" s="16" t="s">
        <v>90</v>
      </c>
      <c r="AT58" s="17">
        <v>0</v>
      </c>
      <c r="AU58" s="18">
        <f>VLOOKUP(AS58,WorkingDB[],2,FALSE)</f>
        <v>0</v>
      </c>
      <c r="AV58" s="19">
        <f>VLOOKUP(AS58,WorkingDB[],3,FALSE)</f>
        <v>0</v>
      </c>
      <c r="AW58" s="19">
        <f>VLOOKUP(AS58,WorkingDB[],4,FALSE)</f>
        <v>0</v>
      </c>
      <c r="AX58" s="5">
        <f>VLOOKUP(AS58,WorkingDB[],5,FALSE)</f>
        <v>0</v>
      </c>
      <c r="AY58" s="5">
        <f>VLOOKUP(AS58,WorkingDB[],6,FALSE)</f>
        <v>0</v>
      </c>
      <c r="AZ58" s="44" t="e">
        <f>VLOOKUP(AS58,WorkingDB[],7,FALSE)*AT58+VLOOKUP(AS58,CostDB[],5,FALSE)</f>
        <v>#N/A</v>
      </c>
      <c r="BA58" s="27">
        <v>9.3086381369319291</v>
      </c>
      <c r="BB58" s="20">
        <f t="shared" si="87"/>
        <v>0.27</v>
      </c>
      <c r="BC58" s="18">
        <f t="shared" si="88"/>
        <v>1.3112439263709119</v>
      </c>
      <c r="BD58" s="18">
        <f t="shared" si="89"/>
        <v>0.35403586012014626</v>
      </c>
      <c r="BE58" s="19">
        <f t="shared" si="90"/>
        <v>538.38</v>
      </c>
      <c r="BF58" s="19">
        <f t="shared" si="91"/>
        <v>1993.9999999999998</v>
      </c>
      <c r="BG58" s="19">
        <f t="shared" si="92"/>
        <v>471799.86000000004</v>
      </c>
      <c r="BH58" s="19">
        <f t="shared" si="93"/>
        <v>876.33244176975381</v>
      </c>
      <c r="BI58" s="18">
        <f t="shared" si="94"/>
        <v>99.94747280117808</v>
      </c>
      <c r="BJ58" s="22">
        <f t="shared" si="95"/>
        <v>2.0260642347888676E-7</v>
      </c>
      <c r="BK58" s="23">
        <f t="shared" si="96"/>
        <v>7.2938312452399236E-4</v>
      </c>
      <c r="BL58" s="19">
        <f t="shared" si="29"/>
        <v>6372.8700000000008</v>
      </c>
      <c r="BM58" s="18"/>
      <c r="BP58" s="20">
        <f t="shared" si="2"/>
        <v>592.27416356877336</v>
      </c>
      <c r="BR58" s="45">
        <f t="shared" si="74"/>
        <v>22201.200000000001</v>
      </c>
      <c r="BS58" s="45">
        <f t="shared" si="75"/>
        <v>124872</v>
      </c>
      <c r="BT58" s="45">
        <f t="shared" si="76"/>
        <v>509.46</v>
      </c>
      <c r="BU58" s="45">
        <f t="shared" si="77"/>
        <v>302016</v>
      </c>
      <c r="BV58" s="45">
        <f t="shared" si="78"/>
        <v>22201.200000000001</v>
      </c>
      <c r="BW58" s="45">
        <f t="shared" si="79"/>
        <v>0</v>
      </c>
      <c r="BX58" s="46">
        <f t="shared" si="80"/>
        <v>2.0804438280166437E-2</v>
      </c>
      <c r="BY58" s="46">
        <f t="shared" si="81"/>
        <v>9.3984962406015032E-2</v>
      </c>
      <c r="BZ58" s="46">
        <f t="shared" si="82"/>
        <v>0.39473684210526316</v>
      </c>
      <c r="CA58" s="46">
        <f t="shared" si="83"/>
        <v>9.4936708860759486E-2</v>
      </c>
      <c r="CB58" s="46">
        <f t="shared" si="84"/>
        <v>2.0804438280166437E-2</v>
      </c>
      <c r="CC58" s="46">
        <f t="shared" si="85"/>
        <v>0</v>
      </c>
      <c r="CD58" s="45">
        <f t="shared" si="86"/>
        <v>56.903799949126736</v>
      </c>
    </row>
    <row r="59" spans="1:82" ht="14.4" x14ac:dyDescent="0.3">
      <c r="A59" s="5" t="s">
        <v>357</v>
      </c>
      <c r="B59" s="5" t="s">
        <v>291</v>
      </c>
      <c r="C59" s="4" t="s">
        <v>226</v>
      </c>
      <c r="D59" s="28">
        <v>33.4</v>
      </c>
      <c r="E59" s="16" t="s">
        <v>112</v>
      </c>
      <c r="F59" s="17">
        <f t="shared" si="28"/>
        <v>1.4999999999999999E-2</v>
      </c>
      <c r="G59" s="18">
        <f>VLOOKUP(E59,WorkingDB[],2,FALSE)</f>
        <v>0.72099999999999997</v>
      </c>
      <c r="H59" s="19">
        <f>VLOOKUP(E59,WorkingDB[],3,FALSE)</f>
        <v>840</v>
      </c>
      <c r="I59" s="19">
        <f>VLOOKUP(E59,WorkingDB[],4,FALSE)</f>
        <v>1762</v>
      </c>
      <c r="J59" s="5">
        <f>VLOOKUP(E59,WorkingDB[],5,FALSE)</f>
        <v>0</v>
      </c>
      <c r="K59" s="5">
        <f>VLOOKUP(E59,WorkingDB[],6,FALSE)</f>
        <v>0</v>
      </c>
      <c r="L59" s="44">
        <f>VLOOKUP(E59,WorkingDB[],7,FALSE)*F59+VLOOKUP(E59,CostDB[],5,FALSE)</f>
        <v>339.1</v>
      </c>
      <c r="M59" s="16" t="s">
        <v>108</v>
      </c>
      <c r="N59" s="17">
        <v>7.4999999999999997E-2</v>
      </c>
      <c r="O59" s="18">
        <f>VLOOKUP(M59,WorkingDB[],2,FALSE)</f>
        <v>0.79800000000000004</v>
      </c>
      <c r="P59" s="19">
        <f>VLOOKUP(M59,WorkingDB[],3,FALSE)</f>
        <v>880</v>
      </c>
      <c r="Q59" s="19">
        <f>VLOOKUP(M59,WorkingDB[],4,FALSE)</f>
        <v>1892</v>
      </c>
      <c r="R59" s="5">
        <f>VLOOKUP(M59,WorkingDB[],5,FALSE)</f>
        <v>0</v>
      </c>
      <c r="S59" s="5">
        <f>VLOOKUP(M59,WorkingDB[],6,FALSE)</f>
        <v>0</v>
      </c>
      <c r="T59" s="44">
        <f>VLOOKUP(M59,WorkingDB[],7,FALSE)*N59+VLOOKUP(M59,CostDB[],5,FALSE)</f>
        <v>549.04999999999995</v>
      </c>
      <c r="U59" s="16" t="s">
        <v>238</v>
      </c>
      <c r="V59" s="17">
        <f>17.5/1000</f>
        <v>1.7500000000000002E-2</v>
      </c>
      <c r="W59" s="18">
        <f>VLOOKUP(U59,WorkingDB[],2,FALSE)</f>
        <v>3.7999999999999999E-2</v>
      </c>
      <c r="X59" s="19">
        <f>VLOOKUP(U59,WorkingDB[],3,FALSE)</f>
        <v>1213</v>
      </c>
      <c r="Y59" s="19">
        <f>VLOOKUP(U59,WorkingDB[],4,FALSE)</f>
        <v>28</v>
      </c>
      <c r="Z59" s="5">
        <f>VLOOKUP(U59,WorkingDB[],5,FALSE)</f>
        <v>0</v>
      </c>
      <c r="AA59" s="5">
        <f>VLOOKUP(U59,WorkingDB[],6,FALSE)</f>
        <v>0</v>
      </c>
      <c r="AB59" s="44">
        <f>VLOOKUP(U59,WorkingDB[],7,FALSE)*V59+VLOOKUP(U59,CostDB[],5,FALSE)</f>
        <v>2788.3625000000002</v>
      </c>
      <c r="AC59" s="16" t="s">
        <v>107</v>
      </c>
      <c r="AD59" s="17">
        <v>0.15</v>
      </c>
      <c r="AE59" s="18">
        <f>VLOOKUP(AC59,WorkingDB[],2,FALSE)</f>
        <v>1.58</v>
      </c>
      <c r="AF59" s="19">
        <f>VLOOKUP(AC59,WorkingDB[],3,FALSE)</f>
        <v>880</v>
      </c>
      <c r="AG59" s="19">
        <f>VLOOKUP(AC59,WorkingDB[],4,FALSE)</f>
        <v>2288</v>
      </c>
      <c r="AH59" s="5">
        <f>VLOOKUP(AC59,WorkingDB[],5,FALSE)</f>
        <v>0</v>
      </c>
      <c r="AI59" s="5">
        <f>VLOOKUP(AC59,WorkingDB[],6,FALSE)</f>
        <v>0</v>
      </c>
      <c r="AJ59" s="44">
        <f>VLOOKUP(AC59,WorkingDB[],7,FALSE)*AD59+VLOOKUP(AC59,CostDB[],5,FALSE)</f>
        <v>2374.4449999999997</v>
      </c>
      <c r="AK59" s="16" t="s">
        <v>112</v>
      </c>
      <c r="AL59" s="17">
        <f t="shared" si="64"/>
        <v>1.4999999999999999E-2</v>
      </c>
      <c r="AM59" s="18">
        <f>VLOOKUP(AK59,WorkingDB[],2,FALSE)</f>
        <v>0.72099999999999997</v>
      </c>
      <c r="AN59" s="19">
        <f>VLOOKUP(AK59,WorkingDB[],3,FALSE)</f>
        <v>840</v>
      </c>
      <c r="AO59" s="19">
        <f>VLOOKUP(AK59,WorkingDB[],4,FALSE)</f>
        <v>1762</v>
      </c>
      <c r="AP59" s="5">
        <f>VLOOKUP(AK59,WorkingDB[],5,FALSE)</f>
        <v>0</v>
      </c>
      <c r="AQ59" s="5">
        <f>VLOOKUP(AK59,WorkingDB[],6,FALSE)</f>
        <v>0</v>
      </c>
      <c r="AR59" s="44">
        <f>VLOOKUP(AK59,WorkingDB[],7,FALSE)*AL59+VLOOKUP(AK59,CostDB[],5,FALSE)</f>
        <v>339.1</v>
      </c>
      <c r="AS59" s="16" t="s">
        <v>90</v>
      </c>
      <c r="AT59" s="17">
        <v>0</v>
      </c>
      <c r="AU59" s="18">
        <f>VLOOKUP(AS59,WorkingDB[],2,FALSE)</f>
        <v>0</v>
      </c>
      <c r="AV59" s="19">
        <f>VLOOKUP(AS59,WorkingDB[],3,FALSE)</f>
        <v>0</v>
      </c>
      <c r="AW59" s="19">
        <f>VLOOKUP(AS59,WorkingDB[],4,FALSE)</f>
        <v>0</v>
      </c>
      <c r="AX59" s="5">
        <f>VLOOKUP(AS59,WorkingDB[],5,FALSE)</f>
        <v>0</v>
      </c>
      <c r="AY59" s="5">
        <f>VLOOKUP(AS59,WorkingDB[],6,FALSE)</f>
        <v>0</v>
      </c>
      <c r="AZ59" s="44" t="e">
        <f>VLOOKUP(AS59,WorkingDB[],7,FALSE)*AT59+VLOOKUP(AS59,CostDB[],5,FALSE)</f>
        <v>#N/A</v>
      </c>
      <c r="BA59" s="27">
        <v>9.3086381369319291</v>
      </c>
      <c r="BB59" s="20">
        <f t="shared" si="87"/>
        <v>0.27250000000000002</v>
      </c>
      <c r="BC59" s="18">
        <f t="shared" si="88"/>
        <v>1.2071112128024006</v>
      </c>
      <c r="BD59" s="18">
        <f t="shared" si="89"/>
        <v>0.3289378054886542</v>
      </c>
      <c r="BE59" s="19">
        <f t="shared" si="90"/>
        <v>538.44999999999993</v>
      </c>
      <c r="BF59" s="19">
        <f t="shared" si="91"/>
        <v>1975.9633027522932</v>
      </c>
      <c r="BG59" s="19">
        <f t="shared" si="92"/>
        <v>471884.77</v>
      </c>
      <c r="BH59" s="19">
        <f t="shared" si="93"/>
        <v>876.37620949020345</v>
      </c>
      <c r="BI59" s="18">
        <f t="shared" si="94"/>
        <v>108.58908556856801</v>
      </c>
      <c r="BJ59" s="22">
        <f t="shared" si="95"/>
        <v>1.8995220378834916E-7</v>
      </c>
      <c r="BK59" s="23">
        <f t="shared" si="96"/>
        <v>6.8382793363805697E-4</v>
      </c>
      <c r="BL59" s="19">
        <f t="shared" si="29"/>
        <v>6390.0575000000008</v>
      </c>
      <c r="BM59" s="18"/>
      <c r="BP59" s="20">
        <f t="shared" si="2"/>
        <v>593.87151486988853</v>
      </c>
      <c r="BR59" s="45">
        <f t="shared" si="74"/>
        <v>22201.200000000001</v>
      </c>
      <c r="BS59" s="45">
        <f t="shared" si="75"/>
        <v>124872</v>
      </c>
      <c r="BT59" s="45">
        <f t="shared" si="76"/>
        <v>594.37</v>
      </c>
      <c r="BU59" s="45">
        <f t="shared" si="77"/>
        <v>302016</v>
      </c>
      <c r="BV59" s="45">
        <f t="shared" si="78"/>
        <v>22201.200000000001</v>
      </c>
      <c r="BW59" s="45">
        <f t="shared" si="79"/>
        <v>0</v>
      </c>
      <c r="BX59" s="46">
        <f t="shared" si="80"/>
        <v>2.0804438280166437E-2</v>
      </c>
      <c r="BY59" s="46">
        <f t="shared" si="81"/>
        <v>9.3984962406015032E-2</v>
      </c>
      <c r="BZ59" s="46">
        <f t="shared" si="82"/>
        <v>0.46052631578947373</v>
      </c>
      <c r="CA59" s="46">
        <f t="shared" si="83"/>
        <v>9.4936708860759486E-2</v>
      </c>
      <c r="CB59" s="46">
        <f t="shared" si="84"/>
        <v>2.0804438280166437E-2</v>
      </c>
      <c r="CC59" s="46">
        <f t="shared" si="85"/>
        <v>0</v>
      </c>
      <c r="CD59" s="45">
        <f t="shared" si="86"/>
        <v>62.842321651437288</v>
      </c>
    </row>
    <row r="60" spans="1:82" ht="14.4" x14ac:dyDescent="0.3">
      <c r="A60" s="5" t="s">
        <v>358</v>
      </c>
      <c r="B60" s="5" t="s">
        <v>287</v>
      </c>
      <c r="C60" s="4" t="s">
        <v>226</v>
      </c>
      <c r="D60" s="28">
        <v>33.4</v>
      </c>
      <c r="E60" s="16" t="s">
        <v>112</v>
      </c>
      <c r="F60" s="17">
        <f t="shared" si="28"/>
        <v>1.4999999999999999E-2</v>
      </c>
      <c r="G60" s="18">
        <f>VLOOKUP(E60,WorkingDB[],2,FALSE)</f>
        <v>0.72099999999999997</v>
      </c>
      <c r="H60" s="19">
        <f>VLOOKUP(E60,WorkingDB[],3,FALSE)</f>
        <v>840</v>
      </c>
      <c r="I60" s="19">
        <f>VLOOKUP(E60,WorkingDB[],4,FALSE)</f>
        <v>1762</v>
      </c>
      <c r="J60" s="5">
        <f>VLOOKUP(E60,WorkingDB[],5,FALSE)</f>
        <v>0</v>
      </c>
      <c r="K60" s="5">
        <f>VLOOKUP(E60,WorkingDB[],6,FALSE)</f>
        <v>0</v>
      </c>
      <c r="L60" s="44">
        <f>VLOOKUP(E60,WorkingDB[],7,FALSE)*F60+VLOOKUP(E60,CostDB[],5,FALSE)</f>
        <v>339.1</v>
      </c>
      <c r="M60" s="16" t="s">
        <v>108</v>
      </c>
      <c r="N60" s="17">
        <v>7.4999999999999997E-2</v>
      </c>
      <c r="O60" s="18">
        <f>VLOOKUP(M60,WorkingDB[],2,FALSE)</f>
        <v>0.79800000000000004</v>
      </c>
      <c r="P60" s="19">
        <f>VLOOKUP(M60,WorkingDB[],3,FALSE)</f>
        <v>880</v>
      </c>
      <c r="Q60" s="19">
        <f>VLOOKUP(M60,WorkingDB[],4,FALSE)</f>
        <v>1892</v>
      </c>
      <c r="R60" s="5">
        <f>VLOOKUP(M60,WorkingDB[],5,FALSE)</f>
        <v>0</v>
      </c>
      <c r="S60" s="5">
        <f>VLOOKUP(M60,WorkingDB[],6,FALSE)</f>
        <v>0</v>
      </c>
      <c r="T60" s="44">
        <f>VLOOKUP(M60,WorkingDB[],7,FALSE)*N60+VLOOKUP(M60,CostDB[],5,FALSE)</f>
        <v>549.04999999999995</v>
      </c>
      <c r="U60" s="16" t="s">
        <v>238</v>
      </c>
      <c r="V60" s="17">
        <f>20/1000</f>
        <v>0.02</v>
      </c>
      <c r="W60" s="18">
        <f>VLOOKUP(U60,WorkingDB[],2,FALSE)</f>
        <v>3.7999999999999999E-2</v>
      </c>
      <c r="X60" s="19">
        <f>VLOOKUP(U60,WorkingDB[],3,FALSE)</f>
        <v>1213</v>
      </c>
      <c r="Y60" s="19">
        <f>VLOOKUP(U60,WorkingDB[],4,FALSE)</f>
        <v>28</v>
      </c>
      <c r="Z60" s="5">
        <f>VLOOKUP(U60,WorkingDB[],5,FALSE)</f>
        <v>0</v>
      </c>
      <c r="AA60" s="5">
        <f>VLOOKUP(U60,WorkingDB[],6,FALSE)</f>
        <v>0</v>
      </c>
      <c r="AB60" s="44">
        <f>VLOOKUP(U60,WorkingDB[],7,FALSE)*V60+VLOOKUP(U60,CostDB[],5,FALSE)</f>
        <v>2805.55</v>
      </c>
      <c r="AC60" s="16" t="s">
        <v>107</v>
      </c>
      <c r="AD60" s="17">
        <v>0.15</v>
      </c>
      <c r="AE60" s="18">
        <f>VLOOKUP(AC60,WorkingDB[],2,FALSE)</f>
        <v>1.58</v>
      </c>
      <c r="AF60" s="19">
        <f>VLOOKUP(AC60,WorkingDB[],3,FALSE)</f>
        <v>880</v>
      </c>
      <c r="AG60" s="19">
        <f>VLOOKUP(AC60,WorkingDB[],4,FALSE)</f>
        <v>2288</v>
      </c>
      <c r="AH60" s="5">
        <f>VLOOKUP(AC60,WorkingDB[],5,FALSE)</f>
        <v>0</v>
      </c>
      <c r="AI60" s="5">
        <f>VLOOKUP(AC60,WorkingDB[],6,FALSE)</f>
        <v>0</v>
      </c>
      <c r="AJ60" s="44">
        <f>VLOOKUP(AC60,WorkingDB[],7,FALSE)*AD60+VLOOKUP(AC60,CostDB[],5,FALSE)</f>
        <v>2374.4449999999997</v>
      </c>
      <c r="AK60" s="16" t="s">
        <v>112</v>
      </c>
      <c r="AL60" s="17">
        <f t="shared" si="64"/>
        <v>1.4999999999999999E-2</v>
      </c>
      <c r="AM60" s="18">
        <f>VLOOKUP(AK60,WorkingDB[],2,FALSE)</f>
        <v>0.72099999999999997</v>
      </c>
      <c r="AN60" s="19">
        <f>VLOOKUP(AK60,WorkingDB[],3,FALSE)</f>
        <v>840</v>
      </c>
      <c r="AO60" s="19">
        <f>VLOOKUP(AK60,WorkingDB[],4,FALSE)</f>
        <v>1762</v>
      </c>
      <c r="AP60" s="5">
        <f>VLOOKUP(AK60,WorkingDB[],5,FALSE)</f>
        <v>0</v>
      </c>
      <c r="AQ60" s="5">
        <f>VLOOKUP(AK60,WorkingDB[],6,FALSE)</f>
        <v>0</v>
      </c>
      <c r="AR60" s="44">
        <f>VLOOKUP(AK60,WorkingDB[],7,FALSE)*AL60+VLOOKUP(AK60,CostDB[],5,FALSE)</f>
        <v>339.1</v>
      </c>
      <c r="AS60" s="16" t="s">
        <v>90</v>
      </c>
      <c r="AT60" s="17">
        <v>0</v>
      </c>
      <c r="AU60" s="18">
        <f>VLOOKUP(AS60,WorkingDB[],2,FALSE)</f>
        <v>0</v>
      </c>
      <c r="AV60" s="19">
        <f>VLOOKUP(AS60,WorkingDB[],3,FALSE)</f>
        <v>0</v>
      </c>
      <c r="AW60" s="19">
        <f>VLOOKUP(AS60,WorkingDB[],4,FALSE)</f>
        <v>0</v>
      </c>
      <c r="AX60" s="5">
        <f>VLOOKUP(AS60,WorkingDB[],5,FALSE)</f>
        <v>0</v>
      </c>
      <c r="AY60" s="5">
        <f>VLOOKUP(AS60,WorkingDB[],6,FALSE)</f>
        <v>0</v>
      </c>
      <c r="AZ60" s="44" t="e">
        <f>VLOOKUP(AS60,WorkingDB[],7,FALSE)*AT60+VLOOKUP(AS60,CostDB[],5,FALSE)</f>
        <v>#N/A</v>
      </c>
      <c r="BA60" s="27">
        <v>9.3086381369319291</v>
      </c>
      <c r="BB60" s="20">
        <f t="shared" si="87"/>
        <v>0.27500000000000002</v>
      </c>
      <c r="BC60" s="18">
        <f t="shared" si="88"/>
        <v>1.1183010949715237</v>
      </c>
      <c r="BD60" s="18">
        <f t="shared" si="89"/>
        <v>0.30753280111716907</v>
      </c>
      <c r="BE60" s="19">
        <f t="shared" si="90"/>
        <v>538.52</v>
      </c>
      <c r="BF60" s="19">
        <f t="shared" si="91"/>
        <v>1958.2545454545452</v>
      </c>
      <c r="BG60" s="19">
        <f t="shared" si="92"/>
        <v>471969.68</v>
      </c>
      <c r="BH60" s="19">
        <f t="shared" si="93"/>
        <v>876.41996583228104</v>
      </c>
      <c r="BI60" s="18">
        <f t="shared" si="94"/>
        <v>117.23380177163045</v>
      </c>
      <c r="BJ60" s="22">
        <f t="shared" si="95"/>
        <v>1.7918846038419567E-7</v>
      </c>
      <c r="BK60" s="23">
        <f t="shared" si="96"/>
        <v>6.4507845738310447E-4</v>
      </c>
      <c r="BL60" s="19">
        <f t="shared" si="29"/>
        <v>6407.2450000000008</v>
      </c>
      <c r="BM60" s="18"/>
      <c r="BP60" s="20">
        <f t="shared" si="2"/>
        <v>595.46886617100381</v>
      </c>
      <c r="BR60" s="45">
        <f t="shared" si="74"/>
        <v>22201.200000000001</v>
      </c>
      <c r="BS60" s="45">
        <f t="shared" si="75"/>
        <v>124872</v>
      </c>
      <c r="BT60" s="45">
        <f t="shared" si="76"/>
        <v>679.28000000000009</v>
      </c>
      <c r="BU60" s="45">
        <f t="shared" si="77"/>
        <v>302016</v>
      </c>
      <c r="BV60" s="45">
        <f t="shared" si="78"/>
        <v>22201.200000000001</v>
      </c>
      <c r="BW60" s="45">
        <f t="shared" si="79"/>
        <v>0</v>
      </c>
      <c r="BX60" s="46">
        <f t="shared" si="80"/>
        <v>2.0804438280166437E-2</v>
      </c>
      <c r="BY60" s="46">
        <f t="shared" si="81"/>
        <v>9.3984962406015032E-2</v>
      </c>
      <c r="BZ60" s="46">
        <f t="shared" si="82"/>
        <v>0.52631578947368418</v>
      </c>
      <c r="CA60" s="46">
        <f t="shared" si="83"/>
        <v>9.4936708860759486E-2</v>
      </c>
      <c r="CB60" s="46">
        <f t="shared" si="84"/>
        <v>2.0804438280166437E-2</v>
      </c>
      <c r="CC60" s="46">
        <f t="shared" si="85"/>
        <v>0</v>
      </c>
      <c r="CD60" s="45">
        <f t="shared" si="86"/>
        <v>68.782395071584091</v>
      </c>
    </row>
    <row r="61" spans="1:82" ht="14.4" x14ac:dyDescent="0.3">
      <c r="A61" s="5" t="s">
        <v>359</v>
      </c>
      <c r="B61" s="5" t="s">
        <v>272</v>
      </c>
      <c r="C61" s="4" t="s">
        <v>226</v>
      </c>
      <c r="D61" s="28">
        <v>33.4</v>
      </c>
      <c r="E61" s="16" t="s">
        <v>112</v>
      </c>
      <c r="F61" s="17">
        <f t="shared" si="28"/>
        <v>1.4999999999999999E-2</v>
      </c>
      <c r="G61" s="18">
        <f>VLOOKUP(E61,WorkingDB[],2,FALSE)</f>
        <v>0.72099999999999997</v>
      </c>
      <c r="H61" s="19">
        <f>VLOOKUP(E61,WorkingDB[],3,FALSE)</f>
        <v>840</v>
      </c>
      <c r="I61" s="19">
        <f>VLOOKUP(E61,WorkingDB[],4,FALSE)</f>
        <v>1762</v>
      </c>
      <c r="J61" s="5">
        <f>VLOOKUP(E61,WorkingDB[],5,FALSE)</f>
        <v>0</v>
      </c>
      <c r="K61" s="5">
        <f>VLOOKUP(E61,WorkingDB[],6,FALSE)</f>
        <v>0</v>
      </c>
      <c r="L61" s="44">
        <f>VLOOKUP(E61,WorkingDB[],7,FALSE)*F61+VLOOKUP(E61,CostDB[],5,FALSE)</f>
        <v>339.1</v>
      </c>
      <c r="M61" s="16" t="s">
        <v>108</v>
      </c>
      <c r="N61" s="17">
        <v>7.4999999999999997E-2</v>
      </c>
      <c r="O61" s="18">
        <f>VLOOKUP(M61,WorkingDB[],2,FALSE)</f>
        <v>0.79800000000000004</v>
      </c>
      <c r="P61" s="19">
        <f>VLOOKUP(M61,WorkingDB[],3,FALSE)</f>
        <v>880</v>
      </c>
      <c r="Q61" s="19">
        <f>VLOOKUP(M61,WorkingDB[],4,FALSE)</f>
        <v>1892</v>
      </c>
      <c r="R61" s="5">
        <f>VLOOKUP(M61,WorkingDB[],5,FALSE)</f>
        <v>0</v>
      </c>
      <c r="S61" s="5">
        <f>VLOOKUP(M61,WorkingDB[],6,FALSE)</f>
        <v>0</v>
      </c>
      <c r="T61" s="44">
        <f>VLOOKUP(M61,WorkingDB[],7,FALSE)*N61+VLOOKUP(M61,CostDB[],5,FALSE)</f>
        <v>549.04999999999995</v>
      </c>
      <c r="U61" s="16" t="s">
        <v>238</v>
      </c>
      <c r="V61" s="17">
        <v>2.5000000000000001E-2</v>
      </c>
      <c r="W61" s="18">
        <f>VLOOKUP(U61,WorkingDB[],2,FALSE)</f>
        <v>3.7999999999999999E-2</v>
      </c>
      <c r="X61" s="19">
        <f>VLOOKUP(U61,WorkingDB[],3,FALSE)</f>
        <v>1213</v>
      </c>
      <c r="Y61" s="19">
        <f>VLOOKUP(U61,WorkingDB[],4,FALSE)</f>
        <v>28</v>
      </c>
      <c r="Z61" s="5">
        <f>VLOOKUP(U61,WorkingDB[],5,FALSE)</f>
        <v>0</v>
      </c>
      <c r="AA61" s="5">
        <f>VLOOKUP(U61,WorkingDB[],6,FALSE)</f>
        <v>0</v>
      </c>
      <c r="AB61" s="44">
        <f>VLOOKUP(U61,WorkingDB[],7,FALSE)*V61+VLOOKUP(U61,CostDB[],5,FALSE)</f>
        <v>2839.9250000000002</v>
      </c>
      <c r="AC61" s="16" t="s">
        <v>107</v>
      </c>
      <c r="AD61" s="17">
        <v>0.15</v>
      </c>
      <c r="AE61" s="18">
        <f>VLOOKUP(AC61,WorkingDB[],2,FALSE)</f>
        <v>1.58</v>
      </c>
      <c r="AF61" s="19">
        <f>VLOOKUP(AC61,WorkingDB[],3,FALSE)</f>
        <v>880</v>
      </c>
      <c r="AG61" s="19">
        <f>VLOOKUP(AC61,WorkingDB[],4,FALSE)</f>
        <v>2288</v>
      </c>
      <c r="AH61" s="5">
        <f>VLOOKUP(AC61,WorkingDB[],5,FALSE)</f>
        <v>0</v>
      </c>
      <c r="AI61" s="5">
        <f>VLOOKUP(AC61,WorkingDB[],6,FALSE)</f>
        <v>0</v>
      </c>
      <c r="AJ61" s="44">
        <f>VLOOKUP(AC61,WorkingDB[],7,FALSE)*AD61+VLOOKUP(AC61,CostDB[],5,FALSE)</f>
        <v>2374.4449999999997</v>
      </c>
      <c r="AK61" s="16" t="s">
        <v>112</v>
      </c>
      <c r="AL61" s="17">
        <f t="shared" si="64"/>
        <v>1.4999999999999999E-2</v>
      </c>
      <c r="AM61" s="18">
        <f>VLOOKUP(AK61,WorkingDB[],2,FALSE)</f>
        <v>0.72099999999999997</v>
      </c>
      <c r="AN61" s="19">
        <f>VLOOKUP(AK61,WorkingDB[],3,FALSE)</f>
        <v>840</v>
      </c>
      <c r="AO61" s="19">
        <f>VLOOKUP(AK61,WorkingDB[],4,FALSE)</f>
        <v>1762</v>
      </c>
      <c r="AP61" s="5">
        <f>VLOOKUP(AK61,WorkingDB[],5,FALSE)</f>
        <v>0</v>
      </c>
      <c r="AQ61" s="5">
        <f>VLOOKUP(AK61,WorkingDB[],6,FALSE)</f>
        <v>0</v>
      </c>
      <c r="AR61" s="44">
        <f>VLOOKUP(AK61,WorkingDB[],7,FALSE)*AL61+VLOOKUP(AK61,CostDB[],5,FALSE)</f>
        <v>339.1</v>
      </c>
      <c r="AS61" s="16" t="s">
        <v>90</v>
      </c>
      <c r="AT61" s="17">
        <v>0</v>
      </c>
      <c r="AU61" s="18">
        <f>VLOOKUP(AS61,WorkingDB[],2,FALSE)</f>
        <v>0</v>
      </c>
      <c r="AV61" s="19">
        <f>VLOOKUP(AS61,WorkingDB[],3,FALSE)</f>
        <v>0</v>
      </c>
      <c r="AW61" s="19">
        <f>VLOOKUP(AS61,WorkingDB[],4,FALSE)</f>
        <v>0</v>
      </c>
      <c r="AX61" s="5">
        <f>VLOOKUP(AS61,WorkingDB[],5,FALSE)</f>
        <v>0</v>
      </c>
      <c r="AY61" s="5">
        <f>VLOOKUP(AS61,WorkingDB[],6,FALSE)</f>
        <v>0</v>
      </c>
      <c r="AZ61" s="44" t="e">
        <f>VLOOKUP(AS61,WorkingDB[],7,FALSE)*AT61+VLOOKUP(AS61,CostDB[],5,FALSE)</f>
        <v>#N/A</v>
      </c>
      <c r="BA61" s="27">
        <v>9.3086381369319291</v>
      </c>
      <c r="BB61" s="20">
        <f t="shared" si="65"/>
        <v>0.28000000000000003</v>
      </c>
      <c r="BC61" s="18">
        <f t="shared" si="66"/>
        <v>0.97485602174093522</v>
      </c>
      <c r="BD61" s="18">
        <f t="shared" si="67"/>
        <v>0.27295968608746191</v>
      </c>
      <c r="BE61" s="19">
        <f t="shared" si="68"/>
        <v>538.66</v>
      </c>
      <c r="BF61" s="19">
        <f t="shared" si="69"/>
        <v>1923.785714285714</v>
      </c>
      <c r="BG61" s="19">
        <f t="shared" si="70"/>
        <v>472139.50000000006</v>
      </c>
      <c r="BH61" s="19">
        <f t="shared" si="71"/>
        <v>876.50744439906452</v>
      </c>
      <c r="BI61" s="18">
        <f t="shared" si="72"/>
        <v>134.53254448477293</v>
      </c>
      <c r="BJ61" s="22">
        <f t="shared" si="73"/>
        <v>1.6187739450838011E-7</v>
      </c>
      <c r="BK61" s="23">
        <f t="shared" si="40"/>
        <v>5.8275862023016839E-4</v>
      </c>
      <c r="BL61" s="19">
        <f t="shared" si="29"/>
        <v>6441.6200000000008</v>
      </c>
      <c r="BM61" s="18"/>
      <c r="BP61" s="20">
        <f t="shared" si="2"/>
        <v>598.66356877323426</v>
      </c>
      <c r="BR61" s="45">
        <f t="shared" si="74"/>
        <v>22201.200000000001</v>
      </c>
      <c r="BS61" s="45">
        <f t="shared" si="75"/>
        <v>124872</v>
      </c>
      <c r="BT61" s="45">
        <f t="shared" si="76"/>
        <v>849.10000000000014</v>
      </c>
      <c r="BU61" s="45">
        <f t="shared" si="77"/>
        <v>302016</v>
      </c>
      <c r="BV61" s="45">
        <f t="shared" si="78"/>
        <v>22201.200000000001</v>
      </c>
      <c r="BW61" s="45">
        <f t="shared" si="79"/>
        <v>0</v>
      </c>
      <c r="BX61" s="46">
        <f t="shared" si="80"/>
        <v>2.0804438280166437E-2</v>
      </c>
      <c r="BY61" s="46">
        <f t="shared" si="81"/>
        <v>9.3984962406015032E-2</v>
      </c>
      <c r="BZ61" s="46">
        <f t="shared" si="82"/>
        <v>0.65789473684210531</v>
      </c>
      <c r="CA61" s="46">
        <f t="shared" si="83"/>
        <v>9.4936708860759486E-2</v>
      </c>
      <c r="CB61" s="46">
        <f t="shared" si="84"/>
        <v>2.0804438280166437E-2</v>
      </c>
      <c r="CC61" s="46">
        <f t="shared" si="85"/>
        <v>0</v>
      </c>
      <c r="CD61" s="45">
        <f t="shared" si="86"/>
        <v>80.667197065386489</v>
      </c>
    </row>
    <row r="62" spans="1:82" ht="14.4" x14ac:dyDescent="0.3">
      <c r="A62" s="5" t="s">
        <v>360</v>
      </c>
      <c r="B62" s="5" t="s">
        <v>273</v>
      </c>
      <c r="C62" s="4" t="s">
        <v>226</v>
      </c>
      <c r="D62" s="28">
        <v>33.4</v>
      </c>
      <c r="E62" s="16" t="s">
        <v>112</v>
      </c>
      <c r="F62" s="17">
        <f t="shared" si="28"/>
        <v>1.4999999999999999E-2</v>
      </c>
      <c r="G62" s="18">
        <f>VLOOKUP(E62,WorkingDB[],2,FALSE)</f>
        <v>0.72099999999999997</v>
      </c>
      <c r="H62" s="19">
        <f>VLOOKUP(E62,WorkingDB[],3,FALSE)</f>
        <v>840</v>
      </c>
      <c r="I62" s="19">
        <f>VLOOKUP(E62,WorkingDB[],4,FALSE)</f>
        <v>1762</v>
      </c>
      <c r="J62" s="5">
        <f>VLOOKUP(E62,WorkingDB[],5,FALSE)</f>
        <v>0</v>
      </c>
      <c r="K62" s="5">
        <f>VLOOKUP(E62,WorkingDB[],6,FALSE)</f>
        <v>0</v>
      </c>
      <c r="L62" s="44">
        <f>VLOOKUP(E62,WorkingDB[],7,FALSE)*F62+VLOOKUP(E62,CostDB[],5,FALSE)</f>
        <v>339.1</v>
      </c>
      <c r="M62" s="16" t="s">
        <v>108</v>
      </c>
      <c r="N62" s="17">
        <v>7.4999999999999997E-2</v>
      </c>
      <c r="O62" s="18">
        <f>VLOOKUP(M62,WorkingDB[],2,FALSE)</f>
        <v>0.79800000000000004</v>
      </c>
      <c r="P62" s="19">
        <f>VLOOKUP(M62,WorkingDB[],3,FALSE)</f>
        <v>880</v>
      </c>
      <c r="Q62" s="19">
        <f>VLOOKUP(M62,WorkingDB[],4,FALSE)</f>
        <v>1892</v>
      </c>
      <c r="R62" s="5">
        <f>VLOOKUP(M62,WorkingDB[],5,FALSE)</f>
        <v>0</v>
      </c>
      <c r="S62" s="5">
        <f>VLOOKUP(M62,WorkingDB[],6,FALSE)</f>
        <v>0</v>
      </c>
      <c r="T62" s="44">
        <f>VLOOKUP(M62,WorkingDB[],7,FALSE)*N62+VLOOKUP(M62,CostDB[],5,FALSE)</f>
        <v>549.04999999999995</v>
      </c>
      <c r="U62" s="16" t="s">
        <v>238</v>
      </c>
      <c r="V62" s="17">
        <v>0.05</v>
      </c>
      <c r="W62" s="18">
        <f>VLOOKUP(U62,WorkingDB[],2,FALSE)</f>
        <v>3.7999999999999999E-2</v>
      </c>
      <c r="X62" s="19">
        <f>VLOOKUP(U62,WorkingDB[],3,FALSE)</f>
        <v>1213</v>
      </c>
      <c r="Y62" s="19">
        <f>VLOOKUP(U62,WorkingDB[],4,FALSE)</f>
        <v>28</v>
      </c>
      <c r="Z62" s="5">
        <f>VLOOKUP(U62,WorkingDB[],5,FALSE)</f>
        <v>0</v>
      </c>
      <c r="AA62" s="5">
        <f>VLOOKUP(U62,WorkingDB[],6,FALSE)</f>
        <v>0</v>
      </c>
      <c r="AB62" s="44">
        <f>VLOOKUP(U62,WorkingDB[],7,FALSE)*V62+VLOOKUP(U62,CostDB[],5,FALSE)</f>
        <v>3011.8</v>
      </c>
      <c r="AC62" s="16" t="s">
        <v>107</v>
      </c>
      <c r="AD62" s="17">
        <v>0.15</v>
      </c>
      <c r="AE62" s="18">
        <f>VLOOKUP(AC62,WorkingDB[],2,FALSE)</f>
        <v>1.58</v>
      </c>
      <c r="AF62" s="19">
        <f>VLOOKUP(AC62,WorkingDB[],3,FALSE)</f>
        <v>880</v>
      </c>
      <c r="AG62" s="19">
        <f>VLOOKUP(AC62,WorkingDB[],4,FALSE)</f>
        <v>2288</v>
      </c>
      <c r="AH62" s="5">
        <f>VLOOKUP(AC62,WorkingDB[],5,FALSE)</f>
        <v>0</v>
      </c>
      <c r="AI62" s="5">
        <f>VLOOKUP(AC62,WorkingDB[],6,FALSE)</f>
        <v>0</v>
      </c>
      <c r="AJ62" s="44">
        <f>VLOOKUP(AC62,WorkingDB[],7,FALSE)*AD62+VLOOKUP(AC62,CostDB[],5,FALSE)</f>
        <v>2374.4449999999997</v>
      </c>
      <c r="AK62" s="16" t="s">
        <v>112</v>
      </c>
      <c r="AL62" s="17">
        <f t="shared" si="64"/>
        <v>1.4999999999999999E-2</v>
      </c>
      <c r="AM62" s="18">
        <f>VLOOKUP(AK62,WorkingDB[],2,FALSE)</f>
        <v>0.72099999999999997</v>
      </c>
      <c r="AN62" s="19">
        <f>VLOOKUP(AK62,WorkingDB[],3,FALSE)</f>
        <v>840</v>
      </c>
      <c r="AO62" s="19">
        <f>VLOOKUP(AK62,WorkingDB[],4,FALSE)</f>
        <v>1762</v>
      </c>
      <c r="AP62" s="5">
        <f>VLOOKUP(AK62,WorkingDB[],5,FALSE)</f>
        <v>0</v>
      </c>
      <c r="AQ62" s="5">
        <f>VLOOKUP(AK62,WorkingDB[],6,FALSE)</f>
        <v>0</v>
      </c>
      <c r="AR62" s="44">
        <f>VLOOKUP(AK62,WorkingDB[],7,FALSE)*AL62+VLOOKUP(AK62,CostDB[],5,FALSE)</f>
        <v>339.1</v>
      </c>
      <c r="AS62" s="16" t="s">
        <v>90</v>
      </c>
      <c r="AT62" s="17">
        <v>0</v>
      </c>
      <c r="AU62" s="18">
        <f>VLOOKUP(AS62,WorkingDB[],2,FALSE)</f>
        <v>0</v>
      </c>
      <c r="AV62" s="19">
        <f>VLOOKUP(AS62,WorkingDB[],3,FALSE)</f>
        <v>0</v>
      </c>
      <c r="AW62" s="19">
        <f>VLOOKUP(AS62,WorkingDB[],4,FALSE)</f>
        <v>0</v>
      </c>
      <c r="AX62" s="5">
        <f>VLOOKUP(AS62,WorkingDB[],5,FALSE)</f>
        <v>0</v>
      </c>
      <c r="AY62" s="5">
        <f>VLOOKUP(AS62,WorkingDB[],6,FALSE)</f>
        <v>0</v>
      </c>
      <c r="AZ62" s="44" t="e">
        <f>VLOOKUP(AS62,WorkingDB[],7,FALSE)*AT62+VLOOKUP(AS62,CostDB[],5,FALSE)</f>
        <v>#N/A</v>
      </c>
      <c r="BA62" s="27">
        <v>9.3086381369319291</v>
      </c>
      <c r="BB62" s="20">
        <f t="shared" si="65"/>
        <v>0.30500000000000005</v>
      </c>
      <c r="BC62" s="18">
        <f t="shared" si="66"/>
        <v>0.59393453575417943</v>
      </c>
      <c r="BD62" s="18">
        <f t="shared" si="67"/>
        <v>0.18115003340502475</v>
      </c>
      <c r="BE62" s="19">
        <f t="shared" si="68"/>
        <v>539.36</v>
      </c>
      <c r="BF62" s="19">
        <f t="shared" si="69"/>
        <v>1768.3934426229505</v>
      </c>
      <c r="BG62" s="19">
        <f t="shared" si="70"/>
        <v>472988.60000000003</v>
      </c>
      <c r="BH62" s="19">
        <f t="shared" si="71"/>
        <v>876.94415603678442</v>
      </c>
      <c r="BI62" s="18">
        <f t="shared" si="72"/>
        <v>221.21246419083602</v>
      </c>
      <c r="BJ62" s="22">
        <f t="shared" si="73"/>
        <v>1.168120335004534E-7</v>
      </c>
      <c r="BK62" s="23">
        <f t="shared" si="40"/>
        <v>4.2052332060163228E-4</v>
      </c>
      <c r="BL62" s="19">
        <f t="shared" si="29"/>
        <v>6613.4950000000008</v>
      </c>
      <c r="BM62" s="18"/>
      <c r="BP62" s="20">
        <f t="shared" si="2"/>
        <v>614.63708178438674</v>
      </c>
      <c r="BR62" s="45">
        <f t="shared" si="74"/>
        <v>22201.200000000001</v>
      </c>
      <c r="BS62" s="45">
        <f t="shared" si="75"/>
        <v>124872</v>
      </c>
      <c r="BT62" s="45">
        <f t="shared" si="76"/>
        <v>1698.2000000000003</v>
      </c>
      <c r="BU62" s="45">
        <f t="shared" si="77"/>
        <v>302016</v>
      </c>
      <c r="BV62" s="45">
        <f t="shared" si="78"/>
        <v>22201.200000000001</v>
      </c>
      <c r="BW62" s="45">
        <f t="shared" si="79"/>
        <v>0</v>
      </c>
      <c r="BX62" s="46">
        <f t="shared" si="80"/>
        <v>2.0804438280166437E-2</v>
      </c>
      <c r="BY62" s="46">
        <f t="shared" si="81"/>
        <v>9.3984962406015032E-2</v>
      </c>
      <c r="BZ62" s="46">
        <f t="shared" si="82"/>
        <v>1.3157894736842106</v>
      </c>
      <c r="CA62" s="46">
        <f t="shared" si="83"/>
        <v>9.4936708860759486E-2</v>
      </c>
      <c r="CB62" s="46">
        <f t="shared" si="84"/>
        <v>2.0804438280166437E-2</v>
      </c>
      <c r="CC62" s="46">
        <f t="shared" si="85"/>
        <v>0</v>
      </c>
      <c r="CD62" s="45">
        <f t="shared" si="86"/>
        <v>140.18431010457383</v>
      </c>
    </row>
    <row r="63" spans="1:82" ht="14.4" x14ac:dyDescent="0.3">
      <c r="A63" s="5" t="s">
        <v>361</v>
      </c>
      <c r="B63" s="5" t="s">
        <v>274</v>
      </c>
      <c r="C63" s="4" t="s">
        <v>226</v>
      </c>
      <c r="D63" s="28">
        <v>33.4</v>
      </c>
      <c r="E63" s="16" t="s">
        <v>112</v>
      </c>
      <c r="F63" s="17">
        <f t="shared" si="28"/>
        <v>1.4999999999999999E-2</v>
      </c>
      <c r="G63" s="18">
        <f>VLOOKUP(E63,WorkingDB[],2,FALSE)</f>
        <v>0.72099999999999997</v>
      </c>
      <c r="H63" s="19">
        <f>VLOOKUP(E63,WorkingDB[],3,FALSE)</f>
        <v>840</v>
      </c>
      <c r="I63" s="19">
        <f>VLOOKUP(E63,WorkingDB[],4,FALSE)</f>
        <v>1762</v>
      </c>
      <c r="J63" s="5">
        <f>VLOOKUP(E63,WorkingDB[],5,FALSE)</f>
        <v>0</v>
      </c>
      <c r="K63" s="5">
        <f>VLOOKUP(E63,WorkingDB[],6,FALSE)</f>
        <v>0</v>
      </c>
      <c r="L63" s="44">
        <f>VLOOKUP(E63,WorkingDB[],7,FALSE)*F63+VLOOKUP(E63,CostDB[],5,FALSE)</f>
        <v>339.1</v>
      </c>
      <c r="M63" s="16" t="s">
        <v>108</v>
      </c>
      <c r="N63" s="17">
        <v>7.4999999999999997E-2</v>
      </c>
      <c r="O63" s="18">
        <f>VLOOKUP(M63,WorkingDB[],2,FALSE)</f>
        <v>0.79800000000000004</v>
      </c>
      <c r="P63" s="19">
        <f>VLOOKUP(M63,WorkingDB[],3,FALSE)</f>
        <v>880</v>
      </c>
      <c r="Q63" s="19">
        <f>VLOOKUP(M63,WorkingDB[],4,FALSE)</f>
        <v>1892</v>
      </c>
      <c r="R63" s="5">
        <f>VLOOKUP(M63,WorkingDB[],5,FALSE)</f>
        <v>0</v>
      </c>
      <c r="S63" s="5">
        <f>VLOOKUP(M63,WorkingDB[],6,FALSE)</f>
        <v>0</v>
      </c>
      <c r="T63" s="44">
        <f>VLOOKUP(M63,WorkingDB[],7,FALSE)*N63+VLOOKUP(M63,CostDB[],5,FALSE)</f>
        <v>549.04999999999995</v>
      </c>
      <c r="U63" s="16" t="s">
        <v>238</v>
      </c>
      <c r="V63" s="17">
        <v>7.4999999999999997E-2</v>
      </c>
      <c r="W63" s="18">
        <f>VLOOKUP(U63,WorkingDB[],2,FALSE)</f>
        <v>3.7999999999999999E-2</v>
      </c>
      <c r="X63" s="19">
        <f>VLOOKUP(U63,WorkingDB[],3,FALSE)</f>
        <v>1213</v>
      </c>
      <c r="Y63" s="19">
        <f>VLOOKUP(U63,WorkingDB[],4,FALSE)</f>
        <v>28</v>
      </c>
      <c r="Z63" s="5">
        <f>VLOOKUP(U63,WorkingDB[],5,FALSE)</f>
        <v>0</v>
      </c>
      <c r="AA63" s="5">
        <f>VLOOKUP(U63,WorkingDB[],6,FALSE)</f>
        <v>0</v>
      </c>
      <c r="AB63" s="44">
        <f>VLOOKUP(U63,WorkingDB[],7,FALSE)*V63+VLOOKUP(U63,CostDB[],5,FALSE)</f>
        <v>3183.6750000000002</v>
      </c>
      <c r="AC63" s="16" t="s">
        <v>107</v>
      </c>
      <c r="AD63" s="17">
        <v>0.15</v>
      </c>
      <c r="AE63" s="18">
        <f>VLOOKUP(AC63,WorkingDB[],2,FALSE)</f>
        <v>1.58</v>
      </c>
      <c r="AF63" s="19">
        <f>VLOOKUP(AC63,WorkingDB[],3,FALSE)</f>
        <v>880</v>
      </c>
      <c r="AG63" s="19">
        <f>VLOOKUP(AC63,WorkingDB[],4,FALSE)</f>
        <v>2288</v>
      </c>
      <c r="AH63" s="5">
        <f>VLOOKUP(AC63,WorkingDB[],5,FALSE)</f>
        <v>0</v>
      </c>
      <c r="AI63" s="5">
        <f>VLOOKUP(AC63,WorkingDB[],6,FALSE)</f>
        <v>0</v>
      </c>
      <c r="AJ63" s="44">
        <f>VLOOKUP(AC63,WorkingDB[],7,FALSE)*AD63+VLOOKUP(AC63,CostDB[],5,FALSE)</f>
        <v>2374.4449999999997</v>
      </c>
      <c r="AK63" s="16" t="s">
        <v>112</v>
      </c>
      <c r="AL63" s="17">
        <f t="shared" si="64"/>
        <v>1.4999999999999999E-2</v>
      </c>
      <c r="AM63" s="18">
        <f>VLOOKUP(AK63,WorkingDB[],2,FALSE)</f>
        <v>0.72099999999999997</v>
      </c>
      <c r="AN63" s="19">
        <f>VLOOKUP(AK63,WorkingDB[],3,FALSE)</f>
        <v>840</v>
      </c>
      <c r="AO63" s="19">
        <f>VLOOKUP(AK63,WorkingDB[],4,FALSE)</f>
        <v>1762</v>
      </c>
      <c r="AP63" s="5">
        <f>VLOOKUP(AK63,WorkingDB[],5,FALSE)</f>
        <v>0</v>
      </c>
      <c r="AQ63" s="5">
        <f>VLOOKUP(AK63,WorkingDB[],6,FALSE)</f>
        <v>0</v>
      </c>
      <c r="AR63" s="44">
        <f>VLOOKUP(AK63,WorkingDB[],7,FALSE)*AL63+VLOOKUP(AK63,CostDB[],5,FALSE)</f>
        <v>339.1</v>
      </c>
      <c r="AS63" s="16" t="s">
        <v>90</v>
      </c>
      <c r="AT63" s="17">
        <v>0</v>
      </c>
      <c r="AU63" s="18">
        <f>VLOOKUP(AS63,WorkingDB[],2,FALSE)</f>
        <v>0</v>
      </c>
      <c r="AV63" s="19">
        <f>VLOOKUP(AS63,WorkingDB[],3,FALSE)</f>
        <v>0</v>
      </c>
      <c r="AW63" s="19">
        <f>VLOOKUP(AS63,WorkingDB[],4,FALSE)</f>
        <v>0</v>
      </c>
      <c r="AX63" s="5">
        <f>VLOOKUP(AS63,WorkingDB[],5,FALSE)</f>
        <v>0</v>
      </c>
      <c r="AY63" s="5">
        <f>VLOOKUP(AS63,WorkingDB[],6,FALSE)</f>
        <v>0</v>
      </c>
      <c r="AZ63" s="44" t="e">
        <f>VLOOKUP(AS63,WorkingDB[],7,FALSE)*AT63+VLOOKUP(AS63,CostDB[],5,FALSE)</f>
        <v>#N/A</v>
      </c>
      <c r="BA63" s="27">
        <v>9.3086381369319291</v>
      </c>
      <c r="BB63" s="20">
        <f t="shared" si="65"/>
        <v>0.32999999999999996</v>
      </c>
      <c r="BC63" s="18">
        <f t="shared" si="66"/>
        <v>0.42706170842905106</v>
      </c>
      <c r="BD63" s="18">
        <f t="shared" si="67"/>
        <v>0.14093036378158683</v>
      </c>
      <c r="BE63" s="19">
        <f t="shared" si="68"/>
        <v>540.05999999999995</v>
      </c>
      <c r="BF63" s="19">
        <f t="shared" si="69"/>
        <v>1636.5454545454545</v>
      </c>
      <c r="BG63" s="19">
        <f t="shared" si="70"/>
        <v>473837.7</v>
      </c>
      <c r="BH63" s="19">
        <f t="shared" si="71"/>
        <v>877.37973558493513</v>
      </c>
      <c r="BI63" s="18">
        <f t="shared" si="72"/>
        <v>308.20272746415054</v>
      </c>
      <c r="BJ63" s="22">
        <f t="shared" si="73"/>
        <v>9.8149682998891065E-8</v>
      </c>
      <c r="BK63" s="23">
        <f t="shared" si="40"/>
        <v>3.5333885879600786E-4</v>
      </c>
      <c r="BL63" s="19">
        <f t="shared" si="29"/>
        <v>6785.3700000000008</v>
      </c>
      <c r="BM63" s="18"/>
      <c r="BP63" s="20">
        <f t="shared" si="2"/>
        <v>630.6105947955391</v>
      </c>
      <c r="BR63" s="45">
        <f t="shared" si="74"/>
        <v>22201.200000000001</v>
      </c>
      <c r="BS63" s="45">
        <f t="shared" si="75"/>
        <v>124872</v>
      </c>
      <c r="BT63" s="45">
        <f t="shared" si="76"/>
        <v>2547.3000000000002</v>
      </c>
      <c r="BU63" s="45">
        <f t="shared" si="77"/>
        <v>302016</v>
      </c>
      <c r="BV63" s="45">
        <f t="shared" si="78"/>
        <v>22201.200000000001</v>
      </c>
      <c r="BW63" s="45">
        <f t="shared" si="79"/>
        <v>0</v>
      </c>
      <c r="BX63" s="46">
        <f t="shared" si="80"/>
        <v>2.0804438280166437E-2</v>
      </c>
      <c r="BY63" s="46">
        <f t="shared" si="81"/>
        <v>9.3984962406015032E-2</v>
      </c>
      <c r="BZ63" s="46">
        <f t="shared" si="82"/>
        <v>1.9736842105263157</v>
      </c>
      <c r="CA63" s="46">
        <f t="shared" si="83"/>
        <v>9.4936708860759486E-2</v>
      </c>
      <c r="CB63" s="46">
        <f t="shared" si="84"/>
        <v>2.0804438280166437E-2</v>
      </c>
      <c r="CC63" s="46">
        <f t="shared" si="85"/>
        <v>0</v>
      </c>
      <c r="CD63" s="45">
        <f t="shared" si="86"/>
        <v>199.85659492738688</v>
      </c>
    </row>
    <row r="64" spans="1:82" ht="14.4" x14ac:dyDescent="0.3">
      <c r="A64" s="5" t="s">
        <v>362</v>
      </c>
      <c r="B64" s="5" t="s">
        <v>275</v>
      </c>
      <c r="C64" s="4" t="s">
        <v>226</v>
      </c>
      <c r="D64" s="28">
        <v>33.4</v>
      </c>
      <c r="E64" s="16" t="s">
        <v>112</v>
      </c>
      <c r="F64" s="17">
        <f t="shared" si="28"/>
        <v>1.4999999999999999E-2</v>
      </c>
      <c r="G64" s="18">
        <f>VLOOKUP(E64,WorkingDB[],2,FALSE)</f>
        <v>0.72099999999999997</v>
      </c>
      <c r="H64" s="19">
        <f>VLOOKUP(E64,WorkingDB[],3,FALSE)</f>
        <v>840</v>
      </c>
      <c r="I64" s="19">
        <f>VLOOKUP(E64,WorkingDB[],4,FALSE)</f>
        <v>1762</v>
      </c>
      <c r="J64" s="5">
        <f>VLOOKUP(E64,WorkingDB[],5,FALSE)</f>
        <v>0</v>
      </c>
      <c r="K64" s="5">
        <f>VLOOKUP(E64,WorkingDB[],6,FALSE)</f>
        <v>0</v>
      </c>
      <c r="L64" s="44">
        <f>VLOOKUP(E64,WorkingDB[],7,FALSE)*F64+VLOOKUP(E64,CostDB[],5,FALSE)</f>
        <v>339.1</v>
      </c>
      <c r="M64" s="16" t="s">
        <v>108</v>
      </c>
      <c r="N64" s="17">
        <v>7.4999999999999997E-2</v>
      </c>
      <c r="O64" s="18">
        <f>VLOOKUP(M64,WorkingDB[],2,FALSE)</f>
        <v>0.79800000000000004</v>
      </c>
      <c r="P64" s="19">
        <f>VLOOKUP(M64,WorkingDB[],3,FALSE)</f>
        <v>880</v>
      </c>
      <c r="Q64" s="19">
        <f>VLOOKUP(M64,WorkingDB[],4,FALSE)</f>
        <v>1892</v>
      </c>
      <c r="R64" s="5">
        <f>VLOOKUP(M64,WorkingDB[],5,FALSE)</f>
        <v>0</v>
      </c>
      <c r="S64" s="5">
        <f>VLOOKUP(M64,WorkingDB[],6,FALSE)</f>
        <v>0</v>
      </c>
      <c r="T64" s="44">
        <f>VLOOKUP(M64,WorkingDB[],7,FALSE)*N64+VLOOKUP(M64,CostDB[],5,FALSE)</f>
        <v>549.04999999999995</v>
      </c>
      <c r="U64" s="16" t="s">
        <v>238</v>
      </c>
      <c r="V64" s="17">
        <v>0.1</v>
      </c>
      <c r="W64" s="18">
        <f>VLOOKUP(U64,WorkingDB[],2,FALSE)</f>
        <v>3.7999999999999999E-2</v>
      </c>
      <c r="X64" s="19">
        <f>VLOOKUP(U64,WorkingDB[],3,FALSE)</f>
        <v>1213</v>
      </c>
      <c r="Y64" s="19">
        <f>VLOOKUP(U64,WorkingDB[],4,FALSE)</f>
        <v>28</v>
      </c>
      <c r="Z64" s="5">
        <f>VLOOKUP(U64,WorkingDB[],5,FALSE)</f>
        <v>0</v>
      </c>
      <c r="AA64" s="5">
        <f>VLOOKUP(U64,WorkingDB[],6,FALSE)</f>
        <v>0</v>
      </c>
      <c r="AB64" s="44">
        <f>VLOOKUP(U64,WorkingDB[],7,FALSE)*V64+VLOOKUP(U64,CostDB[],5,FALSE)</f>
        <v>3355.55</v>
      </c>
      <c r="AC64" s="16" t="s">
        <v>107</v>
      </c>
      <c r="AD64" s="17">
        <v>0.15</v>
      </c>
      <c r="AE64" s="18">
        <f>VLOOKUP(AC64,WorkingDB[],2,FALSE)</f>
        <v>1.58</v>
      </c>
      <c r="AF64" s="19">
        <f>VLOOKUP(AC64,WorkingDB[],3,FALSE)</f>
        <v>880</v>
      </c>
      <c r="AG64" s="19">
        <f>VLOOKUP(AC64,WorkingDB[],4,FALSE)</f>
        <v>2288</v>
      </c>
      <c r="AH64" s="5">
        <f>VLOOKUP(AC64,WorkingDB[],5,FALSE)</f>
        <v>0</v>
      </c>
      <c r="AI64" s="5">
        <f>VLOOKUP(AC64,WorkingDB[],6,FALSE)</f>
        <v>0</v>
      </c>
      <c r="AJ64" s="44">
        <f>VLOOKUP(AC64,WorkingDB[],7,FALSE)*AD64+VLOOKUP(AC64,CostDB[],5,FALSE)</f>
        <v>2374.4449999999997</v>
      </c>
      <c r="AK64" s="16" t="s">
        <v>112</v>
      </c>
      <c r="AL64" s="17">
        <f t="shared" si="64"/>
        <v>1.4999999999999999E-2</v>
      </c>
      <c r="AM64" s="18">
        <f>VLOOKUP(AK64,WorkingDB[],2,FALSE)</f>
        <v>0.72099999999999997</v>
      </c>
      <c r="AN64" s="19">
        <f>VLOOKUP(AK64,WorkingDB[],3,FALSE)</f>
        <v>840</v>
      </c>
      <c r="AO64" s="19">
        <f>VLOOKUP(AK64,WorkingDB[],4,FALSE)</f>
        <v>1762</v>
      </c>
      <c r="AP64" s="5">
        <f>VLOOKUP(AK64,WorkingDB[],5,FALSE)</f>
        <v>0</v>
      </c>
      <c r="AQ64" s="5">
        <f>VLOOKUP(AK64,WorkingDB[],6,FALSE)</f>
        <v>0</v>
      </c>
      <c r="AR64" s="44">
        <f>VLOOKUP(AK64,WorkingDB[],7,FALSE)*AL64+VLOOKUP(AK64,CostDB[],5,FALSE)</f>
        <v>339.1</v>
      </c>
      <c r="AS64" s="16" t="s">
        <v>90</v>
      </c>
      <c r="AT64" s="17">
        <v>0</v>
      </c>
      <c r="AU64" s="18">
        <f>VLOOKUP(AS64,WorkingDB[],2,FALSE)</f>
        <v>0</v>
      </c>
      <c r="AV64" s="19">
        <f>VLOOKUP(AS64,WorkingDB[],3,FALSE)</f>
        <v>0</v>
      </c>
      <c r="AW64" s="19">
        <f>VLOOKUP(AS64,WorkingDB[],4,FALSE)</f>
        <v>0</v>
      </c>
      <c r="AX64" s="5">
        <f>VLOOKUP(AS64,WorkingDB[],5,FALSE)</f>
        <v>0</v>
      </c>
      <c r="AY64" s="5">
        <f>VLOOKUP(AS64,WorkingDB[],6,FALSE)</f>
        <v>0</v>
      </c>
      <c r="AZ64" s="44" t="e">
        <f>VLOOKUP(AS64,WorkingDB[],7,FALSE)*AT64+VLOOKUP(AS64,CostDB[],5,FALSE)</f>
        <v>#N/A</v>
      </c>
      <c r="BA64" s="27">
        <v>9.3086381369319291</v>
      </c>
      <c r="BB64" s="20">
        <f t="shared" si="65"/>
        <v>0.35499999999999998</v>
      </c>
      <c r="BC64" s="18">
        <f t="shared" si="66"/>
        <v>0.33339148625951798</v>
      </c>
      <c r="BD64" s="18">
        <f t="shared" si="67"/>
        <v>0.11835397762212888</v>
      </c>
      <c r="BE64" s="19">
        <f t="shared" si="68"/>
        <v>540.76</v>
      </c>
      <c r="BF64" s="19">
        <f t="shared" si="69"/>
        <v>1523.2676056338028</v>
      </c>
      <c r="BG64" s="19">
        <f t="shared" si="70"/>
        <v>474686.8</v>
      </c>
      <c r="BH64" s="19">
        <f t="shared" si="71"/>
        <v>877.81418743989934</v>
      </c>
      <c r="BI64" s="18">
        <f t="shared" si="72"/>
        <v>395.50333430471647</v>
      </c>
      <c r="BJ64" s="22">
        <f t="shared" si="73"/>
        <v>8.8512387654039991E-8</v>
      </c>
      <c r="BK64" s="23">
        <f t="shared" si="40"/>
        <v>3.1864459555454397E-4</v>
      </c>
      <c r="BL64" s="19">
        <f t="shared" si="29"/>
        <v>6957.2449999999999</v>
      </c>
      <c r="BM64" s="18"/>
      <c r="BP64" s="20">
        <f t="shared" si="2"/>
        <v>646.58410780669146</v>
      </c>
      <c r="BR64" s="45">
        <f t="shared" si="74"/>
        <v>22201.200000000001</v>
      </c>
      <c r="BS64" s="45">
        <f t="shared" si="75"/>
        <v>124872</v>
      </c>
      <c r="BT64" s="45">
        <f t="shared" si="76"/>
        <v>3396.4000000000005</v>
      </c>
      <c r="BU64" s="45">
        <f t="shared" si="77"/>
        <v>302016</v>
      </c>
      <c r="BV64" s="45">
        <f t="shared" si="78"/>
        <v>22201.200000000001</v>
      </c>
      <c r="BW64" s="45">
        <f t="shared" si="79"/>
        <v>0</v>
      </c>
      <c r="BX64" s="46">
        <f t="shared" si="80"/>
        <v>2.0804438280166437E-2</v>
      </c>
      <c r="BY64" s="46">
        <f t="shared" si="81"/>
        <v>9.3984962406015032E-2</v>
      </c>
      <c r="BZ64" s="46">
        <f t="shared" si="82"/>
        <v>2.6315789473684212</v>
      </c>
      <c r="CA64" s="46">
        <f t="shared" si="83"/>
        <v>9.4936708860759486E-2</v>
      </c>
      <c r="CB64" s="46">
        <f t="shared" si="84"/>
        <v>2.0804438280166437E-2</v>
      </c>
      <c r="CC64" s="46">
        <f t="shared" si="85"/>
        <v>0</v>
      </c>
      <c r="CD64" s="45">
        <f t="shared" si="86"/>
        <v>259.68405153382565</v>
      </c>
    </row>
  </sheetData>
  <mergeCells count="1">
    <mergeCell ref="E1:L1"/>
  </mergeCells>
  <phoneticPr fontId="15" type="noConversion"/>
  <conditionalFormatting sqref="CD3:CD42">
    <cfRule type="cellIs" dxfId="2" priority="2" operator="greaterThan">
      <formula>55</formula>
    </cfRule>
  </conditionalFormatting>
  <conditionalFormatting sqref="CD44:CD64">
    <cfRule type="cellIs" dxfId="1" priority="1" operator="greaterThan">
      <formula>55</formula>
    </cfRule>
  </conditionalFormatting>
  <dataValidations count="1">
    <dataValidation type="list" allowBlank="1" showInputMessage="1" showErrorMessage="1" sqref="AC3:AC42 AK44:AK64 AS44:AS64 AC44:AC64 M44:M64 E44:E64 M3:M42 AK3:AK42 AS3:AS42 U3:U42 E3:E42 U44:U64" xr:uid="{20FE1EA2-4788-48DE-9060-325FE2B3E720}">
      <formula1>MaterialList</formula1>
    </dataValidation>
  </dataValidation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19B-3777-4D8B-90DF-C3A2CE6B4601}">
  <dimension ref="A2:A6"/>
  <sheetViews>
    <sheetView workbookViewId="0">
      <selection activeCell="D4" sqref="D4"/>
    </sheetView>
  </sheetViews>
  <sheetFormatPr defaultRowHeight="13.8" x14ac:dyDescent="0.25"/>
  <sheetData>
    <row r="2" spans="1:1" x14ac:dyDescent="0.25">
      <c r="A2" t="s">
        <v>300</v>
      </c>
    </row>
    <row r="3" spans="1:1" x14ac:dyDescent="0.25">
      <c r="A3">
        <v>0.25</v>
      </c>
    </row>
    <row r="4" spans="1:1" x14ac:dyDescent="0.25">
      <c r="A4">
        <v>0.5</v>
      </c>
    </row>
    <row r="5" spans="1:1" x14ac:dyDescent="0.25">
      <c r="A5">
        <v>0.75</v>
      </c>
    </row>
    <row r="6" spans="1:1" x14ac:dyDescent="0.25">
      <c r="A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FF35-6B53-4539-B9FF-7B43FFFCA8A7}">
  <dimension ref="A1:L45"/>
  <sheetViews>
    <sheetView showGridLines="0" workbookViewId="0">
      <selection activeCell="C46" sqref="C46"/>
    </sheetView>
  </sheetViews>
  <sheetFormatPr defaultRowHeight="13.8" x14ac:dyDescent="0.25"/>
  <cols>
    <col min="1" max="1" width="41.125" bestFit="1" customWidth="1"/>
    <col min="2" max="2" width="6.75" customWidth="1"/>
    <col min="3" max="3" width="7.875" bestFit="1" customWidth="1"/>
    <col min="4" max="4" width="7.375" bestFit="1" customWidth="1"/>
    <col min="5" max="6" width="6.75" customWidth="1"/>
    <col min="7" max="7" width="9.125" customWidth="1"/>
    <col min="8" max="8" width="9.125" bestFit="1" customWidth="1"/>
    <col min="9" max="11" width="6.75" customWidth="1"/>
    <col min="14" max="15" width="12" bestFit="1" customWidth="1"/>
  </cols>
  <sheetData>
    <row r="1" spans="1:12" ht="144" customHeight="1" thickBot="1" x14ac:dyDescent="0.3">
      <c r="A1" s="2" t="s">
        <v>2</v>
      </c>
      <c r="B1" s="3" t="s">
        <v>13</v>
      </c>
      <c r="C1" s="3" t="s">
        <v>8</v>
      </c>
      <c r="D1" s="3" t="s">
        <v>9</v>
      </c>
      <c r="E1" s="3" t="s">
        <v>3</v>
      </c>
      <c r="F1" s="3" t="s">
        <v>4</v>
      </c>
      <c r="G1" s="3" t="s">
        <v>384</v>
      </c>
      <c r="H1" s="3" t="s">
        <v>14</v>
      </c>
      <c r="I1" s="3" t="s">
        <v>24</v>
      </c>
      <c r="J1" s="3" t="s">
        <v>84</v>
      </c>
      <c r="K1" s="3" t="s">
        <v>85</v>
      </c>
      <c r="L1" s="3" t="s">
        <v>12</v>
      </c>
    </row>
    <row r="2" spans="1:12" x14ac:dyDescent="0.25">
      <c r="A2" s="1" t="s">
        <v>91</v>
      </c>
      <c r="B2">
        <v>0.98</v>
      </c>
      <c r="C2">
        <v>800</v>
      </c>
      <c r="D2">
        <v>1920</v>
      </c>
      <c r="G2" s="38">
        <f>VLOOKUP(WorkingDB[[#This Row],[Material]],CostDB[],4,FALSE)</f>
        <v>11659.7</v>
      </c>
      <c r="H2" s="26">
        <f>B2/(D2*C2)</f>
        <v>6.3802083333333335E-7</v>
      </c>
      <c r="L2" t="s">
        <v>229</v>
      </c>
    </row>
    <row r="3" spans="1:12" x14ac:dyDescent="0.25">
      <c r="A3" t="s">
        <v>115</v>
      </c>
      <c r="B3">
        <v>0.245</v>
      </c>
      <c r="C3">
        <v>840</v>
      </c>
      <c r="D3">
        <v>1520</v>
      </c>
      <c r="G3" s="38" t="e">
        <f>VLOOKUP(WorkingDB[[#This Row],[Material]],CostDB[],4,FALSE)</f>
        <v>#N/A</v>
      </c>
      <c r="H3" s="26">
        <f t="shared" ref="H3:H40" si="0">B3/(D3*C3)</f>
        <v>1.9188596491228069E-7</v>
      </c>
      <c r="L3" t="s">
        <v>173</v>
      </c>
    </row>
    <row r="4" spans="1:12" x14ac:dyDescent="0.25">
      <c r="A4" s="1" t="s">
        <v>105</v>
      </c>
      <c r="B4">
        <v>0.184</v>
      </c>
      <c r="C4">
        <v>1240</v>
      </c>
      <c r="D4">
        <v>642</v>
      </c>
      <c r="G4" s="38">
        <f>VLOOKUP(WorkingDB[[#This Row],[Material]],CostDB[],4,FALSE)</f>
        <v>7213.5</v>
      </c>
      <c r="H4" s="26">
        <f t="shared" si="0"/>
        <v>2.311325494925133E-7</v>
      </c>
      <c r="L4" t="s">
        <v>173</v>
      </c>
    </row>
    <row r="5" spans="1:12" x14ac:dyDescent="0.25">
      <c r="A5" s="1" t="s">
        <v>108</v>
      </c>
      <c r="B5">
        <v>0.79800000000000004</v>
      </c>
      <c r="C5">
        <v>880</v>
      </c>
      <c r="D5">
        <v>1892</v>
      </c>
      <c r="G5" s="38">
        <f>VLOOKUP(WorkingDB[[#This Row],[Material]],CostDB[],4,FALSE)</f>
        <v>7320.6666666666661</v>
      </c>
      <c r="H5" s="26">
        <f t="shared" si="0"/>
        <v>4.792907937728234E-7</v>
      </c>
      <c r="L5" t="s">
        <v>173</v>
      </c>
    </row>
    <row r="6" spans="1:12" x14ac:dyDescent="0.25">
      <c r="A6" t="s">
        <v>114</v>
      </c>
      <c r="B6">
        <v>0.188</v>
      </c>
      <c r="C6">
        <v>1050</v>
      </c>
      <c r="D6">
        <v>704</v>
      </c>
      <c r="G6" s="38" t="e">
        <f>VLOOKUP(WorkingDB[[#This Row],[Material]],CostDB[],4,FALSE)</f>
        <v>#N/A</v>
      </c>
      <c r="H6" s="26">
        <f t="shared" si="0"/>
        <v>2.5432900432900434E-7</v>
      </c>
      <c r="L6" t="s">
        <v>173</v>
      </c>
    </row>
    <row r="7" spans="1:12" x14ac:dyDescent="0.25">
      <c r="A7" t="s">
        <v>16</v>
      </c>
      <c r="B7">
        <v>8.2000000000000003E-2</v>
      </c>
      <c r="C7">
        <v>1300</v>
      </c>
      <c r="D7">
        <v>350</v>
      </c>
      <c r="H7" s="26">
        <f t="shared" si="0"/>
        <v>1.8021978021978023E-7</v>
      </c>
      <c r="I7">
        <v>193</v>
      </c>
      <c r="L7" t="s">
        <v>27</v>
      </c>
    </row>
    <row r="8" spans="1:12" x14ac:dyDescent="0.25">
      <c r="A8" t="s">
        <v>111</v>
      </c>
      <c r="B8">
        <v>0.71899999999999997</v>
      </c>
      <c r="C8">
        <v>920</v>
      </c>
      <c r="D8">
        <v>1648</v>
      </c>
      <c r="G8" s="38" t="e">
        <f>VLOOKUP(WorkingDB[[#This Row],[Material]],CostDB[],4,FALSE)</f>
        <v>#N/A</v>
      </c>
      <c r="H8" s="26">
        <f t="shared" si="0"/>
        <v>4.7422435626846767E-7</v>
      </c>
      <c r="L8" t="s">
        <v>173</v>
      </c>
    </row>
    <row r="9" spans="1:12" x14ac:dyDescent="0.25">
      <c r="A9" t="s">
        <v>20</v>
      </c>
      <c r="B9">
        <v>0.93</v>
      </c>
      <c r="C9">
        <v>840</v>
      </c>
      <c r="D9">
        <v>1900</v>
      </c>
      <c r="H9" s="26">
        <f t="shared" si="0"/>
        <v>5.827067669172933E-7</v>
      </c>
      <c r="I9">
        <v>1218</v>
      </c>
      <c r="L9" t="s">
        <v>27</v>
      </c>
    </row>
    <row r="10" spans="1:12" x14ac:dyDescent="0.25">
      <c r="A10" s="1" t="s">
        <v>112</v>
      </c>
      <c r="B10">
        <v>0.72099999999999997</v>
      </c>
      <c r="C10">
        <f>1000*0.84</f>
        <v>840</v>
      </c>
      <c r="D10">
        <v>1762</v>
      </c>
      <c r="G10" s="38">
        <f>VLOOKUP(WorkingDB[[#This Row],[Material]],CostDB[],4,FALSE)</f>
        <v>22606.666666666668</v>
      </c>
      <c r="H10" s="26">
        <f t="shared" si="0"/>
        <v>4.8713583049564887E-7</v>
      </c>
      <c r="L10" t="s">
        <v>173</v>
      </c>
    </row>
    <row r="11" spans="1:12" x14ac:dyDescent="0.25">
      <c r="A11" t="s">
        <v>214</v>
      </c>
      <c r="B11">
        <v>1.3029999999999999</v>
      </c>
      <c r="C11">
        <v>1070</v>
      </c>
      <c r="D11">
        <v>1900</v>
      </c>
      <c r="G11" s="38" t="e">
        <f>VLOOKUP(WorkingDB[[#This Row],[Material]],CostDB[],4,FALSE)</f>
        <v>#N/A</v>
      </c>
      <c r="H11" s="26">
        <f t="shared" si="0"/>
        <v>6.4092474176094437E-7</v>
      </c>
      <c r="L11" t="s">
        <v>173</v>
      </c>
    </row>
    <row r="12" spans="1:12" x14ac:dyDescent="0.25">
      <c r="A12" t="s">
        <v>212</v>
      </c>
      <c r="B12">
        <v>1.026</v>
      </c>
      <c r="C12">
        <v>1030</v>
      </c>
      <c r="D12">
        <v>1700</v>
      </c>
      <c r="G12" s="38" t="e">
        <f>VLOOKUP(WorkingDB[[#This Row],[Material]],CostDB[],4,FALSE)</f>
        <v>#N/A</v>
      </c>
      <c r="H12" s="26">
        <f t="shared" si="0"/>
        <v>5.8595088520845228E-7</v>
      </c>
      <c r="L12" t="s">
        <v>173</v>
      </c>
    </row>
    <row r="13" spans="1:12" x14ac:dyDescent="0.25">
      <c r="A13" t="s">
        <v>213</v>
      </c>
      <c r="B13">
        <v>1.2010000000000001</v>
      </c>
      <c r="C13">
        <v>1070</v>
      </c>
      <c r="D13">
        <v>1800</v>
      </c>
      <c r="G13" s="38" t="e">
        <f>VLOOKUP(WorkingDB[[#This Row],[Material]],CostDB[],4,FALSE)</f>
        <v>#N/A</v>
      </c>
      <c r="H13" s="26">
        <f t="shared" si="0"/>
        <v>6.2357217030114234E-7</v>
      </c>
      <c r="L13" t="s">
        <v>173</v>
      </c>
    </row>
    <row r="14" spans="1:12" x14ac:dyDescent="0.25">
      <c r="A14" t="s">
        <v>19</v>
      </c>
      <c r="B14">
        <v>1.28</v>
      </c>
      <c r="C14">
        <v>880</v>
      </c>
      <c r="D14">
        <v>1460</v>
      </c>
      <c r="H14" s="26">
        <f t="shared" si="0"/>
        <v>9.9626400996264012E-7</v>
      </c>
      <c r="I14">
        <v>1282</v>
      </c>
      <c r="L14" t="s">
        <v>27</v>
      </c>
    </row>
    <row r="15" spans="1:12" x14ac:dyDescent="0.25">
      <c r="A15" t="s">
        <v>106</v>
      </c>
      <c r="B15">
        <v>1.74</v>
      </c>
      <c r="C15">
        <v>880</v>
      </c>
      <c r="D15">
        <v>2410</v>
      </c>
      <c r="G15" s="38" t="e">
        <f>VLOOKUP(WorkingDB[[#This Row],[Material]],CostDB[],4,FALSE)</f>
        <v>#N/A</v>
      </c>
      <c r="H15" s="26">
        <f t="shared" si="0"/>
        <v>8.2044511505092413E-7</v>
      </c>
      <c r="L15" t="s">
        <v>173</v>
      </c>
    </row>
    <row r="16" spans="1:12" x14ac:dyDescent="0.25">
      <c r="A16" t="s">
        <v>23</v>
      </c>
      <c r="B16">
        <v>1.2</v>
      </c>
      <c r="C16">
        <v>850</v>
      </c>
      <c r="D16">
        <v>2000</v>
      </c>
      <c r="H16" s="26">
        <f t="shared" si="0"/>
        <v>7.0588235294117645E-7</v>
      </c>
      <c r="I16">
        <v>1428</v>
      </c>
      <c r="L16" t="s">
        <v>27</v>
      </c>
    </row>
    <row r="17" spans="1:12" x14ac:dyDescent="0.25">
      <c r="A17" t="s">
        <v>88</v>
      </c>
      <c r="B17">
        <v>1.119</v>
      </c>
      <c r="C17">
        <v>955.2</v>
      </c>
      <c r="D17">
        <v>2028</v>
      </c>
      <c r="G17" s="38" t="e">
        <f>VLOOKUP(WorkingDB[[#This Row],[Material]],CostDB[],4,FALSE)</f>
        <v>#N/A</v>
      </c>
      <c r="H17" s="26">
        <f t="shared" si="0"/>
        <v>5.7765404933939918E-7</v>
      </c>
      <c r="J17">
        <v>54</v>
      </c>
      <c r="K17" t="s">
        <v>86</v>
      </c>
      <c r="L17" t="s">
        <v>87</v>
      </c>
    </row>
    <row r="18" spans="1:12" x14ac:dyDescent="0.25">
      <c r="A18" t="s">
        <v>82</v>
      </c>
      <c r="B18">
        <v>0.37569999999999998</v>
      </c>
      <c r="C18">
        <v>927.8</v>
      </c>
      <c r="D18">
        <v>1264</v>
      </c>
      <c r="G18" s="38" t="e">
        <f>VLOOKUP(WorkingDB[[#This Row],[Material]],CostDB[],4,FALSE)</f>
        <v>#N/A</v>
      </c>
      <c r="H18" s="26">
        <f t="shared" si="0"/>
        <v>3.2036108283921949E-7</v>
      </c>
      <c r="J18">
        <v>4.16</v>
      </c>
      <c r="K18" t="s">
        <v>89</v>
      </c>
      <c r="L18" t="s">
        <v>83</v>
      </c>
    </row>
    <row r="19" spans="1:12" x14ac:dyDescent="0.25">
      <c r="A19" s="1" t="s">
        <v>102</v>
      </c>
      <c r="B19">
        <v>0.85599999999999998</v>
      </c>
      <c r="C19">
        <v>930</v>
      </c>
      <c r="D19">
        <v>1650</v>
      </c>
      <c r="G19" s="38">
        <f>VLOOKUP(WorkingDB[[#This Row],[Material]],CostDB[],4,FALSE)</f>
        <v>8414.65</v>
      </c>
      <c r="H19" s="26">
        <f t="shared" si="0"/>
        <v>5.5783642880417073E-7</v>
      </c>
      <c r="L19" t="s">
        <v>173</v>
      </c>
    </row>
    <row r="20" spans="1:12" x14ac:dyDescent="0.25">
      <c r="A20" t="s">
        <v>116</v>
      </c>
      <c r="B20">
        <v>61.06</v>
      </c>
      <c r="C20">
        <v>500</v>
      </c>
      <c r="D20">
        <v>7520</v>
      </c>
      <c r="G20" s="38" t="e">
        <f>VLOOKUP(WorkingDB[[#This Row],[Material]],CostDB[],4,FALSE)</f>
        <v>#N/A</v>
      </c>
      <c r="H20" s="26">
        <f t="shared" si="0"/>
        <v>1.6239361702127659E-5</v>
      </c>
      <c r="L20" t="s">
        <v>173</v>
      </c>
    </row>
    <row r="21" spans="1:12" x14ac:dyDescent="0.25">
      <c r="A21" t="s">
        <v>94</v>
      </c>
      <c r="B21">
        <v>0.81399999999999995</v>
      </c>
      <c r="C21">
        <v>880</v>
      </c>
      <c r="D21">
        <v>2350</v>
      </c>
      <c r="G21" s="38" t="e">
        <f>VLOOKUP(WorkingDB[[#This Row],[Material]],CostDB[],4,FALSE)</f>
        <v>#N/A</v>
      </c>
      <c r="H21" s="26">
        <f t="shared" si="0"/>
        <v>3.9361702127659574E-7</v>
      </c>
      <c r="L21" t="s">
        <v>173</v>
      </c>
    </row>
    <row r="22" spans="1:12" x14ac:dyDescent="0.25">
      <c r="A22" t="s">
        <v>113</v>
      </c>
      <c r="B22">
        <v>0.51200000000000001</v>
      </c>
      <c r="C22">
        <v>960</v>
      </c>
      <c r="D22">
        <v>1120</v>
      </c>
      <c r="G22" s="38" t="e">
        <f>VLOOKUP(WorkingDB[[#This Row],[Material]],CostDB[],4,FALSE)</f>
        <v>#N/A</v>
      </c>
      <c r="H22" s="26">
        <f t="shared" si="0"/>
        <v>4.7619047619047617E-7</v>
      </c>
      <c r="L22" t="s">
        <v>173</v>
      </c>
    </row>
    <row r="23" spans="1:12" x14ac:dyDescent="0.25">
      <c r="A23" t="s">
        <v>22</v>
      </c>
      <c r="B23">
        <v>1.31</v>
      </c>
      <c r="C23">
        <v>840</v>
      </c>
      <c r="D23">
        <v>2240</v>
      </c>
      <c r="H23" s="26">
        <f t="shared" si="0"/>
        <v>6.9621598639455787E-7</v>
      </c>
      <c r="I23">
        <v>1570</v>
      </c>
      <c r="L23" t="s">
        <v>27</v>
      </c>
    </row>
    <row r="24" spans="1:12" x14ac:dyDescent="0.25">
      <c r="A24" t="s">
        <v>18</v>
      </c>
      <c r="B24">
        <v>0.9</v>
      </c>
      <c r="C24">
        <v>840</v>
      </c>
      <c r="D24">
        <v>1850</v>
      </c>
      <c r="H24" s="26">
        <f t="shared" si="0"/>
        <v>5.7915057915057914E-7</v>
      </c>
      <c r="I24">
        <v>1183</v>
      </c>
      <c r="L24" t="s">
        <v>27</v>
      </c>
    </row>
    <row r="25" spans="1:12" x14ac:dyDescent="0.25">
      <c r="A25" t="s">
        <v>21</v>
      </c>
      <c r="B25">
        <v>0.73</v>
      </c>
      <c r="C25">
        <v>840</v>
      </c>
      <c r="D25">
        <v>1800</v>
      </c>
      <c r="H25" s="26">
        <f t="shared" si="0"/>
        <v>4.8280423280423275E-7</v>
      </c>
      <c r="I25">
        <v>1051</v>
      </c>
      <c r="L25" t="s">
        <v>27</v>
      </c>
    </row>
    <row r="26" spans="1:12" x14ac:dyDescent="0.25">
      <c r="A26" t="s">
        <v>17</v>
      </c>
      <c r="B26">
        <v>0.22</v>
      </c>
      <c r="C26">
        <v>840</v>
      </c>
      <c r="D26">
        <v>570</v>
      </c>
      <c r="H26" s="26">
        <f t="shared" si="0"/>
        <v>4.5948203842940686E-7</v>
      </c>
      <c r="I26">
        <v>324</v>
      </c>
      <c r="L26" t="s">
        <v>27</v>
      </c>
    </row>
    <row r="27" spans="1:12" x14ac:dyDescent="0.25">
      <c r="A27" t="s">
        <v>109</v>
      </c>
      <c r="B27">
        <v>0.73</v>
      </c>
      <c r="C27">
        <v>880</v>
      </c>
      <c r="D27">
        <v>1646</v>
      </c>
      <c r="G27" s="38" t="e">
        <f>VLOOKUP(WorkingDB[[#This Row],[Material]],CostDB[],4,FALSE)</f>
        <v>#N/A</v>
      </c>
      <c r="H27" s="26">
        <f t="shared" si="0"/>
        <v>5.0397658234839284E-7</v>
      </c>
      <c r="L27" t="s">
        <v>173</v>
      </c>
    </row>
    <row r="28" spans="1:12" x14ac:dyDescent="0.25">
      <c r="A28" t="s">
        <v>15</v>
      </c>
      <c r="B28">
        <v>4.2000000000000003E-2</v>
      </c>
      <c r="C28">
        <v>760</v>
      </c>
      <c r="D28">
        <v>240</v>
      </c>
      <c r="H28" s="26">
        <f t="shared" si="0"/>
        <v>2.3026315789473685E-7</v>
      </c>
      <c r="I28">
        <v>88</v>
      </c>
      <c r="L28" t="s">
        <v>27</v>
      </c>
    </row>
    <row r="29" spans="1:12" x14ac:dyDescent="0.25">
      <c r="A29" t="s">
        <v>110</v>
      </c>
      <c r="B29">
        <v>0.51900000000000002</v>
      </c>
      <c r="C29">
        <v>880</v>
      </c>
      <c r="D29">
        <v>1622</v>
      </c>
      <c r="G29" s="38" t="e">
        <f>VLOOKUP(WorkingDB[[#This Row],[Material]],CostDB[],4,FALSE)</f>
        <v>#N/A</v>
      </c>
      <c r="H29" s="26">
        <f t="shared" si="0"/>
        <v>3.6360833987221166E-7</v>
      </c>
      <c r="L29" t="s">
        <v>173</v>
      </c>
    </row>
    <row r="30" spans="1:12" x14ac:dyDescent="0.25">
      <c r="A30" t="s">
        <v>90</v>
      </c>
      <c r="G30" s="38" t="e">
        <f>VLOOKUP(WorkingDB[[#This Row],[Material]],CostDB[],4,FALSE)</f>
        <v>#N/A</v>
      </c>
      <c r="H30" s="26" t="e">
        <f t="shared" si="0"/>
        <v>#DIV/0!</v>
      </c>
      <c r="L30" t="s">
        <v>173</v>
      </c>
    </row>
    <row r="31" spans="1:12" x14ac:dyDescent="0.25">
      <c r="A31" t="s">
        <v>93</v>
      </c>
      <c r="B31">
        <v>0.17399999999999999</v>
      </c>
      <c r="C31">
        <v>1760</v>
      </c>
      <c r="D31">
        <v>640</v>
      </c>
      <c r="G31" s="38" t="e">
        <f>VLOOKUP(WorkingDB[[#This Row],[Material]],CostDB[],4,FALSE)</f>
        <v>#N/A</v>
      </c>
      <c r="H31" s="26">
        <f t="shared" si="0"/>
        <v>1.544744318181818E-7</v>
      </c>
      <c r="L31" t="s">
        <v>173</v>
      </c>
    </row>
    <row r="32" spans="1:12" x14ac:dyDescent="0.25">
      <c r="A32" t="s">
        <v>11</v>
      </c>
      <c r="B32">
        <v>2.8000000000000001E-2</v>
      </c>
      <c r="C32">
        <v>1470</v>
      </c>
      <c r="D32">
        <v>30</v>
      </c>
      <c r="H32" s="26">
        <f t="shared" si="0"/>
        <v>6.3492063492063497E-7</v>
      </c>
      <c r="I32">
        <v>35</v>
      </c>
      <c r="L32" t="s">
        <v>27</v>
      </c>
    </row>
    <row r="33" spans="1:12" x14ac:dyDescent="0.25">
      <c r="A33" s="1" t="s">
        <v>107</v>
      </c>
      <c r="B33">
        <v>1.58</v>
      </c>
      <c r="C33">
        <v>880</v>
      </c>
      <c r="D33">
        <v>2288</v>
      </c>
      <c r="G33" s="38">
        <f>VLOOKUP(WorkingDB[[#This Row],[Material]],CostDB[],4,FALSE)</f>
        <v>10719.3</v>
      </c>
      <c r="H33" s="26">
        <f t="shared" si="0"/>
        <v>7.8472663699936434E-7</v>
      </c>
      <c r="L33" t="s">
        <v>173</v>
      </c>
    </row>
    <row r="34" spans="1:12" x14ac:dyDescent="0.25">
      <c r="A34" t="s">
        <v>101</v>
      </c>
      <c r="B34">
        <v>0.63100000000000001</v>
      </c>
      <c r="C34">
        <v>650</v>
      </c>
      <c r="D34">
        <v>1520</v>
      </c>
      <c r="G34" s="38" t="e">
        <f>VLOOKUP(WorkingDB[[#This Row],[Material]],CostDB[],4,FALSE)</f>
        <v>#N/A</v>
      </c>
      <c r="H34" s="26">
        <f t="shared" si="0"/>
        <v>6.3866396761133604E-7</v>
      </c>
      <c r="L34" t="s">
        <v>173</v>
      </c>
    </row>
    <row r="35" spans="1:12" x14ac:dyDescent="0.25">
      <c r="A35" t="s">
        <v>103</v>
      </c>
      <c r="B35">
        <v>1.3959999999999999</v>
      </c>
      <c r="C35">
        <v>200</v>
      </c>
      <c r="D35">
        <v>2427</v>
      </c>
      <c r="G35" s="38" t="e">
        <f>VLOOKUP(WorkingDB[[#This Row],[Material]],CostDB[],4,FALSE)</f>
        <v>#N/A</v>
      </c>
      <c r="H35" s="26">
        <f t="shared" si="0"/>
        <v>2.8759785743716519E-6</v>
      </c>
      <c r="L35" t="s">
        <v>173</v>
      </c>
    </row>
    <row r="36" spans="1:12" x14ac:dyDescent="0.25">
      <c r="A36" s="1" t="s">
        <v>104</v>
      </c>
      <c r="B36">
        <v>1.411</v>
      </c>
      <c r="C36">
        <v>300</v>
      </c>
      <c r="D36">
        <v>2349</v>
      </c>
      <c r="G36" s="38">
        <f>VLOOKUP(WorkingDB[[#This Row],[Material]],CostDB[],4,FALSE)</f>
        <v>8086.6</v>
      </c>
      <c r="H36" s="26">
        <f t="shared" si="0"/>
        <v>2.00227046970342E-6</v>
      </c>
      <c r="L36" t="s">
        <v>173</v>
      </c>
    </row>
    <row r="37" spans="1:12" x14ac:dyDescent="0.25">
      <c r="A37" t="s">
        <v>25</v>
      </c>
      <c r="B37">
        <v>1.05</v>
      </c>
      <c r="C37">
        <v>840</v>
      </c>
      <c r="D37">
        <v>2500</v>
      </c>
      <c r="H37" s="26">
        <f t="shared" si="0"/>
        <v>4.9999999999999998E-7</v>
      </c>
      <c r="I37">
        <v>1485</v>
      </c>
      <c r="L37" t="s">
        <v>27</v>
      </c>
    </row>
    <row r="38" spans="1:12" x14ac:dyDescent="0.25">
      <c r="A38" t="s">
        <v>26</v>
      </c>
      <c r="B38">
        <v>45</v>
      </c>
      <c r="C38">
        <v>480</v>
      </c>
      <c r="D38">
        <v>7800</v>
      </c>
      <c r="H38" s="26">
        <f t="shared" si="0"/>
        <v>1.2019230769230769E-5</v>
      </c>
      <c r="I38">
        <v>12980</v>
      </c>
      <c r="L38" t="s">
        <v>27</v>
      </c>
    </row>
    <row r="39" spans="1:12" x14ac:dyDescent="0.25">
      <c r="A39" t="s">
        <v>92</v>
      </c>
      <c r="B39">
        <v>7.1999999999999995E-2</v>
      </c>
      <c r="C39">
        <v>1680</v>
      </c>
      <c r="D39">
        <v>480</v>
      </c>
      <c r="G39" s="38" t="e">
        <f>VLOOKUP(WorkingDB[[#This Row],[Material]],CostDB[],4,FALSE)</f>
        <v>#N/A</v>
      </c>
      <c r="H39" s="26">
        <f t="shared" si="0"/>
        <v>8.9285714285714276E-8</v>
      </c>
      <c r="L39" t="s">
        <v>173</v>
      </c>
    </row>
    <row r="40" spans="1:12" x14ac:dyDescent="0.25">
      <c r="A40" t="s">
        <v>92</v>
      </c>
      <c r="B40">
        <v>0.14399999999999999</v>
      </c>
      <c r="C40">
        <v>1680</v>
      </c>
      <c r="D40">
        <v>720</v>
      </c>
      <c r="G40" s="38" t="e">
        <f>VLOOKUP(WorkingDB[[#This Row],[Material]],CostDB[],4,FALSE)</f>
        <v>#N/A</v>
      </c>
      <c r="H40" s="26">
        <f t="shared" si="0"/>
        <v>1.1904761904761904E-7</v>
      </c>
      <c r="L40" t="s">
        <v>173</v>
      </c>
    </row>
    <row r="41" spans="1:12" x14ac:dyDescent="0.25">
      <c r="A41" s="1" t="s">
        <v>237</v>
      </c>
      <c r="B41">
        <v>2.8000000000000001E-2</v>
      </c>
      <c r="C41">
        <v>1213</v>
      </c>
      <c r="D41">
        <v>35</v>
      </c>
      <c r="G41" s="38">
        <f>VLOOKUP(WorkingDB[[#This Row],[Material]],CostDB[],4,FALSE)</f>
        <v>11000</v>
      </c>
      <c r="H41" s="26">
        <f>B41/(D41*C41)</f>
        <v>6.5952184666117067E-7</v>
      </c>
      <c r="L41" t="s">
        <v>231</v>
      </c>
    </row>
    <row r="42" spans="1:12" x14ac:dyDescent="0.25">
      <c r="A42" s="1" t="s">
        <v>238</v>
      </c>
      <c r="B42">
        <v>3.7999999999999999E-2</v>
      </c>
      <c r="C42">
        <v>1213</v>
      </c>
      <c r="D42">
        <v>28</v>
      </c>
      <c r="G42" s="38">
        <f>VLOOKUP(WorkingDB[[#This Row],[Material]],CostDB[],4,FALSE)</f>
        <v>6875</v>
      </c>
      <c r="H42" s="26">
        <f>B42/(D42*C42)</f>
        <v>1.1188317041573429E-6</v>
      </c>
      <c r="L42" t="s">
        <v>231</v>
      </c>
    </row>
    <row r="43" spans="1:12" x14ac:dyDescent="0.25">
      <c r="A43" s="1" t="s">
        <v>239</v>
      </c>
      <c r="B43">
        <v>2.5999999999999999E-2</v>
      </c>
      <c r="C43">
        <v>1590</v>
      </c>
      <c r="D43">
        <v>40</v>
      </c>
      <c r="G43" s="38">
        <f>VLOOKUP(WorkingDB[[#This Row],[Material]],CostDB[],4,FALSE)</f>
        <v>9625</v>
      </c>
      <c r="H43" s="26">
        <f>B43/(D43*C43)</f>
        <v>4.0880503144654089E-7</v>
      </c>
      <c r="L43" t="s">
        <v>231</v>
      </c>
    </row>
    <row r="44" spans="1:12" x14ac:dyDescent="0.25">
      <c r="A44" s="1" t="s">
        <v>393</v>
      </c>
      <c r="B44">
        <v>1.58</v>
      </c>
      <c r="C44">
        <v>880</v>
      </c>
      <c r="D44">
        <v>2288</v>
      </c>
      <c r="G44" s="38">
        <f>VLOOKUP(WorkingDB[[#This Row],[Material]],CostDB[],4,FALSE)</f>
        <v>10185.049999999999</v>
      </c>
      <c r="H44" s="26">
        <f>B44/(D44*C44)</f>
        <v>7.8472663699936434E-7</v>
      </c>
      <c r="L44" t="s">
        <v>173</v>
      </c>
    </row>
    <row r="45" spans="1:12" x14ac:dyDescent="0.25">
      <c r="A45" s="1" t="s">
        <v>397</v>
      </c>
      <c r="B45">
        <v>2.5999999999999999E-2</v>
      </c>
      <c r="C45">
        <v>1590</v>
      </c>
      <c r="D45">
        <v>40</v>
      </c>
      <c r="G45" s="38">
        <f>VLOOKUP(WorkingDB[[#This Row],[Material]],CostDB[],4,FALSE)</f>
        <v>9625</v>
      </c>
      <c r="H45" s="26">
        <f>B45/(D45*C45)</f>
        <v>4.0880503144654089E-7</v>
      </c>
      <c r="L45" t="s">
        <v>231</v>
      </c>
    </row>
  </sheetData>
  <conditionalFormatting sqref="C2:C45">
    <cfRule type="cellIs" dxfId="0" priority="1" operator="equal">
      <formula>"'=Table2[@[KJ/kgK]]*1000'"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D61-AE89-47C7-A268-6D8CCA417248}">
  <dimension ref="A1:N17"/>
  <sheetViews>
    <sheetView showGridLines="0" workbookViewId="0">
      <selection activeCell="F4" sqref="F4"/>
    </sheetView>
  </sheetViews>
  <sheetFormatPr defaultRowHeight="13.8" x14ac:dyDescent="0.25"/>
  <cols>
    <col min="1" max="1" width="37.25" bestFit="1" customWidth="1"/>
    <col min="2" max="2" width="10" bestFit="1" customWidth="1"/>
    <col min="4" max="4" width="30.125" customWidth="1"/>
    <col min="5" max="5" width="15.625" bestFit="1" customWidth="1"/>
    <col min="6" max="6" width="9.25" customWidth="1"/>
  </cols>
  <sheetData>
    <row r="1" spans="1:14" x14ac:dyDescent="0.25">
      <c r="A1" t="s">
        <v>2</v>
      </c>
      <c r="B1" t="s">
        <v>385</v>
      </c>
      <c r="C1" t="s">
        <v>386</v>
      </c>
      <c r="D1" t="s">
        <v>388</v>
      </c>
      <c r="E1" t="s">
        <v>399</v>
      </c>
      <c r="F1" t="s">
        <v>12</v>
      </c>
    </row>
    <row r="2" spans="1:14" x14ac:dyDescent="0.25">
      <c r="A2" s="39" t="s">
        <v>91</v>
      </c>
      <c r="B2" s="40">
        <v>11659.7</v>
      </c>
      <c r="C2" t="s">
        <v>387</v>
      </c>
      <c r="D2" s="41">
        <f t="shared" ref="D2:D14" si="0">B2</f>
        <v>11659.7</v>
      </c>
      <c r="E2" s="41">
        <v>0</v>
      </c>
      <c r="F2" t="s">
        <v>389</v>
      </c>
    </row>
    <row r="3" spans="1:14" x14ac:dyDescent="0.25">
      <c r="A3" s="39" t="s">
        <v>105</v>
      </c>
      <c r="B3" s="40">
        <v>7213.5</v>
      </c>
      <c r="C3" t="s">
        <v>387</v>
      </c>
      <c r="D3" s="41">
        <f t="shared" si="0"/>
        <v>7213.5</v>
      </c>
      <c r="E3" s="41">
        <v>0</v>
      </c>
      <c r="F3" t="s">
        <v>390</v>
      </c>
    </row>
    <row r="4" spans="1:14" x14ac:dyDescent="0.25">
      <c r="A4" s="42" t="s">
        <v>238</v>
      </c>
      <c r="B4" s="43">
        <f>825/0.12</f>
        <v>6875</v>
      </c>
      <c r="C4" t="s">
        <v>387</v>
      </c>
      <c r="D4" s="41">
        <f t="shared" si="0"/>
        <v>6875</v>
      </c>
      <c r="E4" s="41">
        <f>3493.05-825</f>
        <v>2668.05</v>
      </c>
      <c r="F4" t="s">
        <v>406</v>
      </c>
    </row>
    <row r="5" spans="1:14" x14ac:dyDescent="0.25">
      <c r="A5" s="42" t="s">
        <v>237</v>
      </c>
      <c r="B5" s="43">
        <f>550/0.05</f>
        <v>11000</v>
      </c>
      <c r="C5" t="s">
        <v>387</v>
      </c>
      <c r="D5" s="41">
        <f t="shared" si="0"/>
        <v>11000</v>
      </c>
      <c r="E5" s="41">
        <f>850.65-550</f>
        <v>300.64999999999998</v>
      </c>
      <c r="F5" t="s">
        <v>405</v>
      </c>
    </row>
    <row r="6" spans="1:14" x14ac:dyDescent="0.25">
      <c r="A6" s="42" t="s">
        <v>112</v>
      </c>
      <c r="B6" s="43">
        <f>339.1/0.015</f>
        <v>22606.666666666668</v>
      </c>
      <c r="C6" t="s">
        <v>387</v>
      </c>
      <c r="D6" s="41">
        <f t="shared" si="0"/>
        <v>22606.666666666668</v>
      </c>
      <c r="E6" s="41">
        <v>0</v>
      </c>
      <c r="F6" t="s">
        <v>391</v>
      </c>
    </row>
    <row r="7" spans="1:14" x14ac:dyDescent="0.25">
      <c r="A7" s="42" t="s">
        <v>102</v>
      </c>
      <c r="B7" s="43">
        <v>8414.65</v>
      </c>
      <c r="C7" t="s">
        <v>387</v>
      </c>
      <c r="D7" s="41">
        <f t="shared" si="0"/>
        <v>8414.65</v>
      </c>
      <c r="E7" s="41">
        <v>0</v>
      </c>
      <c r="F7" t="s">
        <v>392</v>
      </c>
    </row>
    <row r="8" spans="1:14" x14ac:dyDescent="0.25">
      <c r="A8" s="42" t="s">
        <v>393</v>
      </c>
      <c r="B8" s="41">
        <v>10185.049999999999</v>
      </c>
      <c r="C8" t="s">
        <v>387</v>
      </c>
      <c r="D8" s="41">
        <f t="shared" si="0"/>
        <v>10185.049999999999</v>
      </c>
      <c r="E8" s="41">
        <v>669.55</v>
      </c>
      <c r="F8" t="s">
        <v>395</v>
      </c>
    </row>
    <row r="9" spans="1:14" x14ac:dyDescent="0.25">
      <c r="A9" s="42" t="s">
        <v>107</v>
      </c>
      <c r="B9" s="43">
        <v>10719.3</v>
      </c>
      <c r="C9" t="s">
        <v>387</v>
      </c>
      <c r="D9" s="41">
        <f t="shared" si="0"/>
        <v>10719.3</v>
      </c>
      <c r="E9" s="41">
        <v>766.55</v>
      </c>
      <c r="F9" t="s">
        <v>394</v>
      </c>
    </row>
    <row r="10" spans="1:14" x14ac:dyDescent="0.25">
      <c r="A10" s="42" t="s">
        <v>108</v>
      </c>
      <c r="B10" s="43">
        <f>549.05/0.075</f>
        <v>7320.6666666666661</v>
      </c>
      <c r="C10" t="s">
        <v>387</v>
      </c>
      <c r="D10" s="41">
        <f t="shared" si="0"/>
        <v>7320.6666666666661</v>
      </c>
      <c r="E10" s="41"/>
      <c r="F10" t="s">
        <v>396</v>
      </c>
    </row>
    <row r="11" spans="1:14" x14ac:dyDescent="0.25">
      <c r="A11" s="42" t="s">
        <v>239</v>
      </c>
      <c r="B11" s="43">
        <f>385/0.04</f>
        <v>9625</v>
      </c>
      <c r="C11" t="s">
        <v>387</v>
      </c>
      <c r="D11" s="41">
        <f t="shared" si="0"/>
        <v>9625</v>
      </c>
      <c r="E11" s="41"/>
      <c r="F11" t="s">
        <v>407</v>
      </c>
    </row>
    <row r="12" spans="1:14" x14ac:dyDescent="0.25">
      <c r="A12" s="42" t="s">
        <v>397</v>
      </c>
      <c r="B12" s="43">
        <f>385/0.04</f>
        <v>9625</v>
      </c>
      <c r="C12" t="s">
        <v>387</v>
      </c>
      <c r="D12" s="41">
        <f t="shared" si="0"/>
        <v>9625</v>
      </c>
      <c r="E12" s="41">
        <v>978</v>
      </c>
      <c r="F12" t="s">
        <v>398</v>
      </c>
    </row>
    <row r="13" spans="1:14" x14ac:dyDescent="0.25">
      <c r="A13" s="42" t="s">
        <v>400</v>
      </c>
      <c r="B13" s="43">
        <f>825/0.12</f>
        <v>6875</v>
      </c>
      <c r="C13" t="s">
        <v>387</v>
      </c>
      <c r="D13" s="41">
        <f t="shared" si="0"/>
        <v>6875</v>
      </c>
      <c r="E13" s="41">
        <f>E12</f>
        <v>978</v>
      </c>
      <c r="F13" t="s">
        <v>402</v>
      </c>
    </row>
    <row r="14" spans="1:14" x14ac:dyDescent="0.25">
      <c r="A14" s="42" t="s">
        <v>401</v>
      </c>
      <c r="B14" s="43">
        <f>550/0.05</f>
        <v>11000</v>
      </c>
      <c r="C14" t="s">
        <v>387</v>
      </c>
      <c r="D14" s="41">
        <f t="shared" si="0"/>
        <v>11000</v>
      </c>
      <c r="E14" s="41">
        <f>E12</f>
        <v>978</v>
      </c>
      <c r="F14" t="s">
        <v>403</v>
      </c>
    </row>
    <row r="15" spans="1:14" x14ac:dyDescent="0.25">
      <c r="A15" s="42" t="s">
        <v>104</v>
      </c>
      <c r="B15" s="43">
        <v>8086.6</v>
      </c>
      <c r="C15" t="s">
        <v>387</v>
      </c>
      <c r="D15" s="41">
        <f>B15</f>
        <v>8086.6</v>
      </c>
      <c r="E15" s="41"/>
      <c r="F15" t="s">
        <v>408</v>
      </c>
    </row>
    <row r="16" spans="1:14" x14ac:dyDescent="0.25">
      <c r="H16" t="s">
        <v>409</v>
      </c>
      <c r="I16" t="s">
        <v>411</v>
      </c>
      <c r="J16" t="s">
        <v>410</v>
      </c>
      <c r="K16" t="s">
        <v>412</v>
      </c>
      <c r="M16" t="s">
        <v>412</v>
      </c>
      <c r="N16" t="s">
        <v>409</v>
      </c>
    </row>
    <row r="17" spans="8:14" x14ac:dyDescent="0.25">
      <c r="H17">
        <v>66</v>
      </c>
      <c r="I17">
        <f>20/1000</f>
        <v>0.02</v>
      </c>
      <c r="J17">
        <v>1</v>
      </c>
      <c r="K17">
        <f>I17*J17</f>
        <v>0.02</v>
      </c>
      <c r="M17">
        <v>1</v>
      </c>
      <c r="N17">
        <f>H17/K17</f>
        <v>3300</v>
      </c>
    </row>
  </sheetData>
  <phoneticPr fontId="15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C763-907F-4C96-BADF-056928E3CC84}">
  <dimension ref="A1:D43"/>
  <sheetViews>
    <sheetView showGridLines="0" topLeftCell="A19" workbookViewId="0">
      <selection activeCell="D1" sqref="D1"/>
    </sheetView>
  </sheetViews>
  <sheetFormatPr defaultRowHeight="13.8" x14ac:dyDescent="0.25"/>
  <cols>
    <col min="2" max="2" width="9.75" customWidth="1"/>
    <col min="3" max="3" width="32.25" customWidth="1"/>
    <col min="4" max="4" width="73.375" customWidth="1"/>
  </cols>
  <sheetData>
    <row r="1" spans="1:4" x14ac:dyDescent="0.25">
      <c r="A1" t="s">
        <v>73</v>
      </c>
      <c r="B1" t="s">
        <v>28</v>
      </c>
      <c r="C1" t="s">
        <v>72</v>
      </c>
      <c r="D1" t="s">
        <v>71</v>
      </c>
    </row>
    <row r="2" spans="1:4" x14ac:dyDescent="0.25">
      <c r="A2">
        <v>34</v>
      </c>
      <c r="B2" t="s">
        <v>62</v>
      </c>
      <c r="C2" t="s">
        <v>76</v>
      </c>
      <c r="D2">
        <v>0.7</v>
      </c>
    </row>
    <row r="3" spans="1:4" x14ac:dyDescent="0.25">
      <c r="A3">
        <v>35</v>
      </c>
      <c r="B3" t="s">
        <v>63</v>
      </c>
      <c r="C3" t="s">
        <v>76</v>
      </c>
      <c r="D3">
        <v>0.7</v>
      </c>
    </row>
    <row r="4" spans="1:4" x14ac:dyDescent="0.25">
      <c r="A4">
        <v>41</v>
      </c>
      <c r="B4" t="s">
        <v>69</v>
      </c>
      <c r="C4" t="s">
        <v>80</v>
      </c>
      <c r="D4">
        <v>2.02</v>
      </c>
    </row>
    <row r="5" spans="1:4" x14ac:dyDescent="0.25">
      <c r="A5">
        <v>42</v>
      </c>
      <c r="B5" t="s">
        <v>70</v>
      </c>
      <c r="C5" t="s">
        <v>81</v>
      </c>
      <c r="D5">
        <v>0.8</v>
      </c>
    </row>
    <row r="6" spans="1:4" x14ac:dyDescent="0.25">
      <c r="A6">
        <v>36</v>
      </c>
      <c r="B6" t="s">
        <v>64</v>
      </c>
      <c r="C6" t="s">
        <v>77</v>
      </c>
      <c r="D6">
        <v>1.81</v>
      </c>
    </row>
    <row r="7" spans="1:4" x14ac:dyDescent="0.25">
      <c r="A7">
        <v>37</v>
      </c>
      <c r="B7" t="s">
        <v>65</v>
      </c>
      <c r="C7" t="s">
        <v>77</v>
      </c>
      <c r="D7">
        <v>2.08</v>
      </c>
    </row>
    <row r="8" spans="1:4" x14ac:dyDescent="0.25">
      <c r="A8">
        <v>39</v>
      </c>
      <c r="B8" t="s">
        <v>67</v>
      </c>
      <c r="C8" t="s">
        <v>78</v>
      </c>
      <c r="D8">
        <v>1.94</v>
      </c>
    </row>
    <row r="9" spans="1:4" x14ac:dyDescent="0.25">
      <c r="A9">
        <v>38</v>
      </c>
      <c r="B9" t="s">
        <v>66</v>
      </c>
      <c r="C9" t="s">
        <v>78</v>
      </c>
      <c r="D9">
        <v>2.17</v>
      </c>
    </row>
    <row r="10" spans="1:4" x14ac:dyDescent="0.25">
      <c r="A10">
        <v>40</v>
      </c>
      <c r="B10" t="s">
        <v>68</v>
      </c>
      <c r="C10" t="s">
        <v>79</v>
      </c>
      <c r="D10">
        <v>2.93</v>
      </c>
    </row>
    <row r="11" spans="1:4" x14ac:dyDescent="0.25">
      <c r="A11">
        <v>15</v>
      </c>
      <c r="B11" t="s">
        <v>43</v>
      </c>
      <c r="C11" t="s">
        <v>74</v>
      </c>
      <c r="D11">
        <v>1.34</v>
      </c>
    </row>
    <row r="12" spans="1:4" x14ac:dyDescent="0.25">
      <c r="A12">
        <v>9</v>
      </c>
      <c r="B12" t="s">
        <v>37</v>
      </c>
      <c r="C12" t="s">
        <v>74</v>
      </c>
      <c r="D12">
        <v>1.37</v>
      </c>
    </row>
    <row r="13" spans="1:4" x14ac:dyDescent="0.25">
      <c r="A13">
        <v>17</v>
      </c>
      <c r="B13" t="s">
        <v>45</v>
      </c>
      <c r="C13" t="s">
        <v>74</v>
      </c>
      <c r="D13">
        <v>1.42</v>
      </c>
    </row>
    <row r="14" spans="1:4" x14ac:dyDescent="0.25">
      <c r="A14">
        <v>14</v>
      </c>
      <c r="B14" t="s">
        <v>42</v>
      </c>
      <c r="C14" t="s">
        <v>74</v>
      </c>
      <c r="D14">
        <v>1.44</v>
      </c>
    </row>
    <row r="15" spans="1:4" x14ac:dyDescent="0.25">
      <c r="A15">
        <v>16</v>
      </c>
      <c r="B15" t="s">
        <v>44</v>
      </c>
      <c r="C15" t="s">
        <v>74</v>
      </c>
      <c r="D15">
        <v>1.45</v>
      </c>
    </row>
    <row r="16" spans="1:4" x14ac:dyDescent="0.25">
      <c r="A16">
        <v>10</v>
      </c>
      <c r="B16" t="s">
        <v>38</v>
      </c>
      <c r="C16" t="s">
        <v>74</v>
      </c>
      <c r="D16">
        <v>1.46</v>
      </c>
    </row>
    <row r="17" spans="1:4" x14ac:dyDescent="0.25">
      <c r="A17">
        <v>1</v>
      </c>
      <c r="B17" t="s">
        <v>29</v>
      </c>
      <c r="C17" t="s">
        <v>74</v>
      </c>
      <c r="D17">
        <v>1.6</v>
      </c>
    </row>
    <row r="18" spans="1:4" x14ac:dyDescent="0.25">
      <c r="A18">
        <v>11</v>
      </c>
      <c r="B18" t="s">
        <v>39</v>
      </c>
      <c r="C18" t="s">
        <v>74</v>
      </c>
      <c r="D18">
        <v>1.63</v>
      </c>
    </row>
    <row r="19" spans="1:4" x14ac:dyDescent="0.25">
      <c r="A19">
        <v>8</v>
      </c>
      <c r="B19" t="s">
        <v>36</v>
      </c>
      <c r="C19" t="s">
        <v>74</v>
      </c>
      <c r="D19">
        <v>1.64</v>
      </c>
    </row>
    <row r="20" spans="1:4" x14ac:dyDescent="0.25">
      <c r="A20">
        <v>7</v>
      </c>
      <c r="B20" t="s">
        <v>35</v>
      </c>
      <c r="C20" t="s">
        <v>74</v>
      </c>
      <c r="D20">
        <v>1.7</v>
      </c>
    </row>
    <row r="21" spans="1:4" x14ac:dyDescent="0.25">
      <c r="A21">
        <v>21</v>
      </c>
      <c r="B21" t="s">
        <v>49</v>
      </c>
      <c r="C21" t="s">
        <v>74</v>
      </c>
      <c r="D21">
        <v>1.72</v>
      </c>
    </row>
    <row r="22" spans="1:4" x14ac:dyDescent="0.25">
      <c r="A22">
        <v>20</v>
      </c>
      <c r="B22" t="s">
        <v>48</v>
      </c>
      <c r="C22" t="s">
        <v>74</v>
      </c>
      <c r="D22">
        <v>1.74</v>
      </c>
    </row>
    <row r="23" spans="1:4" x14ac:dyDescent="0.25">
      <c r="A23">
        <v>4</v>
      </c>
      <c r="B23" t="s">
        <v>32</v>
      </c>
      <c r="C23" t="s">
        <v>74</v>
      </c>
      <c r="D23">
        <v>1.77</v>
      </c>
    </row>
    <row r="24" spans="1:4" x14ac:dyDescent="0.25">
      <c r="A24">
        <v>18</v>
      </c>
      <c r="B24" t="s">
        <v>46</v>
      </c>
      <c r="C24" t="s">
        <v>74</v>
      </c>
      <c r="D24">
        <v>1.8</v>
      </c>
    </row>
    <row r="25" spans="1:4" x14ac:dyDescent="0.25">
      <c r="A25">
        <v>13</v>
      </c>
      <c r="B25" t="s">
        <v>41</v>
      </c>
      <c r="C25" t="s">
        <v>74</v>
      </c>
      <c r="D25">
        <v>1.81</v>
      </c>
    </row>
    <row r="26" spans="1:4" x14ac:dyDescent="0.25">
      <c r="A26">
        <v>2</v>
      </c>
      <c r="B26" t="s">
        <v>30</v>
      </c>
      <c r="C26" t="s">
        <v>74</v>
      </c>
      <c r="D26">
        <v>1.83</v>
      </c>
    </row>
    <row r="27" spans="1:4" x14ac:dyDescent="0.25">
      <c r="A27">
        <v>22</v>
      </c>
      <c r="B27" t="s">
        <v>50</v>
      </c>
      <c r="C27" t="s">
        <v>74</v>
      </c>
      <c r="D27">
        <v>1.91</v>
      </c>
    </row>
    <row r="28" spans="1:4" x14ac:dyDescent="0.25">
      <c r="A28">
        <v>19</v>
      </c>
      <c r="B28" t="s">
        <v>47</v>
      </c>
      <c r="C28" t="s">
        <v>74</v>
      </c>
      <c r="D28">
        <v>1.92</v>
      </c>
    </row>
    <row r="29" spans="1:4" x14ac:dyDescent="0.25">
      <c r="A29">
        <v>23</v>
      </c>
      <c r="B29" t="s">
        <v>51</v>
      </c>
      <c r="C29" t="s">
        <v>74</v>
      </c>
      <c r="D29">
        <v>2.0699999999999998</v>
      </c>
    </row>
    <row r="30" spans="1:4" x14ac:dyDescent="0.25">
      <c r="A30">
        <v>6</v>
      </c>
      <c r="B30" t="s">
        <v>34</v>
      </c>
      <c r="C30" t="s">
        <v>74</v>
      </c>
      <c r="D30">
        <v>2.11</v>
      </c>
    </row>
    <row r="31" spans="1:4" x14ac:dyDescent="0.25">
      <c r="A31">
        <v>12</v>
      </c>
      <c r="B31" t="s">
        <v>40</v>
      </c>
      <c r="C31" t="s">
        <v>74</v>
      </c>
      <c r="D31">
        <v>2.16</v>
      </c>
    </row>
    <row r="32" spans="1:4" x14ac:dyDescent="0.25">
      <c r="A32">
        <v>3</v>
      </c>
      <c r="B32" t="s">
        <v>31</v>
      </c>
      <c r="C32" t="s">
        <v>74</v>
      </c>
      <c r="D32">
        <v>2.39</v>
      </c>
    </row>
    <row r="33" spans="1:4" x14ac:dyDescent="0.25">
      <c r="A33">
        <v>5</v>
      </c>
      <c r="B33" t="s">
        <v>33</v>
      </c>
      <c r="C33" t="s">
        <v>74</v>
      </c>
      <c r="D33">
        <v>2.56</v>
      </c>
    </row>
    <row r="34" spans="1:4" x14ac:dyDescent="0.25">
      <c r="A34">
        <v>29</v>
      </c>
      <c r="B34" t="s">
        <v>57</v>
      </c>
      <c r="C34" t="s">
        <v>75</v>
      </c>
      <c r="D34">
        <v>1.3</v>
      </c>
    </row>
    <row r="35" spans="1:4" x14ac:dyDescent="0.25">
      <c r="A35">
        <v>27</v>
      </c>
      <c r="B35" t="s">
        <v>55</v>
      </c>
      <c r="C35" t="s">
        <v>75</v>
      </c>
      <c r="D35">
        <v>1.37</v>
      </c>
    </row>
    <row r="36" spans="1:4" x14ac:dyDescent="0.25">
      <c r="A36">
        <v>33</v>
      </c>
      <c r="B36" t="s">
        <v>61</v>
      </c>
      <c r="C36" t="s">
        <v>75</v>
      </c>
      <c r="D36">
        <v>1.63</v>
      </c>
    </row>
    <row r="37" spans="1:4" x14ac:dyDescent="0.25">
      <c r="A37">
        <v>28</v>
      </c>
      <c r="B37" t="s">
        <v>56</v>
      </c>
      <c r="C37" t="s">
        <v>75</v>
      </c>
      <c r="D37">
        <v>1.64</v>
      </c>
    </row>
    <row r="38" spans="1:4" x14ac:dyDescent="0.25">
      <c r="A38">
        <v>31</v>
      </c>
      <c r="B38" t="s">
        <v>59</v>
      </c>
      <c r="C38" t="s">
        <v>75</v>
      </c>
      <c r="D38">
        <v>1.67</v>
      </c>
    </row>
    <row r="39" spans="1:4" x14ac:dyDescent="0.25">
      <c r="A39">
        <v>26</v>
      </c>
      <c r="B39" t="s">
        <v>54</v>
      </c>
      <c r="C39" t="s">
        <v>75</v>
      </c>
      <c r="D39">
        <v>1.69</v>
      </c>
    </row>
    <row r="40" spans="1:4" x14ac:dyDescent="0.25">
      <c r="A40">
        <v>32</v>
      </c>
      <c r="B40" t="s">
        <v>60</v>
      </c>
      <c r="C40" t="s">
        <v>75</v>
      </c>
      <c r="D40">
        <v>1.92</v>
      </c>
    </row>
    <row r="41" spans="1:4" x14ac:dyDescent="0.25">
      <c r="A41">
        <v>30</v>
      </c>
      <c r="B41" t="s">
        <v>58</v>
      </c>
      <c r="C41" t="s">
        <v>75</v>
      </c>
      <c r="D41">
        <v>1.96</v>
      </c>
    </row>
    <row r="42" spans="1:4" x14ac:dyDescent="0.25">
      <c r="A42">
        <v>25</v>
      </c>
      <c r="B42" t="s">
        <v>53</v>
      </c>
      <c r="C42" t="s">
        <v>75</v>
      </c>
      <c r="D42">
        <v>2.16</v>
      </c>
    </row>
    <row r="43" spans="1:4" x14ac:dyDescent="0.25">
      <c r="A43">
        <v>24</v>
      </c>
      <c r="B43" t="s">
        <v>52</v>
      </c>
      <c r="C43" t="s">
        <v>75</v>
      </c>
      <c r="D43">
        <v>2.25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5CD3-7185-46FF-8F06-CB5F90C25924}">
  <dimension ref="A1:I101"/>
  <sheetViews>
    <sheetView showGridLines="0" topLeftCell="A10" workbookViewId="0">
      <selection activeCell="D28" sqref="D28"/>
    </sheetView>
  </sheetViews>
  <sheetFormatPr defaultRowHeight="13.8" x14ac:dyDescent="0.25"/>
  <cols>
    <col min="1" max="1" width="7.25" bestFit="1" customWidth="1"/>
    <col min="2" max="2" width="43.75" customWidth="1"/>
    <col min="3" max="3" width="10.75" bestFit="1" customWidth="1"/>
    <col min="4" max="4" width="8.375" bestFit="1" customWidth="1"/>
    <col min="5" max="5" width="16.75" bestFit="1" customWidth="1"/>
    <col min="6" max="7" width="9.375" bestFit="1" customWidth="1"/>
    <col min="8" max="8" width="9.875" bestFit="1" customWidth="1"/>
    <col min="9" max="9" width="18.75" bestFit="1" customWidth="1"/>
    <col min="10" max="10" width="19" customWidth="1"/>
  </cols>
  <sheetData>
    <row r="1" spans="1:9" x14ac:dyDescent="0.25">
      <c r="A1" t="s">
        <v>73</v>
      </c>
      <c r="B1" t="s">
        <v>2</v>
      </c>
      <c r="C1" t="s">
        <v>99</v>
      </c>
      <c r="D1" t="s">
        <v>196</v>
      </c>
      <c r="E1" t="s">
        <v>98</v>
      </c>
      <c r="F1" t="s">
        <v>100</v>
      </c>
      <c r="G1" t="s">
        <v>12</v>
      </c>
      <c r="H1" t="s">
        <v>141</v>
      </c>
      <c r="I1" t="s">
        <v>97</v>
      </c>
    </row>
    <row r="2" spans="1:9" x14ac:dyDescent="0.25">
      <c r="A2">
        <v>1</v>
      </c>
      <c r="B2" t="s">
        <v>91</v>
      </c>
      <c r="C2" s="25">
        <v>0.98</v>
      </c>
      <c r="D2">
        <f>Table2[[#This Row],[KJ/kgK]]*1000</f>
        <v>800</v>
      </c>
      <c r="E2">
        <v>1920</v>
      </c>
      <c r="F2">
        <v>0.8</v>
      </c>
      <c r="G2">
        <v>1</v>
      </c>
      <c r="I2" t="s">
        <v>96</v>
      </c>
    </row>
    <row r="3" spans="1:9" x14ac:dyDescent="0.25">
      <c r="A3">
        <v>2</v>
      </c>
      <c r="B3" t="s">
        <v>91</v>
      </c>
      <c r="C3" s="25">
        <v>0.85</v>
      </c>
      <c r="D3" t="e">
        <f>Table2[[#This Row],[KJ/kgK]]*1000</f>
        <v>#VALUE!</v>
      </c>
      <c r="E3">
        <v>1760</v>
      </c>
      <c r="F3" t="s">
        <v>90</v>
      </c>
      <c r="G3">
        <v>1</v>
      </c>
      <c r="I3" t="s">
        <v>96</v>
      </c>
    </row>
    <row r="4" spans="1:9" x14ac:dyDescent="0.25">
      <c r="A4">
        <v>3</v>
      </c>
      <c r="B4" t="s">
        <v>91</v>
      </c>
      <c r="C4" s="25">
        <v>0.74</v>
      </c>
      <c r="D4" t="e">
        <f>Table2[[#This Row],[KJ/kgK]]*1000</f>
        <v>#VALUE!</v>
      </c>
      <c r="E4">
        <v>1600</v>
      </c>
      <c r="F4" t="s">
        <v>90</v>
      </c>
      <c r="G4">
        <v>1</v>
      </c>
      <c r="I4" t="s">
        <v>96</v>
      </c>
    </row>
    <row r="5" spans="1:9" x14ac:dyDescent="0.25">
      <c r="A5">
        <v>4</v>
      </c>
      <c r="B5" t="s">
        <v>91</v>
      </c>
      <c r="C5" s="25">
        <v>0.62</v>
      </c>
      <c r="D5" t="e">
        <f>Table2[[#This Row],[KJ/kgK]]*1000</f>
        <v>#VALUE!</v>
      </c>
      <c r="E5">
        <v>1440</v>
      </c>
      <c r="F5" t="s">
        <v>90</v>
      </c>
      <c r="G5">
        <v>1</v>
      </c>
      <c r="I5" t="s">
        <v>96</v>
      </c>
    </row>
    <row r="6" spans="1:9" x14ac:dyDescent="0.25">
      <c r="A6">
        <v>5</v>
      </c>
      <c r="B6" t="s">
        <v>101</v>
      </c>
      <c r="C6" s="25">
        <v>0.63100000000000001</v>
      </c>
      <c r="D6">
        <f>Table2[[#This Row],[KJ/kgK]]*1000</f>
        <v>650</v>
      </c>
      <c r="E6">
        <v>1520</v>
      </c>
      <c r="F6">
        <v>0.65</v>
      </c>
      <c r="G6">
        <v>4</v>
      </c>
      <c r="I6" t="s">
        <v>96</v>
      </c>
    </row>
    <row r="7" spans="1:9" x14ac:dyDescent="0.25">
      <c r="A7">
        <v>6</v>
      </c>
      <c r="B7" t="s">
        <v>102</v>
      </c>
      <c r="C7" s="25">
        <v>0.85599999999999998</v>
      </c>
      <c r="D7">
        <f>Table2[[#This Row],[KJ/kgK]]*1000</f>
        <v>930</v>
      </c>
      <c r="E7">
        <v>1650</v>
      </c>
      <c r="F7">
        <v>0.93</v>
      </c>
      <c r="G7">
        <v>2</v>
      </c>
      <c r="I7" t="s">
        <v>96</v>
      </c>
    </row>
    <row r="8" spans="1:9" x14ac:dyDescent="0.25">
      <c r="A8">
        <v>7</v>
      </c>
      <c r="B8" t="s">
        <v>103</v>
      </c>
      <c r="C8" s="25">
        <v>1.3959999999999999</v>
      </c>
      <c r="D8">
        <f>Table2[[#This Row],[KJ/kgK]]*1000</f>
        <v>200</v>
      </c>
      <c r="E8">
        <v>2427</v>
      </c>
      <c r="F8">
        <v>0.2</v>
      </c>
      <c r="G8">
        <v>4</v>
      </c>
      <c r="I8" t="s">
        <v>96</v>
      </c>
    </row>
    <row r="9" spans="1:9" x14ac:dyDescent="0.25">
      <c r="A9">
        <v>8</v>
      </c>
      <c r="B9" t="s">
        <v>104</v>
      </c>
      <c r="C9" s="25">
        <v>1.411</v>
      </c>
      <c r="D9">
        <f>Table2[[#This Row],[KJ/kgK]]*1000</f>
        <v>300</v>
      </c>
      <c r="E9">
        <v>2349</v>
      </c>
      <c r="F9">
        <v>0.3</v>
      </c>
      <c r="G9">
        <v>4</v>
      </c>
      <c r="I9" t="s">
        <v>96</v>
      </c>
    </row>
    <row r="10" spans="1:9" x14ac:dyDescent="0.25">
      <c r="A10">
        <v>9</v>
      </c>
      <c r="B10" t="s">
        <v>105</v>
      </c>
      <c r="C10" s="25">
        <v>0.184</v>
      </c>
      <c r="D10">
        <f>Table2[[#This Row],[KJ/kgK]]*1000</f>
        <v>1240</v>
      </c>
      <c r="E10">
        <v>642</v>
      </c>
      <c r="F10">
        <v>1.24</v>
      </c>
      <c r="G10">
        <v>4</v>
      </c>
      <c r="I10" t="s">
        <v>96</v>
      </c>
    </row>
    <row r="11" spans="1:9" x14ac:dyDescent="0.25">
      <c r="A11">
        <v>10</v>
      </c>
      <c r="B11" t="s">
        <v>212</v>
      </c>
      <c r="C11" s="25">
        <v>1.026</v>
      </c>
      <c r="D11">
        <f>Table2[[#This Row],[KJ/kgK]]*1000</f>
        <v>1030</v>
      </c>
      <c r="E11">
        <v>1700</v>
      </c>
      <c r="F11">
        <v>1.03</v>
      </c>
      <c r="G11">
        <v>5</v>
      </c>
      <c r="I11" t="s">
        <v>96</v>
      </c>
    </row>
    <row r="12" spans="1:9" x14ac:dyDescent="0.25">
      <c r="A12">
        <v>11</v>
      </c>
      <c r="B12" t="s">
        <v>213</v>
      </c>
      <c r="C12" s="25">
        <v>1.2010000000000001</v>
      </c>
      <c r="D12">
        <f>Table2[[#This Row],[KJ/kgK]]*1000</f>
        <v>1070</v>
      </c>
      <c r="E12">
        <v>1800</v>
      </c>
      <c r="F12">
        <v>1.07</v>
      </c>
      <c r="G12">
        <v>5</v>
      </c>
      <c r="I12" t="s">
        <v>96</v>
      </c>
    </row>
    <row r="13" spans="1:9" x14ac:dyDescent="0.25">
      <c r="A13">
        <v>12</v>
      </c>
      <c r="B13" t="s">
        <v>214</v>
      </c>
      <c r="C13" s="25">
        <v>1.3029999999999999</v>
      </c>
      <c r="D13">
        <f>Table2[[#This Row],[KJ/kgK]]*1000</f>
        <v>1070</v>
      </c>
      <c r="E13">
        <v>1900</v>
      </c>
      <c r="F13">
        <v>1.07</v>
      </c>
      <c r="G13">
        <v>5</v>
      </c>
      <c r="I13" t="s">
        <v>96</v>
      </c>
    </row>
    <row r="14" spans="1:9" x14ac:dyDescent="0.25">
      <c r="A14">
        <v>13</v>
      </c>
      <c r="B14" t="s">
        <v>106</v>
      </c>
      <c r="C14" s="25">
        <v>1.74</v>
      </c>
      <c r="D14">
        <f>Table2[[#This Row],[KJ/kgK]]*1000</f>
        <v>880</v>
      </c>
      <c r="E14">
        <v>2410</v>
      </c>
      <c r="F14">
        <v>0.88</v>
      </c>
      <c r="G14">
        <v>3</v>
      </c>
      <c r="I14" t="s">
        <v>96</v>
      </c>
    </row>
    <row r="15" spans="1:9" x14ac:dyDescent="0.25">
      <c r="A15">
        <v>14</v>
      </c>
      <c r="B15" t="s">
        <v>107</v>
      </c>
      <c r="C15" s="25">
        <v>1.58</v>
      </c>
      <c r="D15">
        <f>Table2[[#This Row],[KJ/kgK]]*1000</f>
        <v>880</v>
      </c>
      <c r="E15">
        <v>2288</v>
      </c>
      <c r="F15">
        <v>0.88</v>
      </c>
      <c r="G15">
        <v>3</v>
      </c>
      <c r="I15" t="s">
        <v>96</v>
      </c>
    </row>
    <row r="16" spans="1:9" x14ac:dyDescent="0.25">
      <c r="A16">
        <v>15</v>
      </c>
      <c r="B16" t="s">
        <v>108</v>
      </c>
      <c r="C16" s="25">
        <v>0.79800000000000004</v>
      </c>
      <c r="D16">
        <f>Table2[[#This Row],[KJ/kgK]]*1000</f>
        <v>880</v>
      </c>
      <c r="E16">
        <v>1892</v>
      </c>
      <c r="F16">
        <v>0.88</v>
      </c>
      <c r="G16">
        <v>3</v>
      </c>
      <c r="I16" t="s">
        <v>96</v>
      </c>
    </row>
    <row r="17" spans="1:9" x14ac:dyDescent="0.25">
      <c r="A17">
        <v>16</v>
      </c>
      <c r="B17" t="s">
        <v>109</v>
      </c>
      <c r="C17" s="25">
        <v>0.73</v>
      </c>
      <c r="D17">
        <f>Table2[[#This Row],[KJ/kgK]]*1000</f>
        <v>880</v>
      </c>
      <c r="E17">
        <v>1646</v>
      </c>
      <c r="F17">
        <v>0.88</v>
      </c>
      <c r="G17">
        <v>3</v>
      </c>
      <c r="I17" t="s">
        <v>96</v>
      </c>
    </row>
    <row r="18" spans="1:9" x14ac:dyDescent="0.25">
      <c r="A18">
        <v>17</v>
      </c>
      <c r="B18" t="s">
        <v>110</v>
      </c>
      <c r="C18" s="25">
        <v>0.51900000000000002</v>
      </c>
      <c r="D18">
        <f>Table2[[#This Row],[KJ/kgK]]*1000</f>
        <v>880</v>
      </c>
      <c r="E18">
        <v>1622</v>
      </c>
      <c r="F18">
        <v>0.88</v>
      </c>
      <c r="G18">
        <v>3</v>
      </c>
      <c r="I18" t="s">
        <v>96</v>
      </c>
    </row>
    <row r="19" spans="1:9" x14ac:dyDescent="0.25">
      <c r="A19">
        <v>18</v>
      </c>
      <c r="B19" t="s">
        <v>111</v>
      </c>
      <c r="C19" s="25">
        <v>0.71899999999999997</v>
      </c>
      <c r="D19">
        <f>Table2[[#This Row],[KJ/kgK]]*1000</f>
        <v>920</v>
      </c>
      <c r="E19">
        <v>1648</v>
      </c>
      <c r="F19">
        <v>0.92</v>
      </c>
      <c r="G19">
        <v>3</v>
      </c>
      <c r="I19" t="s">
        <v>96</v>
      </c>
    </row>
    <row r="20" spans="1:9" x14ac:dyDescent="0.25">
      <c r="A20">
        <v>19</v>
      </c>
      <c r="B20" t="s">
        <v>112</v>
      </c>
      <c r="C20" s="25">
        <v>0.72099999999999997</v>
      </c>
      <c r="D20">
        <f>Table2[[#This Row],[KJ/kgK]]*1000</f>
        <v>840</v>
      </c>
      <c r="E20">
        <v>1762</v>
      </c>
      <c r="F20">
        <v>0.84</v>
      </c>
      <c r="G20">
        <v>3</v>
      </c>
      <c r="I20" t="s">
        <v>96</v>
      </c>
    </row>
    <row r="21" spans="1:9" x14ac:dyDescent="0.25">
      <c r="A21">
        <v>20</v>
      </c>
      <c r="B21" t="s">
        <v>113</v>
      </c>
      <c r="C21" s="25">
        <v>0.51200000000000001</v>
      </c>
      <c r="D21">
        <f>Table2[[#This Row],[KJ/kgK]]*1000</f>
        <v>960</v>
      </c>
      <c r="E21">
        <v>1120</v>
      </c>
      <c r="F21">
        <v>0.96</v>
      </c>
      <c r="G21">
        <v>3</v>
      </c>
      <c r="I21" t="s">
        <v>96</v>
      </c>
    </row>
    <row r="22" spans="1:9" x14ac:dyDescent="0.25">
      <c r="A22">
        <v>21</v>
      </c>
      <c r="B22" t="s">
        <v>114</v>
      </c>
      <c r="C22" s="25">
        <v>0.188</v>
      </c>
      <c r="D22">
        <f>Table2[[#This Row],[KJ/kgK]]*1000</f>
        <v>1050</v>
      </c>
      <c r="E22">
        <v>704</v>
      </c>
      <c r="F22">
        <v>1.05</v>
      </c>
      <c r="G22">
        <v>3</v>
      </c>
      <c r="I22" t="s">
        <v>96</v>
      </c>
    </row>
    <row r="23" spans="1:9" x14ac:dyDescent="0.25">
      <c r="A23">
        <v>22</v>
      </c>
      <c r="B23" t="s">
        <v>115</v>
      </c>
      <c r="C23" s="25">
        <v>0.245</v>
      </c>
      <c r="D23">
        <f>Table2[[#This Row],[KJ/kgK]]*1000</f>
        <v>840</v>
      </c>
      <c r="E23">
        <v>1520</v>
      </c>
      <c r="F23">
        <v>0.84</v>
      </c>
      <c r="G23">
        <v>3</v>
      </c>
      <c r="I23" t="s">
        <v>96</v>
      </c>
    </row>
    <row r="24" spans="1:9" x14ac:dyDescent="0.25">
      <c r="A24">
        <v>23</v>
      </c>
      <c r="B24" t="s">
        <v>116</v>
      </c>
      <c r="C24" s="25">
        <v>61.06</v>
      </c>
      <c r="D24">
        <f>Table2[[#This Row],[KJ/kgK]]*1000</f>
        <v>500</v>
      </c>
      <c r="E24">
        <v>7520</v>
      </c>
      <c r="F24">
        <v>0.5</v>
      </c>
      <c r="G24">
        <v>3</v>
      </c>
      <c r="I24" t="s">
        <v>96</v>
      </c>
    </row>
    <row r="25" spans="1:9" x14ac:dyDescent="0.25">
      <c r="A25">
        <v>24</v>
      </c>
      <c r="B25" t="s">
        <v>92</v>
      </c>
      <c r="C25" s="25">
        <v>7.1999999999999995E-2</v>
      </c>
      <c r="D25">
        <f>Table2[[#This Row],[KJ/kgK]]*1000</f>
        <v>1680</v>
      </c>
      <c r="E25">
        <v>480</v>
      </c>
      <c r="F25">
        <v>1.68</v>
      </c>
      <c r="G25">
        <v>3</v>
      </c>
      <c r="I25" t="s">
        <v>96</v>
      </c>
    </row>
    <row r="26" spans="1:9" x14ac:dyDescent="0.25">
      <c r="A26">
        <v>25</v>
      </c>
      <c r="B26" t="s">
        <v>92</v>
      </c>
      <c r="C26" s="25">
        <v>0.14399999999999999</v>
      </c>
      <c r="D26">
        <f>Table2[[#This Row],[KJ/kgK]]*1000</f>
        <v>1680</v>
      </c>
      <c r="E26">
        <v>720</v>
      </c>
      <c r="F26">
        <v>1.68</v>
      </c>
      <c r="G26">
        <v>3</v>
      </c>
      <c r="I26" t="s">
        <v>96</v>
      </c>
    </row>
    <row r="27" spans="1:9" x14ac:dyDescent="0.25">
      <c r="A27">
        <v>26</v>
      </c>
      <c r="B27" t="s">
        <v>93</v>
      </c>
      <c r="C27" s="25">
        <v>0.17399999999999999</v>
      </c>
      <c r="D27">
        <f>Table2[[#This Row],[KJ/kgK]]*1000</f>
        <v>1760</v>
      </c>
      <c r="E27">
        <v>640</v>
      </c>
      <c r="F27">
        <v>1.76</v>
      </c>
      <c r="G27">
        <v>3</v>
      </c>
      <c r="I27" t="s">
        <v>96</v>
      </c>
    </row>
    <row r="28" spans="1:9" x14ac:dyDescent="0.25">
      <c r="A28">
        <v>27</v>
      </c>
      <c r="B28" t="s">
        <v>94</v>
      </c>
      <c r="C28" s="25">
        <v>0.81399999999999995</v>
      </c>
      <c r="D28">
        <f>Table2[[#This Row],[KJ/kgK]]*1000</f>
        <v>880</v>
      </c>
      <c r="E28">
        <v>2350</v>
      </c>
      <c r="F28">
        <v>0.88</v>
      </c>
      <c r="G28">
        <v>3</v>
      </c>
      <c r="I28" t="s">
        <v>96</v>
      </c>
    </row>
    <row r="29" spans="1:9" x14ac:dyDescent="0.25">
      <c r="A29">
        <v>28</v>
      </c>
      <c r="B29" t="s">
        <v>117</v>
      </c>
      <c r="C29" s="25">
        <v>0.47899999999999998</v>
      </c>
      <c r="D29">
        <f>Table2[[#This Row],[KJ/kgK]]*1000</f>
        <v>880</v>
      </c>
      <c r="E29" t="s">
        <v>118</v>
      </c>
      <c r="F29">
        <v>0.88</v>
      </c>
      <c r="G29">
        <v>3</v>
      </c>
      <c r="I29" t="s">
        <v>96</v>
      </c>
    </row>
    <row r="30" spans="1:9" x14ac:dyDescent="0.25">
      <c r="A30">
        <v>1</v>
      </c>
      <c r="B30" t="s">
        <v>199</v>
      </c>
      <c r="C30" s="25">
        <v>3.7999999999999999E-2</v>
      </c>
      <c r="D30">
        <f>Table2[[#This Row],[KJ/kgK]]*1000</f>
        <v>1340</v>
      </c>
      <c r="E30">
        <v>16</v>
      </c>
      <c r="F30">
        <v>1.34</v>
      </c>
      <c r="G30">
        <v>3</v>
      </c>
      <c r="I30" t="s">
        <v>119</v>
      </c>
    </row>
    <row r="31" spans="1:9" x14ac:dyDescent="0.25">
      <c r="A31">
        <v>2</v>
      </c>
      <c r="B31" t="s">
        <v>200</v>
      </c>
      <c r="C31" s="25">
        <v>3.5000000000000003E-2</v>
      </c>
      <c r="D31">
        <f>Table2[[#This Row],[KJ/kgK]]*1000</f>
        <v>1340</v>
      </c>
      <c r="E31">
        <v>24</v>
      </c>
      <c r="F31">
        <v>1.34</v>
      </c>
      <c r="G31">
        <v>3</v>
      </c>
      <c r="I31" t="s">
        <v>119</v>
      </c>
    </row>
    <row r="32" spans="1:9" x14ac:dyDescent="0.25">
      <c r="A32">
        <v>3</v>
      </c>
      <c r="B32" t="s">
        <v>201</v>
      </c>
      <c r="C32" s="25">
        <v>3.5000000000000003E-2</v>
      </c>
      <c r="D32">
        <f>Table2[[#This Row],[KJ/kgK]]*1000</f>
        <v>1340</v>
      </c>
      <c r="E32">
        <v>34</v>
      </c>
      <c r="F32">
        <v>1.34</v>
      </c>
      <c r="G32">
        <v>3</v>
      </c>
      <c r="I32" t="s">
        <v>119</v>
      </c>
    </row>
    <row r="33" spans="1:9" x14ac:dyDescent="0.25">
      <c r="A33">
        <v>4</v>
      </c>
      <c r="B33" t="s">
        <v>202</v>
      </c>
      <c r="C33" s="25">
        <v>5.6000000000000001E-2</v>
      </c>
      <c r="D33">
        <f>Table2[[#This Row],[KJ/kgK]]*1000</f>
        <v>750</v>
      </c>
      <c r="E33">
        <v>127</v>
      </c>
      <c r="F33">
        <v>0.75</v>
      </c>
      <c r="G33">
        <v>3</v>
      </c>
      <c r="I33" t="s">
        <v>119</v>
      </c>
    </row>
    <row r="34" spans="1:9" x14ac:dyDescent="0.25">
      <c r="A34">
        <v>5</v>
      </c>
      <c r="B34" t="s">
        <v>203</v>
      </c>
      <c r="C34" s="25">
        <v>5.5E-2</v>
      </c>
      <c r="D34">
        <f>Table2[[#This Row],[KJ/kgK]]*1000</f>
        <v>750</v>
      </c>
      <c r="E34">
        <v>160</v>
      </c>
      <c r="F34">
        <v>0.75</v>
      </c>
      <c r="G34">
        <v>3</v>
      </c>
      <c r="I34" t="s">
        <v>119</v>
      </c>
    </row>
    <row r="35" spans="1:9" x14ac:dyDescent="0.25">
      <c r="A35">
        <v>6</v>
      </c>
      <c r="B35" t="s">
        <v>206</v>
      </c>
      <c r="C35" s="25">
        <v>7.0000000000000007E-2</v>
      </c>
      <c r="D35">
        <f>Table2[[#This Row],[KJ/kgK]]*1000</f>
        <v>920</v>
      </c>
      <c r="E35">
        <v>320</v>
      </c>
      <c r="F35">
        <v>0.92</v>
      </c>
      <c r="G35">
        <v>3</v>
      </c>
      <c r="I35" t="s">
        <v>119</v>
      </c>
    </row>
    <row r="36" spans="1:9" x14ac:dyDescent="0.25">
      <c r="A36">
        <v>7</v>
      </c>
      <c r="B36" t="s">
        <v>205</v>
      </c>
      <c r="C36" s="25">
        <v>8.4000000000000005E-2</v>
      </c>
      <c r="D36">
        <f>Table2[[#This Row],[KJ/kgK]]*1000</f>
        <v>920</v>
      </c>
      <c r="E36">
        <v>400</v>
      </c>
      <c r="F36">
        <v>0.92</v>
      </c>
      <c r="G36">
        <v>3</v>
      </c>
      <c r="I36" t="s">
        <v>119</v>
      </c>
    </row>
    <row r="37" spans="1:9" x14ac:dyDescent="0.25">
      <c r="A37">
        <v>8</v>
      </c>
      <c r="B37" t="s">
        <v>204</v>
      </c>
      <c r="C37" s="25">
        <v>0.14899999999999999</v>
      </c>
      <c r="D37">
        <f>Table2[[#This Row],[KJ/kgK]]*1000</f>
        <v>920</v>
      </c>
      <c r="E37">
        <v>704</v>
      </c>
      <c r="F37">
        <v>0.92</v>
      </c>
      <c r="G37">
        <v>3</v>
      </c>
      <c r="I37" t="s">
        <v>119</v>
      </c>
    </row>
    <row r="38" spans="1:9" x14ac:dyDescent="0.25">
      <c r="A38">
        <v>9</v>
      </c>
      <c r="B38" t="s">
        <v>207</v>
      </c>
      <c r="C38" s="25">
        <v>4.2999999999999997E-2</v>
      </c>
      <c r="D38">
        <f>Table2[[#This Row],[KJ/kgK]]*1000</f>
        <v>960</v>
      </c>
      <c r="E38">
        <v>164</v>
      </c>
      <c r="F38">
        <v>0.96</v>
      </c>
      <c r="G38">
        <v>3</v>
      </c>
      <c r="I38" t="s">
        <v>119</v>
      </c>
    </row>
    <row r="39" spans="1:9" x14ac:dyDescent="0.25">
      <c r="A39">
        <v>10</v>
      </c>
      <c r="B39" t="s">
        <v>208</v>
      </c>
      <c r="C39" s="25">
        <v>4.3999999999999997E-2</v>
      </c>
      <c r="D39">
        <f>Table2[[#This Row],[KJ/kgK]]*1000</f>
        <v>960</v>
      </c>
      <c r="E39">
        <v>192</v>
      </c>
      <c r="F39">
        <v>0.96</v>
      </c>
      <c r="G39">
        <v>3</v>
      </c>
      <c r="I39" t="s">
        <v>119</v>
      </c>
    </row>
    <row r="40" spans="1:9" x14ac:dyDescent="0.25">
      <c r="A40">
        <v>11</v>
      </c>
      <c r="B40" t="s">
        <v>209</v>
      </c>
      <c r="C40" s="25">
        <v>5.5E-2</v>
      </c>
      <c r="D40">
        <f>Table2[[#This Row],[KJ/kgK]]*1000</f>
        <v>960</v>
      </c>
      <c r="E40">
        <v>304</v>
      </c>
      <c r="F40">
        <v>0.96</v>
      </c>
      <c r="G40">
        <v>3</v>
      </c>
      <c r="I40" t="s">
        <v>119</v>
      </c>
    </row>
    <row r="41" spans="1:9" x14ac:dyDescent="0.25">
      <c r="A41">
        <v>12</v>
      </c>
      <c r="B41" t="s">
        <v>210</v>
      </c>
      <c r="C41" s="25">
        <v>4.7E-2</v>
      </c>
      <c r="D41">
        <f>Table2[[#This Row],[KJ/kgK]]*1000</f>
        <v>840</v>
      </c>
      <c r="E41">
        <v>92</v>
      </c>
      <c r="F41">
        <v>0.84</v>
      </c>
      <c r="G41">
        <v>3</v>
      </c>
      <c r="I41" t="s">
        <v>119</v>
      </c>
    </row>
    <row r="42" spans="1:9" x14ac:dyDescent="0.25">
      <c r="A42">
        <v>13</v>
      </c>
      <c r="B42" t="s">
        <v>211</v>
      </c>
      <c r="C42" s="25">
        <v>4.2999999999999997E-2</v>
      </c>
      <c r="D42">
        <f>Table2[[#This Row],[KJ/kgK]]*1000</f>
        <v>840</v>
      </c>
      <c r="E42">
        <v>150</v>
      </c>
      <c r="F42">
        <v>0.84</v>
      </c>
      <c r="G42">
        <v>3</v>
      </c>
      <c r="I42" t="s">
        <v>119</v>
      </c>
    </row>
    <row r="43" spans="1:9" x14ac:dyDescent="0.25">
      <c r="A43">
        <v>14</v>
      </c>
      <c r="B43" t="s">
        <v>127</v>
      </c>
      <c r="C43" s="25">
        <v>0.03</v>
      </c>
      <c r="D43">
        <f>Table2[[#This Row],[KJ/kgK]]*1000</f>
        <v>920</v>
      </c>
      <c r="E43">
        <v>73.5</v>
      </c>
      <c r="F43">
        <v>0.92</v>
      </c>
      <c r="G43">
        <v>3</v>
      </c>
      <c r="I43" t="s">
        <v>119</v>
      </c>
    </row>
    <row r="44" spans="1:9" x14ac:dyDescent="0.25">
      <c r="A44">
        <v>15</v>
      </c>
      <c r="B44" t="s">
        <v>128</v>
      </c>
      <c r="C44" s="25">
        <v>4.2999999999999997E-2</v>
      </c>
      <c r="D44">
        <f>Table2[[#This Row],[KJ/kgK]]*1000</f>
        <v>920</v>
      </c>
      <c r="E44">
        <v>69</v>
      </c>
      <c r="F44">
        <v>0.92</v>
      </c>
      <c r="G44">
        <v>3</v>
      </c>
      <c r="I44" t="s">
        <v>119</v>
      </c>
    </row>
    <row r="45" spans="1:9" x14ac:dyDescent="0.25">
      <c r="A45">
        <v>16</v>
      </c>
      <c r="B45" t="s">
        <v>128</v>
      </c>
      <c r="C45" s="25">
        <v>0.04</v>
      </c>
      <c r="D45">
        <f>Table2[[#This Row],[KJ/kgK]]*1000</f>
        <v>920</v>
      </c>
      <c r="E45">
        <v>189</v>
      </c>
      <c r="F45">
        <v>0.92</v>
      </c>
      <c r="G45">
        <v>3</v>
      </c>
      <c r="I45" t="s">
        <v>119</v>
      </c>
    </row>
    <row r="46" spans="1:9" x14ac:dyDescent="0.25">
      <c r="A46">
        <v>17</v>
      </c>
      <c r="B46" t="s">
        <v>129</v>
      </c>
      <c r="C46" s="25">
        <v>4.2000000000000003E-2</v>
      </c>
      <c r="D46">
        <f>Table2[[#This Row],[KJ/kgK]]*1000</f>
        <v>1000</v>
      </c>
      <c r="E46">
        <v>48</v>
      </c>
      <c r="F46">
        <v>1</v>
      </c>
      <c r="G46">
        <v>3</v>
      </c>
      <c r="I46" t="s">
        <v>119</v>
      </c>
    </row>
    <row r="47" spans="1:9" x14ac:dyDescent="0.25">
      <c r="A47">
        <v>18</v>
      </c>
      <c r="B47" t="s">
        <v>129</v>
      </c>
      <c r="C47" s="25">
        <v>3.7999999999999999E-2</v>
      </c>
      <c r="D47">
        <f>Table2[[#This Row],[KJ/kgK]]*1000</f>
        <v>1000</v>
      </c>
      <c r="E47">
        <v>64</v>
      </c>
      <c r="F47">
        <v>1</v>
      </c>
      <c r="G47">
        <v>3</v>
      </c>
      <c r="I47" t="s">
        <v>119</v>
      </c>
    </row>
    <row r="48" spans="1:9" x14ac:dyDescent="0.25">
      <c r="A48">
        <v>19</v>
      </c>
      <c r="B48" t="s">
        <v>129</v>
      </c>
      <c r="C48" s="25">
        <v>3.5999999999999997E-2</v>
      </c>
      <c r="D48">
        <f>Table2[[#This Row],[KJ/kgK]]*1000</f>
        <v>1000</v>
      </c>
      <c r="E48">
        <v>99</v>
      </c>
      <c r="F48">
        <v>1</v>
      </c>
      <c r="G48">
        <v>3</v>
      </c>
      <c r="I48" t="s">
        <v>119</v>
      </c>
    </row>
    <row r="49" spans="1:9" x14ac:dyDescent="0.25">
      <c r="A49">
        <v>20</v>
      </c>
      <c r="B49" t="s">
        <v>129</v>
      </c>
      <c r="C49" s="25">
        <v>0.04</v>
      </c>
      <c r="D49">
        <f>Table2[[#This Row],[KJ/kgK]]*1000</f>
        <v>1000</v>
      </c>
      <c r="E49">
        <v>16</v>
      </c>
      <c r="F49">
        <v>1</v>
      </c>
      <c r="G49">
        <v>3</v>
      </c>
      <c r="I49" t="s">
        <v>119</v>
      </c>
    </row>
    <row r="50" spans="1:9" x14ac:dyDescent="0.25">
      <c r="A50">
        <v>21</v>
      </c>
      <c r="B50" t="s">
        <v>129</v>
      </c>
      <c r="C50" s="25">
        <v>3.5999999999999997E-2</v>
      </c>
      <c r="D50">
        <f>Table2[[#This Row],[KJ/kgK]]*1000</f>
        <v>1000</v>
      </c>
      <c r="E50">
        <v>24</v>
      </c>
      <c r="F50">
        <v>1</v>
      </c>
      <c r="G50">
        <v>3</v>
      </c>
      <c r="I50" t="s">
        <v>119</v>
      </c>
    </row>
    <row r="51" spans="1:9" x14ac:dyDescent="0.25">
      <c r="A51">
        <v>22</v>
      </c>
      <c r="B51" t="s">
        <v>130</v>
      </c>
      <c r="C51" s="25">
        <v>6.9000000000000006E-2</v>
      </c>
      <c r="D51">
        <f>Table2[[#This Row],[KJ/kgK]]*1000</f>
        <v>880</v>
      </c>
      <c r="E51">
        <v>264</v>
      </c>
      <c r="F51">
        <v>0.88</v>
      </c>
      <c r="G51">
        <v>3</v>
      </c>
      <c r="I51" t="s">
        <v>119</v>
      </c>
    </row>
    <row r="52" spans="1:9" x14ac:dyDescent="0.25">
      <c r="A52">
        <v>23</v>
      </c>
      <c r="B52" t="s">
        <v>131</v>
      </c>
      <c r="C52" s="25">
        <v>0.249</v>
      </c>
      <c r="D52">
        <f>Table2[[#This Row],[KJ/kgK]]*1000</f>
        <v>840</v>
      </c>
      <c r="E52">
        <v>1397</v>
      </c>
      <c r="F52">
        <v>0.84</v>
      </c>
      <c r="G52">
        <v>3</v>
      </c>
      <c r="I52" t="s">
        <v>119</v>
      </c>
    </row>
    <row r="53" spans="1:9" x14ac:dyDescent="0.25">
      <c r="A53">
        <v>24</v>
      </c>
      <c r="B53" t="s">
        <v>120</v>
      </c>
      <c r="C53" s="25">
        <v>0.27900000000000003</v>
      </c>
      <c r="D53">
        <f>Table2[[#This Row],[KJ/kgK]]*1000</f>
        <v>1420</v>
      </c>
      <c r="E53">
        <v>979</v>
      </c>
      <c r="F53">
        <v>1.42</v>
      </c>
      <c r="G53">
        <v>3</v>
      </c>
      <c r="I53" t="s">
        <v>119</v>
      </c>
    </row>
    <row r="54" spans="1:9" x14ac:dyDescent="0.25">
      <c r="A54">
        <v>25</v>
      </c>
      <c r="B54" t="s">
        <v>121</v>
      </c>
      <c r="C54" s="25">
        <v>5.7000000000000002E-2</v>
      </c>
      <c r="D54">
        <f>Table2[[#This Row],[KJ/kgK]]*1000</f>
        <v>1300</v>
      </c>
      <c r="E54">
        <v>310</v>
      </c>
      <c r="F54">
        <v>1.3</v>
      </c>
      <c r="G54">
        <v>3</v>
      </c>
      <c r="I54" t="s">
        <v>119</v>
      </c>
    </row>
    <row r="55" spans="1:9" x14ac:dyDescent="0.25">
      <c r="A55">
        <v>26</v>
      </c>
      <c r="B55" t="s">
        <v>122</v>
      </c>
      <c r="C55" s="25">
        <v>6.6000000000000003E-2</v>
      </c>
      <c r="D55">
        <f>Table2[[#This Row],[KJ/kgK]]*1000</f>
        <v>1300</v>
      </c>
      <c r="E55">
        <v>320</v>
      </c>
      <c r="F55">
        <v>1.3</v>
      </c>
      <c r="G55">
        <v>3</v>
      </c>
      <c r="I55" t="s">
        <v>119</v>
      </c>
    </row>
    <row r="56" spans="1:9" x14ac:dyDescent="0.25">
      <c r="A56">
        <v>27</v>
      </c>
      <c r="B56" t="s">
        <v>122</v>
      </c>
      <c r="C56" s="25">
        <v>4.7E-2</v>
      </c>
      <c r="D56">
        <f>Table2[[#This Row],[KJ/kgK]]*1000</f>
        <v>1300</v>
      </c>
      <c r="E56">
        <v>249</v>
      </c>
      <c r="F56">
        <v>1.3</v>
      </c>
      <c r="G56">
        <v>3</v>
      </c>
      <c r="I56" t="s">
        <v>119</v>
      </c>
    </row>
    <row r="57" spans="1:9" x14ac:dyDescent="0.25">
      <c r="A57">
        <v>28</v>
      </c>
      <c r="B57" t="s">
        <v>123</v>
      </c>
      <c r="C57" s="25">
        <v>4.7E-2</v>
      </c>
      <c r="D57">
        <f>Table2[[#This Row],[KJ/kgK]]*1000</f>
        <v>1260</v>
      </c>
      <c r="E57">
        <v>262</v>
      </c>
      <c r="F57">
        <v>1.26</v>
      </c>
      <c r="G57">
        <v>3</v>
      </c>
      <c r="I57" t="s">
        <v>119</v>
      </c>
    </row>
    <row r="58" spans="1:9" x14ac:dyDescent="0.25">
      <c r="A58">
        <v>29</v>
      </c>
      <c r="B58" t="s">
        <v>124</v>
      </c>
      <c r="C58" s="25">
        <v>6.7000000000000004E-2</v>
      </c>
      <c r="D58">
        <f>Table2[[#This Row],[KJ/kgK]]*1000</f>
        <v>1260</v>
      </c>
      <c r="E58">
        <v>432</v>
      </c>
      <c r="F58">
        <v>1.26</v>
      </c>
      <c r="G58">
        <v>3</v>
      </c>
      <c r="I58" t="s">
        <v>119</v>
      </c>
    </row>
    <row r="59" spans="1:9" x14ac:dyDescent="0.25">
      <c r="A59">
        <v>30</v>
      </c>
      <c r="B59" t="s">
        <v>132</v>
      </c>
      <c r="C59" s="25">
        <v>6.6000000000000003E-2</v>
      </c>
      <c r="D59">
        <f>Table2[[#This Row],[KJ/kgK]]*1000</f>
        <v>1260</v>
      </c>
      <c r="E59">
        <v>352</v>
      </c>
      <c r="F59">
        <v>1.26</v>
      </c>
      <c r="G59">
        <v>3</v>
      </c>
      <c r="I59" t="s">
        <v>119</v>
      </c>
    </row>
    <row r="60" spans="1:9" x14ac:dyDescent="0.25">
      <c r="A60">
        <v>31</v>
      </c>
      <c r="B60" t="s">
        <v>125</v>
      </c>
      <c r="C60" s="25">
        <v>9.8000000000000004E-2</v>
      </c>
      <c r="D60">
        <f>Table2[[#This Row],[KJ/kgK]]*1000</f>
        <v>1300</v>
      </c>
      <c r="E60">
        <v>750</v>
      </c>
      <c r="F60">
        <v>1.3</v>
      </c>
      <c r="G60">
        <v>3</v>
      </c>
      <c r="I60" t="s">
        <v>119</v>
      </c>
    </row>
    <row r="61" spans="1:9" x14ac:dyDescent="0.25">
      <c r="A61">
        <v>32</v>
      </c>
      <c r="B61" t="s">
        <v>133</v>
      </c>
      <c r="C61" s="25">
        <v>0.06</v>
      </c>
      <c r="D61">
        <f>Table2[[#This Row],[KJ/kgK]]*1000</f>
        <v>1090</v>
      </c>
      <c r="E61">
        <v>520</v>
      </c>
      <c r="F61">
        <v>1.0900000000000001</v>
      </c>
      <c r="G61">
        <v>3</v>
      </c>
      <c r="I61" t="s">
        <v>119</v>
      </c>
    </row>
    <row r="62" spans="1:9" x14ac:dyDescent="0.25">
      <c r="A62">
        <v>33</v>
      </c>
      <c r="B62" t="s">
        <v>134</v>
      </c>
      <c r="C62" s="25">
        <v>6.7000000000000004E-2</v>
      </c>
      <c r="D62">
        <f>Table2[[#This Row],[KJ/kgK]]*1000</f>
        <v>1090</v>
      </c>
      <c r="E62">
        <v>329</v>
      </c>
      <c r="F62">
        <v>1.0900000000000001</v>
      </c>
      <c r="G62">
        <v>3</v>
      </c>
      <c r="I62" t="s">
        <v>119</v>
      </c>
    </row>
    <row r="63" spans="1:9" x14ac:dyDescent="0.25">
      <c r="A63">
        <v>34</v>
      </c>
      <c r="B63" t="s">
        <v>138</v>
      </c>
      <c r="C63" s="25">
        <v>8.1000000000000003E-2</v>
      </c>
      <c r="D63">
        <f>Table2[[#This Row],[KJ/kgK]]*1000</f>
        <v>1130</v>
      </c>
      <c r="E63">
        <v>398</v>
      </c>
      <c r="F63">
        <v>1.1299999999999999</v>
      </c>
      <c r="G63">
        <v>3</v>
      </c>
      <c r="I63" t="s">
        <v>119</v>
      </c>
    </row>
    <row r="64" spans="1:9" x14ac:dyDescent="0.25">
      <c r="A64">
        <v>35</v>
      </c>
      <c r="B64" t="s">
        <v>138</v>
      </c>
      <c r="C64" s="25">
        <v>0.108</v>
      </c>
      <c r="D64">
        <f>Table2[[#This Row],[KJ/kgK]]*1000</f>
        <v>1130</v>
      </c>
      <c r="E64">
        <v>674</v>
      </c>
      <c r="F64">
        <v>1.1299999999999999</v>
      </c>
      <c r="G64">
        <v>3</v>
      </c>
      <c r="I64" t="s">
        <v>119</v>
      </c>
    </row>
    <row r="65" spans="1:9" x14ac:dyDescent="0.25">
      <c r="A65">
        <v>36</v>
      </c>
      <c r="B65" t="s">
        <v>126</v>
      </c>
      <c r="C65" s="25">
        <v>3.7999999999999999E-2</v>
      </c>
      <c r="D65">
        <f>Table2[[#This Row],[KJ/kgK]]*1000</f>
        <v>1000</v>
      </c>
      <c r="E65">
        <v>97</v>
      </c>
      <c r="F65">
        <v>1</v>
      </c>
      <c r="G65">
        <v>3</v>
      </c>
      <c r="I65" t="s">
        <v>119</v>
      </c>
    </row>
    <row r="66" spans="1:9" x14ac:dyDescent="0.25">
      <c r="A66">
        <v>37</v>
      </c>
      <c r="B66" t="s">
        <v>135</v>
      </c>
      <c r="C66" s="25">
        <v>5.0999999999999997E-2</v>
      </c>
      <c r="D66">
        <f>Table2[[#This Row],[KJ/kgK]]*1000</f>
        <v>1000</v>
      </c>
      <c r="E66">
        <v>188</v>
      </c>
      <c r="F66">
        <v>1</v>
      </c>
      <c r="G66">
        <v>3</v>
      </c>
      <c r="I66" t="s">
        <v>119</v>
      </c>
    </row>
    <row r="67" spans="1:9" x14ac:dyDescent="0.25">
      <c r="A67">
        <v>38</v>
      </c>
      <c r="B67" t="s">
        <v>136</v>
      </c>
      <c r="C67" s="25">
        <v>5.0999999999999997E-2</v>
      </c>
      <c r="D67">
        <f>Table2[[#This Row],[KJ/kgK]]*1000</f>
        <v>1000</v>
      </c>
      <c r="E67">
        <v>120</v>
      </c>
      <c r="F67">
        <v>1</v>
      </c>
      <c r="G67">
        <v>3</v>
      </c>
      <c r="I67" t="s">
        <v>119</v>
      </c>
    </row>
    <row r="68" spans="1:9" x14ac:dyDescent="0.25">
      <c r="A68">
        <v>39</v>
      </c>
      <c r="B68" t="s">
        <v>137</v>
      </c>
      <c r="C68" s="25">
        <v>4.2000000000000003E-2</v>
      </c>
      <c r="D68">
        <f>Table2[[#This Row],[KJ/kgK]]*1000</f>
        <v>880</v>
      </c>
      <c r="E68">
        <v>291</v>
      </c>
      <c r="F68">
        <v>0.88</v>
      </c>
      <c r="G68">
        <v>3</v>
      </c>
      <c r="I68" t="s">
        <v>119</v>
      </c>
    </row>
    <row r="69" spans="1:9" x14ac:dyDescent="0.25">
      <c r="A69">
        <v>40</v>
      </c>
      <c r="B69" t="s">
        <v>139</v>
      </c>
      <c r="C69" s="25">
        <v>4.2999999999999997E-2</v>
      </c>
      <c r="D69">
        <f>Table2[[#This Row],[KJ/kgK]]*1000</f>
        <v>1200</v>
      </c>
      <c r="E69" t="s">
        <v>95</v>
      </c>
      <c r="F69">
        <v>1.2</v>
      </c>
      <c r="G69">
        <v>3</v>
      </c>
      <c r="I69" t="s">
        <v>119</v>
      </c>
    </row>
    <row r="70" spans="1:9" x14ac:dyDescent="0.25">
      <c r="A70">
        <v>1</v>
      </c>
      <c r="B70" t="s">
        <v>142</v>
      </c>
      <c r="D70">
        <f>Table2[[#This Row],[KJ/kgK]]*1000</f>
        <v>0</v>
      </c>
      <c r="G70">
        <v>6</v>
      </c>
      <c r="H70">
        <v>0.12</v>
      </c>
      <c r="I70" t="s">
        <v>140</v>
      </c>
    </row>
    <row r="71" spans="1:9" x14ac:dyDescent="0.25">
      <c r="A71">
        <v>2</v>
      </c>
      <c r="B71" t="s">
        <v>143</v>
      </c>
      <c r="D71">
        <f>Table2[[#This Row],[KJ/kgK]]*1000</f>
        <v>0</v>
      </c>
      <c r="G71">
        <v>6</v>
      </c>
      <c r="H71">
        <v>0.12</v>
      </c>
      <c r="I71" t="s">
        <v>140</v>
      </c>
    </row>
    <row r="72" spans="1:9" x14ac:dyDescent="0.25">
      <c r="A72">
        <v>3</v>
      </c>
      <c r="B72" t="s">
        <v>144</v>
      </c>
      <c r="D72">
        <f>Table2[[#This Row],[KJ/kgK]]*1000</f>
        <v>0</v>
      </c>
      <c r="G72">
        <v>6</v>
      </c>
      <c r="H72">
        <v>0.14000000000000001</v>
      </c>
      <c r="I72" t="s">
        <v>140</v>
      </c>
    </row>
    <row r="73" spans="1:9" x14ac:dyDescent="0.25">
      <c r="A73">
        <v>4</v>
      </c>
      <c r="B73" t="s">
        <v>145</v>
      </c>
      <c r="D73">
        <f>Table2[[#This Row],[KJ/kgK]]*1000</f>
        <v>0</v>
      </c>
      <c r="G73">
        <v>6</v>
      </c>
      <c r="H73">
        <v>0.16</v>
      </c>
      <c r="I73" t="s">
        <v>140</v>
      </c>
    </row>
    <row r="74" spans="1:9" x14ac:dyDescent="0.25">
      <c r="A74">
        <v>5</v>
      </c>
      <c r="B74" t="s">
        <v>146</v>
      </c>
      <c r="D74">
        <f>Table2[[#This Row],[KJ/kgK]]*1000</f>
        <v>0</v>
      </c>
      <c r="G74">
        <v>6</v>
      </c>
      <c r="H74">
        <v>0.18</v>
      </c>
      <c r="I74" t="s">
        <v>140</v>
      </c>
    </row>
    <row r="75" spans="1:9" x14ac:dyDescent="0.25">
      <c r="A75">
        <v>6</v>
      </c>
      <c r="B75" t="s">
        <v>147</v>
      </c>
      <c r="D75">
        <f>Table2[[#This Row],[KJ/kgK]]*1000</f>
        <v>0</v>
      </c>
      <c r="G75">
        <v>6</v>
      </c>
      <c r="H75">
        <v>0.18</v>
      </c>
      <c r="I75" t="s">
        <v>140</v>
      </c>
    </row>
    <row r="76" spans="1:9" x14ac:dyDescent="0.25">
      <c r="A76">
        <v>7</v>
      </c>
      <c r="B76" t="s">
        <v>148</v>
      </c>
      <c r="D76">
        <f>Table2[[#This Row],[KJ/kgK]]*1000</f>
        <v>0</v>
      </c>
      <c r="G76">
        <v>6</v>
      </c>
      <c r="H76">
        <v>0.18</v>
      </c>
      <c r="I76" t="s">
        <v>140</v>
      </c>
    </row>
    <row r="77" spans="1:9" x14ac:dyDescent="0.25">
      <c r="A77">
        <v>8</v>
      </c>
      <c r="B77" t="s">
        <v>149</v>
      </c>
      <c r="D77">
        <f>Table2[[#This Row],[KJ/kgK]]*1000</f>
        <v>0</v>
      </c>
      <c r="G77">
        <v>6</v>
      </c>
      <c r="H77">
        <v>0.18</v>
      </c>
      <c r="I77" t="s">
        <v>140</v>
      </c>
    </row>
    <row r="78" spans="1:9" x14ac:dyDescent="0.25">
      <c r="A78">
        <v>9</v>
      </c>
      <c r="B78" t="s">
        <v>150</v>
      </c>
      <c r="D78">
        <f>Table2[[#This Row],[KJ/kgK]]*1000</f>
        <v>0</v>
      </c>
      <c r="G78">
        <v>6</v>
      </c>
      <c r="H78">
        <v>0.1</v>
      </c>
      <c r="I78" t="s">
        <v>140</v>
      </c>
    </row>
    <row r="79" spans="1:9" x14ac:dyDescent="0.25">
      <c r="A79">
        <v>10</v>
      </c>
      <c r="B79" t="s">
        <v>151</v>
      </c>
      <c r="D79">
        <f>Table2[[#This Row],[KJ/kgK]]*1000</f>
        <v>0</v>
      </c>
      <c r="G79">
        <v>6</v>
      </c>
      <c r="H79">
        <v>0.12</v>
      </c>
      <c r="I79" t="s">
        <v>140</v>
      </c>
    </row>
    <row r="80" spans="1:9" x14ac:dyDescent="0.25">
      <c r="A80">
        <v>11</v>
      </c>
      <c r="B80" t="s">
        <v>152</v>
      </c>
      <c r="D80">
        <f>Table2[[#This Row],[KJ/kgK]]*1000</f>
        <v>0</v>
      </c>
      <c r="G80">
        <v>6</v>
      </c>
      <c r="H80">
        <v>0.14000000000000001</v>
      </c>
      <c r="I80" t="s">
        <v>140</v>
      </c>
    </row>
    <row r="81" spans="1:9" x14ac:dyDescent="0.25">
      <c r="A81">
        <v>12</v>
      </c>
      <c r="B81" t="s">
        <v>153</v>
      </c>
      <c r="D81">
        <f>Table2[[#This Row],[KJ/kgK]]*1000</f>
        <v>0</v>
      </c>
      <c r="G81">
        <v>6</v>
      </c>
      <c r="H81">
        <v>0.16</v>
      </c>
      <c r="I81" t="s">
        <v>140</v>
      </c>
    </row>
    <row r="82" spans="1:9" x14ac:dyDescent="0.25">
      <c r="A82">
        <v>13</v>
      </c>
      <c r="B82" t="s">
        <v>154</v>
      </c>
      <c r="D82">
        <f>Table2[[#This Row],[KJ/kgK]]*1000</f>
        <v>0</v>
      </c>
      <c r="G82">
        <v>6</v>
      </c>
      <c r="H82">
        <v>0.18</v>
      </c>
      <c r="I82" t="s">
        <v>140</v>
      </c>
    </row>
    <row r="83" spans="1:9" x14ac:dyDescent="0.25">
      <c r="A83">
        <v>14</v>
      </c>
      <c r="B83" t="s">
        <v>155</v>
      </c>
      <c r="D83">
        <f>Table2[[#This Row],[KJ/kgK]]*1000</f>
        <v>0</v>
      </c>
      <c r="G83">
        <v>6</v>
      </c>
      <c r="H83">
        <v>0.2</v>
      </c>
      <c r="I83" t="s">
        <v>140</v>
      </c>
    </row>
    <row r="84" spans="1:9" x14ac:dyDescent="0.25">
      <c r="A84">
        <v>15</v>
      </c>
      <c r="B84" t="s">
        <v>156</v>
      </c>
      <c r="D84">
        <f>Table2[[#This Row],[KJ/kgK]]*1000</f>
        <v>0</v>
      </c>
      <c r="G84">
        <v>6</v>
      </c>
      <c r="H84">
        <v>0.2</v>
      </c>
      <c r="I84" t="s">
        <v>140</v>
      </c>
    </row>
    <row r="85" spans="1:9" x14ac:dyDescent="0.25">
      <c r="A85">
        <v>16</v>
      </c>
      <c r="B85" t="s">
        <v>157</v>
      </c>
      <c r="D85">
        <f>Table2[[#This Row],[KJ/kgK]]*1000</f>
        <v>0</v>
      </c>
      <c r="G85">
        <v>6</v>
      </c>
      <c r="H85">
        <v>0.21</v>
      </c>
      <c r="I85" t="s">
        <v>140</v>
      </c>
    </row>
    <row r="86" spans="1:9" x14ac:dyDescent="0.25">
      <c r="A86">
        <v>17</v>
      </c>
      <c r="B86" t="s">
        <v>158</v>
      </c>
      <c r="D86">
        <f>Table2[[#This Row],[KJ/kgK]]*1000</f>
        <v>0</v>
      </c>
      <c r="G86">
        <v>6</v>
      </c>
      <c r="H86">
        <v>0.1</v>
      </c>
      <c r="I86" t="s">
        <v>140</v>
      </c>
    </row>
    <row r="87" spans="1:9" x14ac:dyDescent="0.25">
      <c r="A87">
        <v>18</v>
      </c>
      <c r="B87" t="s">
        <v>159</v>
      </c>
      <c r="D87">
        <f>Table2[[#This Row],[KJ/kgK]]*1000</f>
        <v>0</v>
      </c>
      <c r="G87">
        <v>6</v>
      </c>
      <c r="H87">
        <v>0.12</v>
      </c>
      <c r="I87" t="s">
        <v>140</v>
      </c>
    </row>
    <row r="88" spans="1:9" x14ac:dyDescent="0.25">
      <c r="A88">
        <v>19</v>
      </c>
      <c r="B88" t="s">
        <v>160</v>
      </c>
      <c r="D88">
        <f>Table2[[#This Row],[KJ/kgK]]*1000</f>
        <v>0</v>
      </c>
      <c r="G88">
        <v>6</v>
      </c>
      <c r="H88">
        <v>0.14000000000000001</v>
      </c>
      <c r="I88" t="s">
        <v>140</v>
      </c>
    </row>
    <row r="89" spans="1:9" x14ac:dyDescent="0.25">
      <c r="A89">
        <v>20</v>
      </c>
      <c r="B89" t="s">
        <v>161</v>
      </c>
      <c r="D89">
        <f>Table2[[#This Row],[KJ/kgK]]*1000</f>
        <v>0</v>
      </c>
      <c r="G89">
        <v>6</v>
      </c>
      <c r="H89">
        <v>0.16</v>
      </c>
      <c r="I89" t="s">
        <v>140</v>
      </c>
    </row>
    <row r="90" spans="1:9" x14ac:dyDescent="0.25">
      <c r="A90">
        <v>21</v>
      </c>
      <c r="B90" t="s">
        <v>162</v>
      </c>
      <c r="D90">
        <f>Table2[[#This Row],[KJ/kgK]]*1000</f>
        <v>0</v>
      </c>
      <c r="G90">
        <v>6</v>
      </c>
      <c r="H90">
        <v>0.17</v>
      </c>
      <c r="I90" t="s">
        <v>140</v>
      </c>
    </row>
    <row r="91" spans="1:9" x14ac:dyDescent="0.25">
      <c r="A91">
        <v>22</v>
      </c>
      <c r="B91" t="s">
        <v>163</v>
      </c>
      <c r="D91">
        <f>Table2[[#This Row],[KJ/kgK]]*1000</f>
        <v>0</v>
      </c>
      <c r="G91">
        <v>6</v>
      </c>
      <c r="H91">
        <v>0.17</v>
      </c>
      <c r="I91" t="s">
        <v>140</v>
      </c>
    </row>
    <row r="92" spans="1:9" x14ac:dyDescent="0.25">
      <c r="A92">
        <v>23</v>
      </c>
      <c r="B92" t="s">
        <v>164</v>
      </c>
      <c r="D92">
        <f>Table2[[#This Row],[KJ/kgK]]*1000</f>
        <v>0</v>
      </c>
      <c r="G92">
        <v>6</v>
      </c>
      <c r="H92">
        <v>0.17</v>
      </c>
      <c r="I92" t="s">
        <v>140</v>
      </c>
    </row>
    <row r="93" spans="1:9" x14ac:dyDescent="0.25">
      <c r="A93">
        <v>24</v>
      </c>
      <c r="B93" t="s">
        <v>165</v>
      </c>
      <c r="D93">
        <f>Table2[[#This Row],[KJ/kgK]]*1000</f>
        <v>0</v>
      </c>
      <c r="G93">
        <v>6</v>
      </c>
      <c r="H93">
        <v>0.17</v>
      </c>
      <c r="I93" t="s">
        <v>140</v>
      </c>
    </row>
    <row r="95" spans="1:9" x14ac:dyDescent="0.25">
      <c r="B95" s="1" t="s">
        <v>166</v>
      </c>
    </row>
    <row r="96" spans="1:9" x14ac:dyDescent="0.25">
      <c r="A96">
        <v>1</v>
      </c>
      <c r="B96" t="s">
        <v>168</v>
      </c>
    </row>
    <row r="97" spans="1:2" x14ac:dyDescent="0.25">
      <c r="A97">
        <v>2</v>
      </c>
      <c r="B97" t="s">
        <v>169</v>
      </c>
    </row>
    <row r="98" spans="1:2" x14ac:dyDescent="0.25">
      <c r="A98">
        <v>3</v>
      </c>
      <c r="B98" t="s">
        <v>170</v>
      </c>
    </row>
    <row r="99" spans="1:2" x14ac:dyDescent="0.25">
      <c r="A99">
        <v>4</v>
      </c>
      <c r="B99" t="s">
        <v>171</v>
      </c>
    </row>
    <row r="100" spans="1:2" x14ac:dyDescent="0.25">
      <c r="A100">
        <v>5</v>
      </c>
      <c r="B100" t="s">
        <v>172</v>
      </c>
    </row>
    <row r="101" spans="1:2" x14ac:dyDescent="0.25">
      <c r="A101">
        <v>6</v>
      </c>
      <c r="B101" t="s">
        <v>167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BE73-83BD-48F5-8DDD-E944A6C75B37}">
  <dimension ref="A1:K8"/>
  <sheetViews>
    <sheetView showGridLines="0" workbookViewId="0"/>
  </sheetViews>
  <sheetFormatPr defaultColWidth="9.125" defaultRowHeight="13.8" x14ac:dyDescent="0.25"/>
  <cols>
    <col min="1" max="1" width="32.25" style="24" bestFit="1" customWidth="1"/>
    <col min="2" max="2" width="7.875" style="24" customWidth="1"/>
    <col min="3" max="3" width="15.375" style="24" customWidth="1"/>
    <col min="4" max="4" width="9.125" style="24"/>
    <col min="5" max="5" width="10.125" style="24" customWidth="1"/>
    <col min="6" max="6" width="10.75" style="24" customWidth="1"/>
    <col min="7" max="8" width="9.125" style="24"/>
    <col min="9" max="9" width="31" style="24" customWidth="1"/>
    <col min="10" max="16384" width="9.125" style="24"/>
  </cols>
  <sheetData>
    <row r="1" spans="1:11" s="2" customFormat="1" ht="41.4" x14ac:dyDescent="0.25">
      <c r="A1" s="2" t="s">
        <v>216</v>
      </c>
      <c r="B1" s="2" t="s">
        <v>217</v>
      </c>
      <c r="C1" s="2" t="s">
        <v>186</v>
      </c>
      <c r="D1" s="2" t="s">
        <v>218</v>
      </c>
      <c r="E1" s="2" t="s">
        <v>182</v>
      </c>
      <c r="F1" s="2" t="s">
        <v>219</v>
      </c>
      <c r="G1" s="2" t="s">
        <v>220</v>
      </c>
      <c r="H1" s="2" t="s">
        <v>221</v>
      </c>
      <c r="I1" s="2" t="s">
        <v>222</v>
      </c>
    </row>
    <row r="2" spans="1:11" s="2" customFormat="1" ht="55.2" x14ac:dyDescent="0.25">
      <c r="A2" s="2" t="s">
        <v>223</v>
      </c>
      <c r="B2" s="2" t="s">
        <v>10</v>
      </c>
      <c r="I2" s="2" t="s">
        <v>225</v>
      </c>
    </row>
    <row r="3" spans="1:11" ht="55.2" x14ac:dyDescent="0.25">
      <c r="A3" s="2" t="s">
        <v>223</v>
      </c>
      <c r="B3" s="24" t="s">
        <v>224</v>
      </c>
      <c r="I3" s="2" t="s">
        <v>225</v>
      </c>
      <c r="K3"/>
    </row>
    <row r="4" spans="1:11" ht="55.2" x14ac:dyDescent="0.25">
      <c r="A4" s="2" t="s">
        <v>223</v>
      </c>
      <c r="B4" s="24" t="s">
        <v>226</v>
      </c>
      <c r="I4" s="2" t="s">
        <v>225</v>
      </c>
    </row>
    <row r="5" spans="1:11" x14ac:dyDescent="0.25">
      <c r="I5" s="24" t="s">
        <v>228</v>
      </c>
    </row>
    <row r="6" spans="1:11" x14ac:dyDescent="0.25">
      <c r="A6" s="24" t="s">
        <v>227</v>
      </c>
      <c r="B6" s="24" t="s">
        <v>10</v>
      </c>
    </row>
    <row r="7" spans="1:11" x14ac:dyDescent="0.25">
      <c r="A7" s="24" t="s">
        <v>227</v>
      </c>
      <c r="B7" s="24" t="s">
        <v>224</v>
      </c>
    </row>
    <row r="8" spans="1:11" x14ac:dyDescent="0.25">
      <c r="A8" s="24" t="s">
        <v>227</v>
      </c>
      <c r="B8" s="24" t="s">
        <v>226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C8F6-A7ED-4B71-A08D-AB4B5B136355}">
  <dimension ref="A1:E19"/>
  <sheetViews>
    <sheetView workbookViewId="0">
      <selection activeCell="G20" sqref="G20"/>
    </sheetView>
  </sheetViews>
  <sheetFormatPr defaultRowHeight="13.8" x14ac:dyDescent="0.25"/>
  <cols>
    <col min="2" max="2" width="12.75" bestFit="1" customWidth="1"/>
    <col min="3" max="3" width="13.125" bestFit="1" customWidth="1"/>
    <col min="5" max="5" width="33.625" bestFit="1" customWidth="1"/>
  </cols>
  <sheetData>
    <row r="1" spans="1:5" x14ac:dyDescent="0.25">
      <c r="A1" t="s">
        <v>301</v>
      </c>
      <c r="B1" t="s">
        <v>299</v>
      </c>
      <c r="C1" t="s">
        <v>293</v>
      </c>
      <c r="D1" t="s">
        <v>294</v>
      </c>
      <c r="E1" t="s">
        <v>297</v>
      </c>
    </row>
    <row r="2" spans="1:5" x14ac:dyDescent="0.25">
      <c r="A2" t="s">
        <v>365</v>
      </c>
      <c r="B2" t="s">
        <v>296</v>
      </c>
      <c r="C2">
        <v>1</v>
      </c>
      <c r="D2">
        <v>0.5</v>
      </c>
      <c r="E2" t="s">
        <v>383</v>
      </c>
    </row>
    <row r="3" spans="1:5" x14ac:dyDescent="0.25">
      <c r="A3" t="s">
        <v>366</v>
      </c>
      <c r="B3" t="s">
        <v>296</v>
      </c>
      <c r="C3">
        <v>1</v>
      </c>
      <c r="D3">
        <v>0.6</v>
      </c>
    </row>
    <row r="4" spans="1:5" x14ac:dyDescent="0.25">
      <c r="A4" t="s">
        <v>367</v>
      </c>
      <c r="B4" t="s">
        <v>296</v>
      </c>
      <c r="C4">
        <v>1</v>
      </c>
      <c r="D4">
        <v>0.7</v>
      </c>
    </row>
    <row r="5" spans="1:5" x14ac:dyDescent="0.25">
      <c r="A5" t="s">
        <v>368</v>
      </c>
      <c r="B5" t="s">
        <v>296</v>
      </c>
      <c r="C5">
        <v>1.5</v>
      </c>
      <c r="D5">
        <v>0.5</v>
      </c>
    </row>
    <row r="6" spans="1:5" x14ac:dyDescent="0.25">
      <c r="A6" t="s">
        <v>369</v>
      </c>
      <c r="B6" t="s">
        <v>296</v>
      </c>
      <c r="C6">
        <v>1.5</v>
      </c>
      <c r="D6">
        <v>0.6</v>
      </c>
    </row>
    <row r="7" spans="1:5" x14ac:dyDescent="0.25">
      <c r="A7" t="s">
        <v>370</v>
      </c>
      <c r="B7" t="s">
        <v>296</v>
      </c>
      <c r="C7">
        <v>1.5</v>
      </c>
      <c r="D7">
        <v>0.7</v>
      </c>
    </row>
    <row r="8" spans="1:5" x14ac:dyDescent="0.25">
      <c r="A8" t="s">
        <v>371</v>
      </c>
      <c r="B8" t="s">
        <v>296</v>
      </c>
      <c r="C8">
        <v>2.5</v>
      </c>
      <c r="D8">
        <v>0.5</v>
      </c>
    </row>
    <row r="9" spans="1:5" x14ac:dyDescent="0.25">
      <c r="A9" t="s">
        <v>372</v>
      </c>
      <c r="B9" t="s">
        <v>296</v>
      </c>
      <c r="C9">
        <v>2.5</v>
      </c>
      <c r="D9">
        <v>0.6</v>
      </c>
    </row>
    <row r="10" spans="1:5" x14ac:dyDescent="0.25">
      <c r="A10" t="s">
        <v>373</v>
      </c>
      <c r="B10" t="s">
        <v>296</v>
      </c>
      <c r="C10">
        <v>2.5</v>
      </c>
      <c r="D10">
        <v>0.7</v>
      </c>
    </row>
    <row r="11" spans="1:5" x14ac:dyDescent="0.25">
      <c r="A11" t="s">
        <v>374</v>
      </c>
      <c r="B11" t="s">
        <v>296</v>
      </c>
      <c r="C11">
        <v>3.6</v>
      </c>
      <c r="D11">
        <v>0.5</v>
      </c>
    </row>
    <row r="12" spans="1:5" x14ac:dyDescent="0.25">
      <c r="A12" s="29" t="s">
        <v>375</v>
      </c>
      <c r="B12" t="s">
        <v>296</v>
      </c>
      <c r="C12">
        <v>3.6</v>
      </c>
      <c r="D12">
        <v>0.6</v>
      </c>
    </row>
    <row r="13" spans="1:5" x14ac:dyDescent="0.25">
      <c r="A13" t="s">
        <v>376</v>
      </c>
      <c r="B13" t="s">
        <v>296</v>
      </c>
      <c r="C13">
        <v>3.6</v>
      </c>
      <c r="D13">
        <v>0.7</v>
      </c>
    </row>
    <row r="14" spans="1:5" x14ac:dyDescent="0.25">
      <c r="A14" t="s">
        <v>377</v>
      </c>
      <c r="B14" t="s">
        <v>295</v>
      </c>
      <c r="C14">
        <v>4.8</v>
      </c>
      <c r="D14">
        <v>0.5</v>
      </c>
    </row>
    <row r="15" spans="1:5" x14ac:dyDescent="0.25">
      <c r="A15" t="s">
        <v>378</v>
      </c>
      <c r="B15" t="s">
        <v>295</v>
      </c>
      <c r="C15">
        <v>4.8</v>
      </c>
      <c r="D15">
        <v>0.6</v>
      </c>
    </row>
    <row r="16" spans="1:5" x14ac:dyDescent="0.25">
      <c r="A16" t="s">
        <v>379</v>
      </c>
      <c r="B16" t="s">
        <v>295</v>
      </c>
      <c r="C16">
        <v>4.8</v>
      </c>
      <c r="D16">
        <v>0.7</v>
      </c>
    </row>
    <row r="17" spans="1:4" x14ac:dyDescent="0.25">
      <c r="A17" t="s">
        <v>380</v>
      </c>
      <c r="B17" t="s">
        <v>295</v>
      </c>
      <c r="C17">
        <v>5.7</v>
      </c>
      <c r="D17">
        <v>0.5</v>
      </c>
    </row>
    <row r="18" spans="1:4" x14ac:dyDescent="0.25">
      <c r="A18" t="s">
        <v>381</v>
      </c>
      <c r="B18" t="s">
        <v>295</v>
      </c>
      <c r="C18">
        <v>5.7</v>
      </c>
      <c r="D18">
        <v>0.6</v>
      </c>
    </row>
    <row r="19" spans="1:4" x14ac:dyDescent="0.25">
      <c r="A19" t="s">
        <v>382</v>
      </c>
      <c r="B19" t="s">
        <v>295</v>
      </c>
      <c r="C19">
        <v>5.7</v>
      </c>
      <c r="D19">
        <v>0.7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FEF3-C815-46B4-8ED9-21A7A493B790}">
  <dimension ref="A1:E17"/>
  <sheetViews>
    <sheetView workbookViewId="0">
      <selection activeCell="A2" sqref="A2:D2"/>
    </sheetView>
  </sheetViews>
  <sheetFormatPr defaultRowHeight="13.8" x14ac:dyDescent="0.25"/>
  <cols>
    <col min="2" max="2" width="12.75" bestFit="1" customWidth="1"/>
    <col min="3" max="3" width="13.125" bestFit="1" customWidth="1"/>
    <col min="5" max="5" width="33.625" bestFit="1" customWidth="1"/>
  </cols>
  <sheetData>
    <row r="1" spans="1:5" x14ac:dyDescent="0.25">
      <c r="A1" t="s">
        <v>301</v>
      </c>
      <c r="B1" t="s">
        <v>299</v>
      </c>
      <c r="C1" t="s">
        <v>293</v>
      </c>
      <c r="D1" t="s">
        <v>294</v>
      </c>
      <c r="E1" t="s">
        <v>297</v>
      </c>
    </row>
    <row r="2" spans="1:5" x14ac:dyDescent="0.25">
      <c r="A2" t="s">
        <v>365</v>
      </c>
      <c r="B2" t="s">
        <v>295</v>
      </c>
      <c r="C2">
        <v>3.8</v>
      </c>
      <c r="D2">
        <v>0.3</v>
      </c>
      <c r="E2" t="s">
        <v>298</v>
      </c>
    </row>
    <row r="3" spans="1:5" x14ac:dyDescent="0.25">
      <c r="A3" t="s">
        <v>366</v>
      </c>
      <c r="B3" t="s">
        <v>295</v>
      </c>
      <c r="C3">
        <v>4.8</v>
      </c>
      <c r="D3">
        <v>0.3</v>
      </c>
    </row>
    <row r="4" spans="1:5" x14ac:dyDescent="0.25">
      <c r="A4" t="s">
        <v>367</v>
      </c>
      <c r="B4" t="s">
        <v>295</v>
      </c>
      <c r="C4">
        <v>4.8</v>
      </c>
      <c r="D4">
        <v>0.4</v>
      </c>
    </row>
    <row r="5" spans="1:5" x14ac:dyDescent="0.25">
      <c r="A5" t="s">
        <v>368</v>
      </c>
      <c r="B5" t="s">
        <v>295</v>
      </c>
      <c r="C5">
        <v>4.8</v>
      </c>
      <c r="D5">
        <v>0.5</v>
      </c>
    </row>
    <row r="6" spans="1:5" x14ac:dyDescent="0.25">
      <c r="A6" t="s">
        <v>369</v>
      </c>
      <c r="B6" t="s">
        <v>295</v>
      </c>
      <c r="C6">
        <v>4.8</v>
      </c>
      <c r="D6">
        <v>0.6</v>
      </c>
    </row>
    <row r="7" spans="1:5" x14ac:dyDescent="0.25">
      <c r="A7" t="s">
        <v>370</v>
      </c>
      <c r="B7" t="s">
        <v>295</v>
      </c>
      <c r="C7">
        <v>4.8</v>
      </c>
      <c r="D7">
        <v>0.7</v>
      </c>
    </row>
    <row r="8" spans="1:5" x14ac:dyDescent="0.25">
      <c r="A8" t="s">
        <v>371</v>
      </c>
      <c r="B8" t="s">
        <v>295</v>
      </c>
      <c r="C8">
        <v>5.7</v>
      </c>
      <c r="D8">
        <v>0.3</v>
      </c>
    </row>
    <row r="9" spans="1:5" x14ac:dyDescent="0.25">
      <c r="A9" t="s">
        <v>372</v>
      </c>
      <c r="B9" t="s">
        <v>295</v>
      </c>
      <c r="C9">
        <v>5.7</v>
      </c>
      <c r="D9">
        <v>0.4</v>
      </c>
    </row>
    <row r="10" spans="1:5" x14ac:dyDescent="0.25">
      <c r="A10" t="s">
        <v>373</v>
      </c>
      <c r="B10" t="s">
        <v>295</v>
      </c>
      <c r="C10">
        <v>5.7</v>
      </c>
      <c r="D10">
        <v>0.5</v>
      </c>
    </row>
    <row r="11" spans="1:5" x14ac:dyDescent="0.25">
      <c r="A11" t="s">
        <v>374</v>
      </c>
      <c r="B11" t="s">
        <v>295</v>
      </c>
      <c r="C11">
        <v>5.7</v>
      </c>
      <c r="D11">
        <v>0.6</v>
      </c>
    </row>
    <row r="12" spans="1:5" x14ac:dyDescent="0.25">
      <c r="A12" s="29" t="s">
        <v>375</v>
      </c>
      <c r="B12" s="29" t="s">
        <v>295</v>
      </c>
      <c r="C12" s="29">
        <v>5.7</v>
      </c>
      <c r="D12" s="29">
        <v>0.7</v>
      </c>
    </row>
    <row r="13" spans="1:5" x14ac:dyDescent="0.25">
      <c r="A13" t="s">
        <v>376</v>
      </c>
      <c r="B13" t="s">
        <v>296</v>
      </c>
      <c r="C13">
        <v>2.8</v>
      </c>
      <c r="D13">
        <v>0.2</v>
      </c>
    </row>
    <row r="14" spans="1:5" x14ac:dyDescent="0.25">
      <c r="A14" t="s">
        <v>377</v>
      </c>
      <c r="B14" t="s">
        <v>296</v>
      </c>
      <c r="C14">
        <v>2.8</v>
      </c>
      <c r="D14">
        <v>0.3</v>
      </c>
    </row>
    <row r="15" spans="1:5" x14ac:dyDescent="0.25">
      <c r="A15" t="s">
        <v>378</v>
      </c>
      <c r="B15" t="s">
        <v>296</v>
      </c>
      <c r="C15">
        <v>2.8</v>
      </c>
      <c r="D15">
        <v>0.4</v>
      </c>
    </row>
    <row r="16" spans="1:5" x14ac:dyDescent="0.25">
      <c r="A16" t="s">
        <v>379</v>
      </c>
      <c r="B16" t="s">
        <v>296</v>
      </c>
      <c r="C16">
        <v>2.8</v>
      </c>
      <c r="D16">
        <v>0.5</v>
      </c>
    </row>
    <row r="17" spans="1:4" x14ac:dyDescent="0.25">
      <c r="A17" t="s">
        <v>380</v>
      </c>
      <c r="B17" t="s">
        <v>296</v>
      </c>
      <c r="C17">
        <v>2.8</v>
      </c>
      <c r="D17">
        <v>0.6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8EE3-9E5C-48C9-B4F6-F9E30AEA2EFD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AssemblyCompiler</vt:lpstr>
      <vt:lpstr>Working DB</vt:lpstr>
      <vt:lpstr>Cost</vt:lpstr>
      <vt:lpstr>NatDat</vt:lpstr>
      <vt:lpstr>ENS 2018</vt:lpstr>
      <vt:lpstr>LHP &amp; DHP Technologies</vt:lpstr>
      <vt:lpstr>Glazing (Cold)</vt:lpstr>
      <vt:lpstr>Glazing</vt:lpstr>
      <vt:lpstr>WWR</vt:lpstr>
      <vt:lpstr>Overhang</vt:lpstr>
      <vt:lpstr>'Glazing (Cold)'!MaterialList</vt:lpstr>
      <vt:lpstr>MaterialList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Rajeev Kumar</cp:lastModifiedBy>
  <dcterms:created xsi:type="dcterms:W3CDTF">2022-08-03T08:41:30Z</dcterms:created>
  <dcterms:modified xsi:type="dcterms:W3CDTF">2025-01-23T07:19:35Z</dcterms:modified>
</cp:coreProperties>
</file>