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S\S2501 ECM Generator\database\"/>
    </mc:Choice>
  </mc:AlternateContent>
  <xr:revisionPtr revIDLastSave="0" documentId="13_ncr:1_{E2E447D8-5F17-4BE4-8813-620812812478}" xr6:coauthVersionLast="47" xr6:coauthVersionMax="47" xr10:uidLastSave="{00000000-0000-0000-0000-000000000000}"/>
  <bookViews>
    <workbookView xWindow="-108" yWindow="-108" windowWidth="23256" windowHeight="12456" firstSheet="3" activeTab="4" xr2:uid="{FC86CB77-5C7F-4BB1-97B0-B96BB59000A5}"/>
  </bookViews>
  <sheets>
    <sheet name="MaterialDb-ENS2018" sheetId="1" r:id="rId1"/>
    <sheet name="MaterialDB-Cost" sheetId="11" r:id="rId2"/>
    <sheet name="WorkingDB" sheetId="12" r:id="rId3"/>
    <sheet name="Wall-Options" sheetId="2" r:id="rId4"/>
    <sheet name="Roof-Options" sheetId="3" r:id="rId5"/>
    <sheet name="Glazing-Options" sheetId="4" r:id="rId6"/>
    <sheet name="Location" sheetId="13" r:id="rId7"/>
    <sheet name="WWR" sheetId="5" r:id="rId8"/>
    <sheet name="Orientation" sheetId="6" r:id="rId9"/>
    <sheet name="Climate" sheetId="7" r:id="rId10"/>
    <sheet name="LightingPower-Improvement" sheetId="8" r:id="rId11"/>
    <sheet name="EquipmentPower-Improvement" sheetId="9" r:id="rId12"/>
    <sheet name="HVACEff-Improvement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" i="3" l="1"/>
  <c r="AD13" i="3"/>
  <c r="AD14" i="3"/>
  <c r="AD15" i="3"/>
  <c r="AD16" i="3"/>
  <c r="AD17" i="3"/>
  <c r="AD18" i="3"/>
  <c r="AD19" i="3"/>
  <c r="AD20" i="3"/>
  <c r="AD21" i="3"/>
  <c r="AD22" i="3"/>
  <c r="AD11" i="3"/>
  <c r="AD8" i="3"/>
  <c r="AD9" i="3"/>
  <c r="AD10" i="3"/>
  <c r="AD7" i="3"/>
  <c r="AD4" i="3"/>
  <c r="AD5" i="3"/>
  <c r="AD6" i="3"/>
  <c r="AD3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" i="3"/>
  <c r="X12" i="3"/>
  <c r="X13" i="3"/>
  <c r="X14" i="3"/>
  <c r="X15" i="3"/>
  <c r="X16" i="3"/>
  <c r="X17" i="3"/>
  <c r="X18" i="3"/>
  <c r="X19" i="3"/>
  <c r="X20" i="3"/>
  <c r="X21" i="3"/>
  <c r="X22" i="3"/>
  <c r="X11" i="3"/>
  <c r="X8" i="3"/>
  <c r="X9" i="3"/>
  <c r="X10" i="3"/>
  <c r="X7" i="3"/>
  <c r="X4" i="3"/>
  <c r="X5" i="3"/>
  <c r="X6" i="3"/>
  <c r="X3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" i="3"/>
  <c r="R12" i="3"/>
  <c r="R13" i="3"/>
  <c r="R14" i="3"/>
  <c r="R15" i="3"/>
  <c r="R16" i="3"/>
  <c r="R17" i="3"/>
  <c r="R18" i="3"/>
  <c r="R19" i="3"/>
  <c r="R20" i="3"/>
  <c r="R21" i="3"/>
  <c r="R22" i="3"/>
  <c r="R11" i="3"/>
  <c r="R4" i="3"/>
  <c r="R5" i="3"/>
  <c r="R6" i="3"/>
  <c r="R7" i="3"/>
  <c r="R8" i="3"/>
  <c r="R9" i="3"/>
  <c r="R10" i="3"/>
  <c r="R3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" i="3"/>
  <c r="AB22" i="3"/>
  <c r="V22" i="3"/>
  <c r="P22" i="3"/>
  <c r="L22" i="3"/>
  <c r="J22" i="3"/>
  <c r="K22" i="3"/>
  <c r="L21" i="3"/>
  <c r="L20" i="3"/>
  <c r="L19" i="3"/>
  <c r="L17" i="3"/>
  <c r="L18" i="3"/>
  <c r="L15" i="3"/>
  <c r="L16" i="3"/>
  <c r="L13" i="3"/>
  <c r="L14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2" i="3"/>
  <c r="J3" i="3"/>
  <c r="AB21" i="3"/>
  <c r="V21" i="3"/>
  <c r="P21" i="3"/>
  <c r="J21" i="3"/>
  <c r="AB20" i="3"/>
  <c r="V20" i="3"/>
  <c r="P20" i="3"/>
  <c r="J20" i="3"/>
  <c r="AB19" i="3"/>
  <c r="V19" i="3"/>
  <c r="P19" i="3"/>
  <c r="J19" i="3"/>
  <c r="AB18" i="3"/>
  <c r="V18" i="3"/>
  <c r="P18" i="3"/>
  <c r="J18" i="3"/>
  <c r="AB17" i="3"/>
  <c r="V17" i="3"/>
  <c r="P17" i="3"/>
  <c r="J17" i="3"/>
  <c r="AB16" i="3"/>
  <c r="V16" i="3"/>
  <c r="P16" i="3"/>
  <c r="J16" i="3"/>
  <c r="AB15" i="3"/>
  <c r="V15" i="3"/>
  <c r="P15" i="3"/>
  <c r="J15" i="3"/>
  <c r="AB14" i="3"/>
  <c r="V14" i="3"/>
  <c r="P14" i="3"/>
  <c r="J14" i="3"/>
  <c r="AB13" i="3"/>
  <c r="V13" i="3"/>
  <c r="P13" i="3"/>
  <c r="J13" i="3"/>
  <c r="AB12" i="3"/>
  <c r="V12" i="3"/>
  <c r="P12" i="3"/>
  <c r="J12" i="3"/>
  <c r="AB11" i="3"/>
  <c r="V11" i="3"/>
  <c r="P11" i="3"/>
  <c r="J11" i="3"/>
  <c r="AB10" i="3"/>
  <c r="V10" i="3"/>
  <c r="P10" i="3"/>
  <c r="J10" i="3"/>
  <c r="AB9" i="3"/>
  <c r="V9" i="3"/>
  <c r="P9" i="3"/>
  <c r="J9" i="3"/>
  <c r="AB8" i="3"/>
  <c r="V8" i="3"/>
  <c r="P8" i="3"/>
  <c r="J8" i="3"/>
  <c r="AB7" i="3"/>
  <c r="V7" i="3"/>
  <c r="P7" i="3"/>
  <c r="J7" i="3"/>
  <c r="AB6" i="3"/>
  <c r="V6" i="3"/>
  <c r="P6" i="3"/>
  <c r="J6" i="3"/>
  <c r="AB5" i="3"/>
  <c r="V5" i="3"/>
  <c r="P5" i="3"/>
  <c r="J5" i="3"/>
  <c r="AB4" i="3"/>
  <c r="V4" i="3"/>
  <c r="P4" i="3"/>
  <c r="J4" i="3"/>
  <c r="AB3" i="3"/>
  <c r="V3" i="3"/>
  <c r="P3" i="3"/>
  <c r="AB2" i="3"/>
  <c r="V2" i="3"/>
  <c r="P2" i="3"/>
  <c r="AD21" i="2" l="1"/>
  <c r="AC21" i="2"/>
  <c r="AB21" i="2"/>
  <c r="X21" i="2"/>
  <c r="W21" i="2"/>
  <c r="V21" i="2"/>
  <c r="R21" i="2"/>
  <c r="Q21" i="2"/>
  <c r="P21" i="2"/>
  <c r="L21" i="2"/>
  <c r="K21" i="2"/>
  <c r="J21" i="2"/>
  <c r="AD20" i="2"/>
  <c r="AC20" i="2"/>
  <c r="AB20" i="2"/>
  <c r="X20" i="2"/>
  <c r="W20" i="2"/>
  <c r="V20" i="2"/>
  <c r="R20" i="2"/>
  <c r="Q20" i="2"/>
  <c r="P20" i="2"/>
  <c r="L20" i="2"/>
  <c r="K20" i="2"/>
  <c r="J20" i="2"/>
  <c r="AD19" i="2"/>
  <c r="AC19" i="2"/>
  <c r="AB19" i="2"/>
  <c r="X19" i="2"/>
  <c r="W19" i="2"/>
  <c r="V19" i="2"/>
  <c r="R19" i="2"/>
  <c r="Q19" i="2"/>
  <c r="P19" i="2"/>
  <c r="L19" i="2"/>
  <c r="K19" i="2"/>
  <c r="J19" i="2"/>
  <c r="AD18" i="2"/>
  <c r="AC18" i="2"/>
  <c r="AB18" i="2"/>
  <c r="X18" i="2"/>
  <c r="W18" i="2"/>
  <c r="V18" i="2"/>
  <c r="R18" i="2"/>
  <c r="Q18" i="2"/>
  <c r="P18" i="2"/>
  <c r="L18" i="2"/>
  <c r="K18" i="2"/>
  <c r="J18" i="2"/>
  <c r="AD17" i="2"/>
  <c r="AC17" i="2"/>
  <c r="AB17" i="2"/>
  <c r="X17" i="2"/>
  <c r="W17" i="2"/>
  <c r="V17" i="2"/>
  <c r="R17" i="2"/>
  <c r="Q17" i="2"/>
  <c r="P17" i="2"/>
  <c r="L17" i="2"/>
  <c r="K17" i="2"/>
  <c r="J17" i="2"/>
  <c r="AD16" i="2"/>
  <c r="AC16" i="2"/>
  <c r="AB16" i="2"/>
  <c r="X16" i="2"/>
  <c r="W16" i="2"/>
  <c r="V16" i="2"/>
  <c r="R16" i="2"/>
  <c r="Q16" i="2"/>
  <c r="P16" i="2"/>
  <c r="L16" i="2"/>
  <c r="K16" i="2"/>
  <c r="J16" i="2"/>
  <c r="AD15" i="2"/>
  <c r="AC15" i="2"/>
  <c r="AB15" i="2"/>
  <c r="X15" i="2"/>
  <c r="W15" i="2"/>
  <c r="V15" i="2"/>
  <c r="R15" i="2"/>
  <c r="Q15" i="2"/>
  <c r="P15" i="2"/>
  <c r="L15" i="2"/>
  <c r="K15" i="2"/>
  <c r="J15" i="2"/>
  <c r="AD14" i="2"/>
  <c r="AC14" i="2"/>
  <c r="AB14" i="2"/>
  <c r="X14" i="2"/>
  <c r="W14" i="2"/>
  <c r="V14" i="2"/>
  <c r="R14" i="2"/>
  <c r="Q14" i="2"/>
  <c r="P14" i="2"/>
  <c r="L14" i="2"/>
  <c r="K14" i="2"/>
  <c r="J14" i="2"/>
  <c r="AD13" i="2"/>
  <c r="AC13" i="2"/>
  <c r="AB13" i="2"/>
  <c r="X13" i="2"/>
  <c r="W13" i="2"/>
  <c r="V13" i="2"/>
  <c r="R13" i="2"/>
  <c r="Q13" i="2"/>
  <c r="P13" i="2"/>
  <c r="L13" i="2"/>
  <c r="K13" i="2"/>
  <c r="J13" i="2"/>
  <c r="AD12" i="2"/>
  <c r="AC12" i="2"/>
  <c r="AB12" i="2"/>
  <c r="X12" i="2"/>
  <c r="W12" i="2"/>
  <c r="V12" i="2"/>
  <c r="R12" i="2"/>
  <c r="Q12" i="2"/>
  <c r="P12" i="2"/>
  <c r="L12" i="2"/>
  <c r="K12" i="2"/>
  <c r="J12" i="2"/>
  <c r="AD11" i="2"/>
  <c r="AC11" i="2"/>
  <c r="AB11" i="2"/>
  <c r="X11" i="2"/>
  <c r="W11" i="2"/>
  <c r="V11" i="2"/>
  <c r="R11" i="2"/>
  <c r="Q11" i="2"/>
  <c r="P11" i="2"/>
  <c r="L11" i="2"/>
  <c r="K11" i="2"/>
  <c r="J11" i="2"/>
  <c r="AD10" i="2"/>
  <c r="AC10" i="2"/>
  <c r="AB10" i="2"/>
  <c r="X10" i="2"/>
  <c r="W10" i="2"/>
  <c r="V10" i="2"/>
  <c r="R10" i="2"/>
  <c r="Q10" i="2"/>
  <c r="P10" i="2"/>
  <c r="L10" i="2"/>
  <c r="K10" i="2"/>
  <c r="J10" i="2"/>
  <c r="AD9" i="2"/>
  <c r="AC9" i="2"/>
  <c r="AB9" i="2"/>
  <c r="X9" i="2"/>
  <c r="W9" i="2"/>
  <c r="V9" i="2"/>
  <c r="R9" i="2"/>
  <c r="Q9" i="2"/>
  <c r="P9" i="2"/>
  <c r="L9" i="2"/>
  <c r="K9" i="2"/>
  <c r="J9" i="2"/>
  <c r="AD8" i="2"/>
  <c r="AC8" i="2"/>
  <c r="AB8" i="2"/>
  <c r="X8" i="2"/>
  <c r="W8" i="2"/>
  <c r="V8" i="2"/>
  <c r="R8" i="2"/>
  <c r="Q8" i="2"/>
  <c r="P8" i="2"/>
  <c r="L8" i="2"/>
  <c r="K8" i="2"/>
  <c r="J8" i="2"/>
  <c r="AD7" i="2"/>
  <c r="AC7" i="2"/>
  <c r="AB7" i="2"/>
  <c r="X7" i="2"/>
  <c r="W7" i="2"/>
  <c r="V7" i="2"/>
  <c r="R7" i="2"/>
  <c r="Q7" i="2"/>
  <c r="P7" i="2"/>
  <c r="L7" i="2"/>
  <c r="K7" i="2"/>
  <c r="J7" i="2"/>
  <c r="AD6" i="2"/>
  <c r="AC6" i="2"/>
  <c r="AB6" i="2"/>
  <c r="X6" i="2"/>
  <c r="W6" i="2"/>
  <c r="V6" i="2"/>
  <c r="R6" i="2"/>
  <c r="Q6" i="2"/>
  <c r="P6" i="2"/>
  <c r="L6" i="2"/>
  <c r="K6" i="2"/>
  <c r="J6" i="2"/>
  <c r="AD5" i="2"/>
  <c r="AC5" i="2"/>
  <c r="AB5" i="2"/>
  <c r="X5" i="2"/>
  <c r="W5" i="2"/>
  <c r="V5" i="2"/>
  <c r="R5" i="2"/>
  <c r="Q5" i="2"/>
  <c r="P5" i="2"/>
  <c r="L5" i="2"/>
  <c r="K5" i="2"/>
  <c r="J5" i="2"/>
  <c r="AD4" i="2"/>
  <c r="AC4" i="2"/>
  <c r="AB4" i="2"/>
  <c r="X4" i="2"/>
  <c r="W4" i="2"/>
  <c r="V4" i="2"/>
  <c r="R4" i="2"/>
  <c r="Q4" i="2"/>
  <c r="P4" i="2"/>
  <c r="L4" i="2"/>
  <c r="K4" i="2"/>
  <c r="J4" i="2"/>
  <c r="AD3" i="2"/>
  <c r="AC3" i="2"/>
  <c r="AB3" i="2"/>
  <c r="X3" i="2"/>
  <c r="W3" i="2"/>
  <c r="V3" i="2"/>
  <c r="R3" i="2"/>
  <c r="Q3" i="2"/>
  <c r="P3" i="2"/>
  <c r="L3" i="2"/>
  <c r="K3" i="2"/>
  <c r="J3" i="2"/>
  <c r="AD2" i="2"/>
  <c r="AC2" i="2"/>
  <c r="AB2" i="2"/>
  <c r="X2" i="2"/>
  <c r="W2" i="2"/>
  <c r="V2" i="2"/>
  <c r="R2" i="2"/>
  <c r="Q2" i="2"/>
  <c r="P2" i="2"/>
  <c r="L2" i="2"/>
  <c r="K2" i="2"/>
  <c r="J2" i="2"/>
  <c r="H35" i="4" l="1"/>
  <c r="I35" i="4" s="1"/>
  <c r="G35" i="4"/>
  <c r="F35" i="4"/>
  <c r="H34" i="4"/>
  <c r="I34" i="4" s="1"/>
  <c r="G34" i="4"/>
  <c r="F34" i="4"/>
  <c r="H33" i="4"/>
  <c r="I33" i="4" s="1"/>
  <c r="G33" i="4"/>
  <c r="F33" i="4"/>
  <c r="H32" i="4"/>
  <c r="I32" i="4" s="1"/>
  <c r="G32" i="4"/>
  <c r="F32" i="4"/>
  <c r="H31" i="4"/>
  <c r="I31" i="4" s="1"/>
  <c r="G31" i="4"/>
  <c r="F31" i="4"/>
  <c r="H30" i="4"/>
  <c r="I30" i="4" s="1"/>
  <c r="G30" i="4"/>
  <c r="F30" i="4"/>
  <c r="H29" i="4"/>
  <c r="I29" i="4" s="1"/>
  <c r="G29" i="4"/>
  <c r="F29" i="4"/>
  <c r="H28" i="4"/>
  <c r="I28" i="4" s="1"/>
  <c r="G28" i="4"/>
  <c r="F28" i="4"/>
  <c r="H27" i="4"/>
  <c r="I27" i="4" s="1"/>
  <c r="G27" i="4"/>
  <c r="F27" i="4"/>
  <c r="H26" i="4"/>
  <c r="I26" i="4" s="1"/>
  <c r="G26" i="4"/>
  <c r="F26" i="4"/>
  <c r="H25" i="4"/>
  <c r="I25" i="4" s="1"/>
  <c r="G25" i="4"/>
  <c r="F25" i="4"/>
  <c r="H24" i="4"/>
  <c r="I24" i="4" s="1"/>
  <c r="G24" i="4"/>
  <c r="F24" i="4"/>
  <c r="H23" i="4"/>
  <c r="I23" i="4" s="1"/>
  <c r="G23" i="4"/>
  <c r="F23" i="4"/>
  <c r="H22" i="4"/>
  <c r="I22" i="4" s="1"/>
  <c r="G22" i="4"/>
  <c r="F22" i="4"/>
  <c r="H21" i="4"/>
  <c r="I21" i="4" s="1"/>
  <c r="G21" i="4"/>
  <c r="F21" i="4"/>
  <c r="H20" i="4"/>
  <c r="I20" i="4" s="1"/>
  <c r="G20" i="4"/>
  <c r="F20" i="4"/>
  <c r="H19" i="4"/>
  <c r="I19" i="4" s="1"/>
  <c r="G19" i="4"/>
  <c r="F19" i="4"/>
  <c r="H18" i="4"/>
  <c r="I18" i="4" s="1"/>
  <c r="G18" i="4"/>
  <c r="F18" i="4"/>
  <c r="H17" i="4"/>
  <c r="I17" i="4" s="1"/>
  <c r="G17" i="4"/>
  <c r="F17" i="4"/>
  <c r="H16" i="4"/>
  <c r="I16" i="4" s="1"/>
  <c r="G16" i="4"/>
  <c r="F16" i="4"/>
  <c r="H15" i="4"/>
  <c r="I15" i="4" s="1"/>
  <c r="G15" i="4"/>
  <c r="F15" i="4"/>
  <c r="H14" i="4"/>
  <c r="I14" i="4" s="1"/>
  <c r="G14" i="4"/>
  <c r="F14" i="4"/>
  <c r="H13" i="4"/>
  <c r="I13" i="4" s="1"/>
  <c r="G13" i="4"/>
  <c r="F13" i="4"/>
  <c r="H12" i="4"/>
  <c r="I12" i="4" s="1"/>
  <c r="G12" i="4"/>
  <c r="F12" i="4"/>
  <c r="H11" i="4"/>
  <c r="I11" i="4" s="1"/>
  <c r="G11" i="4"/>
  <c r="F11" i="4"/>
  <c r="H10" i="4"/>
  <c r="I10" i="4" s="1"/>
  <c r="G10" i="4"/>
  <c r="F10" i="4"/>
  <c r="H9" i="4"/>
  <c r="I9" i="4" s="1"/>
  <c r="G9" i="4"/>
  <c r="F9" i="4"/>
  <c r="H8" i="4"/>
  <c r="I8" i="4" s="1"/>
  <c r="G8" i="4"/>
  <c r="F8" i="4"/>
  <c r="H7" i="4"/>
  <c r="I7" i="4" s="1"/>
  <c r="G7" i="4"/>
  <c r="F7" i="4"/>
  <c r="H6" i="4"/>
  <c r="I6" i="4" s="1"/>
  <c r="G6" i="4"/>
  <c r="F6" i="4"/>
  <c r="H5" i="4"/>
  <c r="I5" i="4" s="1"/>
  <c r="G5" i="4"/>
  <c r="F5" i="4"/>
  <c r="H4" i="4"/>
  <c r="I4" i="4" s="1"/>
  <c r="G4" i="4"/>
  <c r="F4" i="4"/>
  <c r="H3" i="4"/>
  <c r="I3" i="4" s="1"/>
  <c r="G3" i="4"/>
  <c r="F3" i="4"/>
  <c r="H2" i="4"/>
  <c r="I2" i="4" s="1"/>
  <c r="G2" i="4"/>
  <c r="F2" i="4"/>
  <c r="A3" i="9"/>
  <c r="A4" i="9" s="1"/>
  <c r="A5" i="9" s="1"/>
  <c r="A3" i="8"/>
  <c r="A4" i="8" l="1"/>
  <c r="A5" i="8" s="1"/>
  <c r="A6" i="8" s="1"/>
  <c r="A7" i="8" s="1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3" i="12"/>
  <c r="G4" i="12"/>
  <c r="G5" i="12"/>
  <c r="G2" i="12"/>
  <c r="H70" i="12"/>
  <c r="H69" i="12"/>
  <c r="H68" i="12"/>
  <c r="H67" i="12"/>
  <c r="H66" i="12"/>
  <c r="D66" i="12"/>
  <c r="H65" i="12"/>
  <c r="B64" i="12"/>
  <c r="H64" i="12" s="1"/>
  <c r="B63" i="12"/>
  <c r="H63" i="12" s="1"/>
  <c r="H62" i="12"/>
  <c r="B62" i="12"/>
  <c r="B61" i="12"/>
  <c r="H61" i="12" s="1"/>
  <c r="H60" i="12"/>
  <c r="H59" i="12"/>
  <c r="D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C10" i="12"/>
  <c r="H10" i="12" s="1"/>
  <c r="H9" i="12"/>
  <c r="H8" i="12"/>
  <c r="H7" i="12"/>
  <c r="H6" i="12"/>
  <c r="H5" i="12"/>
  <c r="H4" i="12"/>
  <c r="H3" i="12"/>
  <c r="H2" i="12"/>
  <c r="D20" i="11"/>
  <c r="D19" i="11"/>
  <c r="D18" i="11"/>
  <c r="D17" i="11"/>
  <c r="B16" i="11"/>
  <c r="D16" i="11" s="1"/>
  <c r="B15" i="11"/>
  <c r="D15" i="11" s="1"/>
  <c r="D14" i="11"/>
  <c r="D13" i="11"/>
  <c r="D12" i="11"/>
  <c r="D11" i="11"/>
  <c r="B11" i="11"/>
  <c r="E10" i="11"/>
  <c r="B10" i="11"/>
  <c r="D10" i="11" s="1"/>
  <c r="B9" i="11"/>
  <c r="D9" i="11" s="1"/>
  <c r="E8" i="11"/>
  <c r="B8" i="11"/>
  <c r="D8" i="11" s="1"/>
  <c r="B7" i="11"/>
  <c r="D7" i="11" s="1"/>
  <c r="D6" i="11"/>
  <c r="B6" i="11"/>
  <c r="D5" i="11"/>
  <c r="B4" i="11"/>
  <c r="D4" i="11" s="1"/>
  <c r="B3" i="11"/>
  <c r="D3" i="11" s="1"/>
  <c r="D2" i="1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6" l="1"/>
  <c r="A5" i="6" s="1"/>
  <c r="A6" i="6" s="1"/>
  <c r="A7" i="6" s="1"/>
  <c r="A8" i="6" s="1"/>
  <c r="A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</author>
  </authors>
  <commentList>
    <comment ref="E9" authorId="0" shapeId="0" xr:uid="{FF5EBF36-FECA-4A14-A561-1473CC6EB4EC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1" authorId="0" shapeId="0" xr:uid="{33D31102-35C4-41B0-8B52-07B016F30E84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  <comment ref="E16" authorId="0" shapeId="0" xr:uid="{139721FD-98FC-4D2D-AECA-A82460870A56}">
      <text>
        <r>
          <rPr>
            <b/>
            <sz val="9"/>
            <color indexed="81"/>
            <rFont val="Tahoma"/>
            <family val="2"/>
          </rPr>
          <t>Piyush:</t>
        </r>
        <r>
          <rPr>
            <sz val="9"/>
            <color indexed="81"/>
            <rFont val="Tahoma"/>
            <family val="2"/>
          </rPr>
          <t xml:space="preserve">
Screed, polythene sheet, carriage, labour cost,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Piyush Varma</author>
  </authors>
  <commentList>
    <comment ref="C64" authorId="0" shapeId="0" xr:uid="{BA726C3C-3709-4625-80A8-6F3B1EE04243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D64" authorId="0" shapeId="0" xr:uid="{AB636707-E246-4F87-A8C9-E9AE743A1708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@ 40 deg C
https://www.engineersedge.com/physics/viscosity_of_air_dynamic_and_kinematic_14483.htm</t>
        </r>
      </text>
    </comment>
    <comment ref="A65" authorId="0" shapeId="0" xr:uid="{5676ADD8-A642-4901-ABA8-461E1859B465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Prefab Dry Wall Panel System
10mm Cement Fibre Board
100mm PIR Insulation (
In situ)
10mm Cement Fibre Board
Covestro
Sintex
Affordable L.I.G Housing
project for Rajasthan
Housing Board (G+3) at
Jaipur</t>
        </r>
      </text>
    </comment>
    <comment ref="D65" authorId="0" shapeId="0" xr:uid="{2A3FE57E-449E-4B58-B440-1661B012CF9F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40+-2</t>
        </r>
      </text>
    </comment>
    <comment ref="A66" authorId="0" shapeId="0" xr:uid="{36A724A8-4D3A-45C5-988F-541A43F59CE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57_PAC_FEASP
PACS - Bhargav Infra Pvt Ltd
Available in 
60mm: 44kg/m2
75mm: 54kg/m2
90mm: 75kg/m2
120mm: 100kg/m2</t>
        </r>
      </text>
    </comment>
    <comment ref="D67" authorId="0" shapeId="0" xr:uid="{8AA7B5F5-83F3-44EF-B567-C6198038BB26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https://www.semanticscholar.org/paper/The-thermal-performance-of-earth-buildings-Heathcote/f06800fbbfa660f222c1a44ae84ed4354ea344cb</t>
        </r>
      </text>
    </comment>
    <comment ref="B69" authorId="0" shapeId="0" xr:uid="{C8BF4BDF-8893-4A66-91C4-DD4A3971562E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https://thermalscience.vinca.rs/pdfs/papers-2018/TSCI170524230L.pdf</t>
        </r>
      </text>
    </comment>
    <comment ref="D69" authorId="0" shapeId="0" xr:uid="{39EF7E73-B335-4BF7-86B5-ECF6C0AA5060}">
      <text>
        <r>
          <rPr>
            <b/>
            <sz val="9"/>
            <color indexed="81"/>
            <rFont val="Tahoma"/>
            <family val="2"/>
          </rPr>
          <t>Piyush Varma:</t>
        </r>
        <r>
          <rPr>
            <sz val="9"/>
            <color indexed="81"/>
            <rFont val="Tahoma"/>
            <family val="2"/>
          </rPr>
          <t xml:space="preserve">
Approxmation</t>
        </r>
      </text>
    </comment>
  </commentList>
</comments>
</file>

<file path=xl/sharedStrings.xml><?xml version="1.0" encoding="utf-8"?>
<sst xmlns="http://schemas.openxmlformats.org/spreadsheetml/2006/main" count="2351" uniqueCount="1109">
  <si>
    <t>City</t>
  </si>
  <si>
    <t>Climate</t>
  </si>
  <si>
    <t>Climate file</t>
  </si>
  <si>
    <t>Rotate</t>
  </si>
  <si>
    <t>Cold</t>
  </si>
  <si>
    <t>Composite</t>
  </si>
  <si>
    <t>Lucknow</t>
  </si>
  <si>
    <t>Hyderabad</t>
  </si>
  <si>
    <t>Srinagar</t>
  </si>
  <si>
    <t>Hot-dry</t>
  </si>
  <si>
    <t>Jaisalmer</t>
  </si>
  <si>
    <t>North-South</t>
  </si>
  <si>
    <t>North</t>
  </si>
  <si>
    <t>South</t>
  </si>
  <si>
    <t>Solapur</t>
  </si>
  <si>
    <t>Temperate</t>
  </si>
  <si>
    <t>Bengaluru</t>
  </si>
  <si>
    <t>Kolkata</t>
  </si>
  <si>
    <t>Chennai</t>
  </si>
  <si>
    <t>Warm-humid</t>
  </si>
  <si>
    <t>&lt;Add location of weather file on your machine&gt;</t>
  </si>
  <si>
    <t>Improve by</t>
  </si>
  <si>
    <t>WWR</t>
  </si>
  <si>
    <t>U-value (COG)</t>
  </si>
  <si>
    <t>Double Glazed</t>
  </si>
  <si>
    <t>Single Glazed</t>
  </si>
  <si>
    <t>Others</t>
  </si>
  <si>
    <t>S.No</t>
  </si>
  <si>
    <t>Material</t>
  </si>
  <si>
    <t>k (W/mK)</t>
  </si>
  <si>
    <t>J/KgK</t>
  </si>
  <si>
    <t>Density (kg/m3)</t>
  </si>
  <si>
    <t>KJ/kgK</t>
  </si>
  <si>
    <t>Source</t>
  </si>
  <si>
    <t>U-Value</t>
  </si>
  <si>
    <t>Material Category</t>
  </si>
  <si>
    <t>Solid burnt clay brick</t>
  </si>
  <si>
    <t>Building materials</t>
  </si>
  <si>
    <t>NA</t>
  </si>
  <si>
    <t>Resource efficient (hollow) brick</t>
  </si>
  <si>
    <t>Fly ash brick</t>
  </si>
  <si>
    <t>Solid concrete block 25/50</t>
  </si>
  <si>
    <t>Solid concrete block 30/60</t>
  </si>
  <si>
    <t>Aerated autoclaved concrete (AAC) block</t>
  </si>
  <si>
    <t>Cement stabilized soil block (CSEB) - Low density</t>
  </si>
  <si>
    <t>Cement stabilized soil block (CSEB) - Med density</t>
  </si>
  <si>
    <t>Cement stabilized soil block (CSEB) - High density</t>
  </si>
  <si>
    <t>Dense Concrete</t>
  </si>
  <si>
    <t>Reinforced cement concrete (RCC)</t>
  </si>
  <si>
    <t>Brick tile</t>
  </si>
  <si>
    <t>Lime concrete</t>
  </si>
  <si>
    <t>Mud phuska</t>
  </si>
  <si>
    <t>Cement mortar</t>
  </si>
  <si>
    <t>Cement plaster</t>
  </si>
  <si>
    <t>Gypsum plaster</t>
  </si>
  <si>
    <t>Cellular concrete</t>
  </si>
  <si>
    <t>AC sheet</t>
  </si>
  <si>
    <t>Gl sheet</t>
  </si>
  <si>
    <t>Timber</t>
  </si>
  <si>
    <t>Plywood</t>
  </si>
  <si>
    <t>Glass</t>
  </si>
  <si>
    <t xml:space="preserve">Tar felt </t>
  </si>
  <si>
    <t>(2.3 kg/m2)</t>
  </si>
  <si>
    <t>Expanded polystyrene - low density</t>
  </si>
  <si>
    <t>Insulating materials</t>
  </si>
  <si>
    <t>Expanded polystyrene - med density</t>
  </si>
  <si>
    <t>Expanded polystyrene - high density</t>
  </si>
  <si>
    <t>Foam glass - low density</t>
  </si>
  <si>
    <t>Foam glass - high density</t>
  </si>
  <si>
    <t>Foam concrete - low density</t>
  </si>
  <si>
    <t>Foam concrete - med density</t>
  </si>
  <si>
    <t>Foam concrete - high density</t>
  </si>
  <si>
    <t>Cork slab - low density</t>
  </si>
  <si>
    <t>Cork slab - med density</t>
  </si>
  <si>
    <t>Cork slab - high density</t>
  </si>
  <si>
    <t>Rock wool (unbonded) - low density</t>
  </si>
  <si>
    <t>Rock wool (unbonded) - high density</t>
  </si>
  <si>
    <t>Mineral wool (unbonded)</t>
  </si>
  <si>
    <t>Glass wool (unbonded)</t>
  </si>
  <si>
    <t>Resin bonded mineral wool</t>
  </si>
  <si>
    <t>Exfoliated vermiculite (loose)</t>
  </si>
  <si>
    <t>Asbestos mill board</t>
  </si>
  <si>
    <t>Hard board</t>
  </si>
  <si>
    <t>Straw board</t>
  </si>
  <si>
    <t>Soft board</t>
  </si>
  <si>
    <t>Wall board</t>
  </si>
  <si>
    <t>Chip board</t>
  </si>
  <si>
    <t>Chip board (perforated)</t>
  </si>
  <si>
    <t>Particle board</t>
  </si>
  <si>
    <t>Coconut pith insulation board</t>
  </si>
  <si>
    <t>Jute fibre</t>
  </si>
  <si>
    <t>Wood wool board (bonded with cement)</t>
  </si>
  <si>
    <t>Coir board</t>
  </si>
  <si>
    <t>Saw dust</t>
  </si>
  <si>
    <t>Rice husk</t>
  </si>
  <si>
    <t>Jute felt</t>
  </si>
  <si>
    <t>Closed cell flexible elastomeric foam - NBR</t>
  </si>
  <si>
    <t>40–55</t>
  </si>
  <si>
    <t>Unventilated Air Gap - Wall - All Climate - 5mm</t>
  </si>
  <si>
    <t>Unventilated Air Gap</t>
  </si>
  <si>
    <t>Unventilated Air Gap - Wall - All Climate - 7mm</t>
  </si>
  <si>
    <t>Unventilated Air Gap - Wall - All Climate - 10mm</t>
  </si>
  <si>
    <t>Unventilated Air Gap - Wall - All Climate - 15mm</t>
  </si>
  <si>
    <t>Unventilated Air Gap - Wall - All Climate - 25mm</t>
  </si>
  <si>
    <t>Unventilated Air Gap - Wall - All Climate - 50mm</t>
  </si>
  <si>
    <t>Unventilated Air Gap - Wall - All Climate - 100mm</t>
  </si>
  <si>
    <t>Unventilated Air Gap - Wall - All Climate - 300mm</t>
  </si>
  <si>
    <t>Unventilated Air Gap - Roof - All except Cold Climate - 5mm</t>
  </si>
  <si>
    <t>Unventilated Air Gap - Roof - All except Cold Climate - 7mm</t>
  </si>
  <si>
    <t>Unventilated Air Gap - Roof - All except Cold Climate - 10mm</t>
  </si>
  <si>
    <t>Unventilated Air Gap - Roof - All except Cold Climate - 15mm</t>
  </si>
  <si>
    <t>Unventilated Air Gap - Roof - All except Cold Climate - 25mm</t>
  </si>
  <si>
    <t>Unventilated Air Gap - Roof - All except Cold Climate - 50mm</t>
  </si>
  <si>
    <t>Unventilated Air Gap - Roof - All except Cold Climate - 100mm</t>
  </si>
  <si>
    <t>Unventilated Air Gap - Roof - All except Cold Climate - 300mm</t>
  </si>
  <si>
    <t>Unventilated Air Gap - Roof - Cold Climate - 5mm</t>
  </si>
  <si>
    <t>Unventilated Air Gap - Roof - Cold Climate - 7mm</t>
  </si>
  <si>
    <t>Unventilated Air Gap - Roof - Cold Climate - 10mm</t>
  </si>
  <si>
    <t>Unventilated Air Gap - Roof - Cold Climate - 15mm</t>
  </si>
  <si>
    <t>Unventilated Air Gap - Roof - Cold Climate - 25mm</t>
  </si>
  <si>
    <t>Unventilated Air Gap - Roof - Cold Climate - 50mm</t>
  </si>
  <si>
    <t>Unventilated Air Gap - Roof - Cold Climate - 100mm</t>
  </si>
  <si>
    <t>Unventilated Air Gap - Roof - Cold Climate - 300mm</t>
  </si>
  <si>
    <t>Cost</t>
  </si>
  <si>
    <t>Unit</t>
  </si>
  <si>
    <t>Cost (per m2 for unit thickness)</t>
  </si>
  <si>
    <t>Fixed Cost/m2</t>
  </si>
  <si>
    <t>m3</t>
  </si>
  <si>
    <t>See 6.47 of CPWD DSR Vol 1 (Labour and material. Payment of RCC band and reinforcement not included). For super structure above plinth level up to floor V level. Alternatively see 6.38
4500 INR/m3 https://www.indiamart.com/proddetail/625-x-250-x-300mm-aac-block-21285845297.html</t>
  </si>
  <si>
    <t>See 12.19.1 of CPWD DSR Vol 1. Rates for laying brick tiles only. 1:3 (1 cement: 3 fine sand) with 2% (by weight) of integral water proofing compound. [Rate: 549.05/m2 for 75mm, converted to m3]</t>
  </si>
  <si>
    <t>Cement fibreboard</t>
  </si>
  <si>
    <t>See Code 0240 of CPWD DSR Vol 1 2021. Material cost only</t>
  </si>
  <si>
    <t xml:space="preserve">See Code 3.9 CPWD DSR Vol 1 2021. For cement mortar 1:4 [1 Cement: 4 Sand]. Material and labour Cost only. Rates are exclusive of GST, water charges, contractor's profit and overheads &amp; cess. </t>
  </si>
  <si>
    <t>See 13.5.2 of CPWD DSR Vol 2. Rates for external plastic 1:6 (1 cement: 6 coarse sand) for height upto 10m. [Rate: 339.10/m2 for 15mm, converted to m3]</t>
  </si>
  <si>
    <t>Dry Ceramic Tiles</t>
  </si>
  <si>
    <t>Expanded Polystryrene (EPS)</t>
  </si>
  <si>
    <t>See Code 8562 of CPWD DSR Vol 1. EPS Insulation board 120mm thk Rs 825/m2. Material Cost only.
See 26.67 of DSR Vol 2.</t>
  </si>
  <si>
    <t>Expanded Polystryrene (EPS) - Roof</t>
  </si>
  <si>
    <t>See Code 8562 of CPWD DSR Vol 1. EPS Insulation board 120mm thk Rs 825/m2. Material Cost only. Refer PUF-Roof for fixed cost/m2.</t>
  </si>
  <si>
    <t>Extruded Polystyrene (XPS)</t>
  </si>
  <si>
    <t>See Code 8561 of CPWD DSR Vol 1. XPS Rigid Insulation board 50mm thk Rs 550/m2. Material Cost only.
See 26.7 of DSR Vol 2 for additional cost of application. Since 550 is material cost reducing this from 850.65 gives application cost.</t>
  </si>
  <si>
    <t>Extruded Polystyrene (XPS) - Roof</t>
  </si>
  <si>
    <t>See Code 8561 of CPWD DSR Vol 1. XPS Rigid Insulation board 50mm thk Rs 550/m2. Material Cost only. Refer PUF-Roof for fixed cost/m2.</t>
  </si>
  <si>
    <t>See 6.32.1 of CPWD DSR Vol 1 (Labour and material). For super structure above plinth level up to floor V level.</t>
  </si>
  <si>
    <t>Foam Concrete - MedLtWt</t>
  </si>
  <si>
    <t>Polyurethane foam (PUF)</t>
  </si>
  <si>
    <t xml:space="preserve">See Code 7051. Rs. 350 for 40mm. Material Cost only. </t>
  </si>
  <si>
    <t>Polyurethane foam (PUF) - Roof</t>
  </si>
  <si>
    <t>See Code 7051. Rs. 350 for 40mm. Material Cost only. 
See 12.56 of CPWD DSR Vol 1 for roof assembly. 385 for 40mm per m2, 978 Rs/m2 other fixed cost</t>
  </si>
  <si>
    <t>See 5.3 of CPWD DSR Vol 1 (Cost excluding cost of centering, shuttering, finishing and reinforcement).  Mix Ratio [1:1.5:3]. For roofs having slope up to 15°.
See 5.9.3 of CPWD DSR Vol 1. Cost of centering, shuttering, finishing and reinforcement per m2 766.55</t>
  </si>
  <si>
    <t>Reinforced cement concrete (RCC) - Wall</t>
  </si>
  <si>
    <t>See 5.2.2 of CPWD DSR Vol 1 (Cost excluding cost of centering, shuttering, finishing and reinforcement).  Mix Ratio [1:1.5:3]. For super structure above plinth level up to floor V level.
See 5.9.2 of CPWD DSR Vol 1. Cost of centering, shuttering, finishing and reinforcement per m2: 669.55</t>
  </si>
  <si>
    <t>See 6.4 of CPWD DSR Vol 1 (Labour and material). For super structure above plinth level up to floor V level.</t>
  </si>
  <si>
    <t>See 26.69.1 CPWD DSR Vol 2. Providing and laying Precast concrete solid blocks (200 mm) M10 grade made of C&amp;D waste. Superstructure above plinth level up to floor V level</t>
  </si>
  <si>
    <t>Conductivity
(W/mK)</t>
  </si>
  <si>
    <t>Sp Heat 
(J/kgK)</t>
  </si>
  <si>
    <r>
      <t>Density
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</si>
  <si>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Thermal Absorptance</t>
  </si>
  <si>
    <t>Solar Absorptance</t>
  </si>
  <si>
    <r>
      <t>Cost 
(Rs/m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of Surface Area for 1m thickness)</t>
    </r>
  </si>
  <si>
    <r>
      <t>Thermal Diffusivity
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</si>
  <si>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Effusivity</t>
  </si>
  <si>
    <r>
      <t>Compressive Strength
(N/mm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</si>
  <si>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Embodied Energy</t>
  </si>
  <si>
    <t>ENS - 2018, American Society of Heating, Refrigerating and Air-Conditioning Engineers (ASHRAE). 2009. 2009 ASHRAE Handbook (Fundamentals). Atlanta, United States: ASHRAE</t>
  </si>
  <si>
    <t>ENS, 2018 and Bureau of Indian Standards (BIS). 1987. Handbook on Functional Requirements of Buildings (Other than Industrial Buildings) SP: 41 (S &amp; T) -1987. New Delhi: BIS.</t>
  </si>
  <si>
    <t>(Davies, 2004), Table 1.1 of Advancing Building Energy Efficiency in India, Thermal Performance of Walling Material and Wall Technology, Part 1: National Database of Thermophysical Properties of Walling Materials</t>
  </si>
  <si>
    <t>Cement mortar, dry</t>
  </si>
  <si>
    <t>Common earth</t>
  </si>
  <si>
    <t>Dry ceramic tiles</t>
  </si>
  <si>
    <t>Fired Clay Brick (Hi Den)</t>
  </si>
  <si>
    <t>18 ton petcoke per lakh bricks</t>
  </si>
  <si>
    <t>RB 05 - Advancing Building Energy Efficiency in India, Thermal Performance of Walling Material and Wall Technology, Part 1: National Database of Thermophysical Properties of Walling Materials</t>
  </si>
  <si>
    <t>Fired Clay Brick (Low Den)</t>
  </si>
  <si>
    <t>Coal: 17 ton per two lakh bricks</t>
  </si>
  <si>
    <t>RB 15 - Advancing Building Energy Efficiency in India, Thermal Performance of Walling Material and Wall Technology, Part 1: National Database of Thermophysical Properties of Walling Materials</t>
  </si>
  <si>
    <t>Heavyweight concrete block</t>
  </si>
  <si>
    <t>Heavyweight masonry</t>
  </si>
  <si>
    <t>Lightweight concrete block</t>
  </si>
  <si>
    <t>Lightweight masonry</t>
  </si>
  <si>
    <t>Mineral fibreboard</t>
  </si>
  <si>
    <t>Polyurethane foam</t>
  </si>
  <si>
    <t>CBERD</t>
  </si>
  <si>
    <t>CBERD, Thermo-Physical-Optical Property Database of Construction Materials, U.S.- India Joint Center for Building Energy Research and Development (CBERD) and Ministry of New and Renewable Energy (MNRE). Available at http://www.carbse.org/wp-content/uploads/2017/10/Database-of-Construction-Materials_Oct17.pdf (accessed on 1 May 2018).</t>
  </si>
  <si>
    <t>Solid Glass</t>
  </si>
  <si>
    <t>Steel</t>
  </si>
  <si>
    <t>ECBC 2017, American Society of Heating, Refrigerating and Air-Conditioning Engineers (ASHRAE). 2009. 2009 ASHRAE Handbook (Fundamentals). Atlanta, United States: ASHRAE</t>
  </si>
  <si>
    <t>Foam Concrete - MedWt</t>
  </si>
  <si>
    <t>Foam Concrete - HvyWt</t>
  </si>
  <si>
    <t>Agriwaste[Agrocrete]-Solid</t>
  </si>
  <si>
    <t>Agrocrete, [CBRI Test report], https://greenjams.org/wp-content/uploads/2022/11/CBRI_Agrocrete-Test-Report-1_compressed.pdf</t>
  </si>
  <si>
    <t>Agriwaste[Agrocrete]-Hollow</t>
  </si>
  <si>
    <t>Insulating Concrete Form</t>
  </si>
  <si>
    <t>Reli-Insupack EPS</t>
  </si>
  <si>
    <t>India Insulation Forum. https://www.indiainsulationforum.in/wp-content/uploads/2016/01/RELIABLE%20ICF%20Tech%20Writeup.pdf</t>
  </si>
  <si>
    <t>Reli-Insupack RCC-M20</t>
  </si>
  <si>
    <t>EPS-lowden</t>
  </si>
  <si>
    <t>EPS-medden</t>
  </si>
  <si>
    <t>EPS-hiden</t>
  </si>
  <si>
    <t>Aerocon Panel</t>
  </si>
  <si>
    <t>CementFibreBoard [Everest]</t>
  </si>
  <si>
    <t>CementFibreBoard [Birla]</t>
  </si>
  <si>
    <t>Unventilated Air gap</t>
  </si>
  <si>
    <t>Clay tile, hollow 3 cells deep [300]</t>
  </si>
  <si>
    <t>Clay tile, hollow 2 cells deep [250]</t>
  </si>
  <si>
    <t>Clay tile, hollow 2 cells deep [200]</t>
  </si>
  <si>
    <t>PDPS</t>
  </si>
  <si>
    <t>PACS</t>
  </si>
  <si>
    <t>FlyAshEPSCementSandwichPanels</t>
  </si>
  <si>
    <t>Rammed Earth</t>
  </si>
  <si>
    <t>Screed</t>
  </si>
  <si>
    <t>The Harmonisation of Thermal Properties of Building Materials, Clarke et al.</t>
  </si>
  <si>
    <t>Mud Plaster</t>
  </si>
  <si>
    <t>CSP-Sintex</t>
  </si>
  <si>
    <t>Mumbai</t>
  </si>
  <si>
    <t>Pune</t>
  </si>
  <si>
    <t>Delhi</t>
  </si>
  <si>
    <t>Ahmedabad</t>
  </si>
  <si>
    <t>existing height</t>
  </si>
  <si>
    <t>Improvement</t>
  </si>
  <si>
    <t>Glass Type</t>
  </si>
  <si>
    <t>U-Value(IP)</t>
  </si>
  <si>
    <t>Location</t>
  </si>
  <si>
    <t>Nicobar</t>
  </si>
  <si>
    <t>Warm &amp; Humid</t>
  </si>
  <si>
    <t>North Middle Andaman</t>
  </si>
  <si>
    <t>South Andaman</t>
  </si>
  <si>
    <t>Anantapur</t>
  </si>
  <si>
    <t>Chittoor</t>
  </si>
  <si>
    <t>East Godavari</t>
  </si>
  <si>
    <t>Guntur</t>
  </si>
  <si>
    <t>Kadapa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</si>
  <si>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</si>
  <si>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</si>
  <si>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</si>
  <si>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</si>
  <si>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</si>
  <si>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</si>
  <si>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</si>
  <si>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</si>
  <si>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Anjaw</t>
  </si>
  <si>
    <t>Central Siang</t>
  </si>
  <si>
    <t>Cold,Warm &amp; Humid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</si>
  <si>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</si>
  <si>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</si>
  <si>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</si>
  <si>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</si>
  <si>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</si>
  <si>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</si>
  <si>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</si>
  <si>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</si>
  <si>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</si>
  <si>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</si>
  <si>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</si>
  <si>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</si>
  <si>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</si>
  <si>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</si>
  <si>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</si>
  <si>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</si>
  <si>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</si>
  <si>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</si>
  <si>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</si>
  <si>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</si>
  <si>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</si>
  <si>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</si>
  <si>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</si>
  <si>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</si>
  <si>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</si>
  <si>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</si>
  <si>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</si>
  <si>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</si>
  <si>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</si>
  <si>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</si>
  <si>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</si>
  <si>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</si>
  <si>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</si>
  <si>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</si>
  <si>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</si>
  <si>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</si>
  <si>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</si>
  <si>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</si>
  <si>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</si>
  <si>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</si>
  <si>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</si>
  <si>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</si>
  <si>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</si>
  <si>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</si>
  <si>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</si>
  <si>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</si>
  <si>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</si>
  <si>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</si>
  <si>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</si>
  <si>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</si>
  <si>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</si>
  <si>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</si>
  <si>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Salmara-Mankachar</t>
  </si>
  <si>
    <t>Tinsukia</t>
  </si>
  <si>
    <t>Udalguri</t>
  </si>
  <si>
    <t>West Karbi Anglong</t>
  </si>
  <si>
    <t>Araria</t>
  </si>
  <si>
    <t>Arwal</t>
  </si>
  <si>
    <t>Aurangabad</t>
  </si>
  <si>
    <t>Banka</t>
  </si>
  <si>
    <t>Composite , Warm &amp; Humid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</si>
  <si>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</si>
  <si>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</si>
  <si>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</si>
  <si>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</si>
  <si>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</si>
  <si>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</si>
  <si>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</si>
  <si>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</si>
  <si>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</si>
  <si>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</si>
  <si>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</si>
  <si>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</si>
  <si>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</si>
  <si>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</si>
  <si>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</si>
  <si>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</si>
  <si>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</si>
  <si>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</si>
  <si>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</si>
  <si>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</si>
  <si>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</si>
  <si>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</si>
  <si>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</si>
  <si>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</si>
  <si>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</si>
  <si>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</si>
  <si>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</si>
  <si>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</si>
  <si>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</si>
  <si>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</si>
  <si>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</si>
  <si>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</si>
  <si>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</si>
  <si>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</si>
  <si>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</si>
  <si>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</si>
  <si>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Baloda Bazar</t>
  </si>
  <si>
    <t>Balrampur</t>
  </si>
  <si>
    <t>Bastar</t>
  </si>
  <si>
    <t>Bemetara</t>
  </si>
  <si>
    <t>Bijapur</t>
  </si>
  <si>
    <t>Bilaspur</t>
  </si>
  <si>
    <t>Dantewada</t>
  </si>
  <si>
    <t>Dhamtari</t>
  </si>
  <si>
    <t>Durg</t>
  </si>
  <si>
    <t>Gariaband</t>
  </si>
  <si>
    <t>Janjgir Champa</t>
  </si>
  <si>
    <t>Jashpur</t>
  </si>
  <si>
    <t>Kabirdham</t>
  </si>
  <si>
    <t>Kanker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</si>
  <si>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</si>
  <si>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</si>
  <si>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</si>
  <si>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</si>
  <si>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</si>
  <si>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</si>
  <si>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</si>
  <si>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</si>
  <si>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</si>
  <si>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</si>
  <si>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</si>
  <si>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</si>
  <si>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Dadra Nagar Haveli</t>
  </si>
  <si>
    <t>Daman</t>
  </si>
  <si>
    <t>Diu</t>
  </si>
  <si>
    <t>Central 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</si>
  <si>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</si>
  <si>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</si>
  <si>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</si>
  <si>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</si>
  <si>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</si>
  <si>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</si>
  <si>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</si>
  <si>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</si>
  <si>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</si>
  <si>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</si>
  <si>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North Goa</t>
  </si>
  <si>
    <t>South Goa</t>
  </si>
  <si>
    <t>Hot &amp; Dry</t>
  </si>
  <si>
    <t>Amreli</t>
  </si>
  <si>
    <t>Anand</t>
  </si>
  <si>
    <t>Aravalli</t>
  </si>
  <si>
    <t>Banaskantha</t>
  </si>
  <si>
    <t>Bharuch</t>
  </si>
  <si>
    <t>Bhavnagar</t>
  </si>
  <si>
    <t>Botad</t>
  </si>
  <si>
    <t>Chhota Udaipur</t>
  </si>
  <si>
    <t>Dahod</t>
  </si>
  <si>
    <t>Dang</t>
  </si>
  <si>
    <t>Devbhoomi Dwarka</t>
  </si>
  <si>
    <t>Gandhinagar</t>
  </si>
  <si>
    <t>Gir Somnath</t>
  </si>
  <si>
    <t>Jamnagar</t>
  </si>
  <si>
    <t>Junagadh</t>
  </si>
  <si>
    <t>Kheda</t>
  </si>
  <si>
    <t>Kutch</t>
  </si>
  <si>
    <t>Warm &amp; Humid , Composite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</si>
  <si>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</si>
  <si>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</si>
  <si>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</si>
  <si>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</si>
  <si>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</si>
  <si>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</si>
  <si>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</si>
  <si>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</si>
  <si>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</si>
  <si>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</si>
  <si>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</si>
  <si>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</si>
  <si>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</si>
  <si>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Vadodara</t>
  </si>
  <si>
    <t>Valsad</t>
  </si>
  <si>
    <t>Ambala</t>
  </si>
  <si>
    <t>Bhiwani</t>
  </si>
  <si>
    <t>Charkhi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</si>
  <si>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</si>
  <si>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</si>
  <si>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</si>
  <si>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</si>
  <si>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</si>
  <si>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</si>
  <si>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</si>
  <si>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</si>
  <si>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</si>
  <si>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</si>
  <si>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</si>
  <si>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</si>
  <si>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</si>
  <si>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</si>
  <si>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</si>
  <si>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</si>
  <si>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</si>
  <si>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</si>
  <si>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</si>
  <si>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</si>
  <si>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</si>
  <si>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</si>
  <si>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</si>
  <si>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</si>
  <si>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Lahaul Spiti</t>
  </si>
  <si>
    <t>Mandi</t>
  </si>
  <si>
    <t>Shimla</t>
  </si>
  <si>
    <t>Sirmaur</t>
  </si>
  <si>
    <t>Solan</t>
  </si>
  <si>
    <t>Una</t>
  </si>
  <si>
    <t>Anantnag</t>
  </si>
  <si>
    <t>Bandipora</t>
  </si>
  <si>
    <t>Baramulla</t>
  </si>
  <si>
    <t>Budgam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</si>
  <si>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</si>
  <si>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</si>
  <si>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</si>
  <si>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</si>
  <si>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</si>
  <si>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</si>
  <si>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</si>
  <si>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</si>
  <si>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</si>
  <si>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Rajouri</t>
  </si>
  <si>
    <t>Ramban</t>
  </si>
  <si>
    <t>Reasi</t>
  </si>
  <si>
    <t>Samba</t>
  </si>
  <si>
    <t>Shopian</t>
  </si>
  <si>
    <t>Udhampur</t>
  </si>
  <si>
    <t>Bokaro</t>
  </si>
  <si>
    <t>Chatra</t>
  </si>
  <si>
    <t>Deoghar</t>
  </si>
  <si>
    <t>Dhanbad</t>
  </si>
  <si>
    <t>Dumka</t>
  </si>
  <si>
    <t>East Singhbhum</t>
  </si>
  <si>
    <t>Garhwa</t>
  </si>
  <si>
    <t>Giridih</t>
  </si>
  <si>
    <t>Godda</t>
  </si>
  <si>
    <t>Gumla</t>
  </si>
  <si>
    <t>Composite,Warm &amp; Humid</t>
  </si>
  <si>
    <t>Hazaribagh</t>
  </si>
  <si>
    <t>Jamtara</t>
  </si>
  <si>
    <t>Khunti</t>
  </si>
  <si>
    <t>Koderma</t>
  </si>
  <si>
    <t>Latehar</t>
  </si>
  <si>
    <t>Lohardaga</t>
  </si>
  <si>
    <t>Pakur</t>
  </si>
  <si>
    <t>Palamu</t>
  </si>
  <si>
    <t>Ramgarh</t>
  </si>
  <si>
    <t>Ranchi</t>
  </si>
  <si>
    <t>Sahebganj</t>
  </si>
  <si>
    <t>Seraikela Kharsawan</t>
  </si>
  <si>
    <t>Simdega</t>
  </si>
  <si>
    <t>West Singhbhum</t>
  </si>
  <si>
    <t>Bagalkot</t>
  </si>
  <si>
    <t>Bangalore Urban</t>
  </si>
  <si>
    <t>Bangalore</t>
  </si>
  <si>
    <t>Belgaum</t>
  </si>
  <si>
    <t>Bellary</t>
  </si>
  <si>
    <t>Bidar</t>
  </si>
  <si>
    <t>Chamarajanagar</t>
  </si>
  <si>
    <t>Chikkaballapur</t>
  </si>
  <si>
    <t>Chikkamagaluru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</si>
  <si>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</si>
  <si>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</si>
  <si>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</si>
  <si>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</si>
  <si>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</si>
  <si>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</si>
  <si>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</si>
  <si>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</si>
  <si>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</si>
  <si>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</si>
  <si>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</si>
  <si>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</si>
  <si>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Warm &amp; Humid , Temperate</t>
  </si>
  <si>
    <t>Mysore</t>
  </si>
  <si>
    <t>Raichur</t>
  </si>
  <si>
    <t>Ramanagara</t>
  </si>
  <si>
    <t>Shimoga</t>
  </si>
  <si>
    <t>Tumkur</t>
  </si>
  <si>
    <t>Udupi</t>
  </si>
  <si>
    <t>Uttara Kannada</t>
  </si>
  <si>
    <t>Vijayapura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</si>
  <si>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</si>
  <si>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</si>
  <si>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</si>
  <si>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</si>
  <si>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</si>
  <si>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</si>
  <si>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</si>
  <si>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</si>
  <si>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</si>
  <si>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</si>
  <si>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</si>
  <si>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</si>
  <si>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</si>
  <si>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</si>
  <si>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</si>
  <si>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</si>
  <si>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Leh</t>
  </si>
  <si>
    <t>Lakshadweep</t>
  </si>
  <si>
    <t>Agar Malwa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</si>
  <si>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</si>
  <si>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</si>
  <si>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</si>
  <si>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</si>
  <si>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</si>
  <si>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</si>
  <si>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</si>
  <si>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</si>
  <si>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</si>
  <si>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</si>
  <si>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</si>
  <si>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</si>
  <si>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</si>
  <si>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</si>
  <si>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</si>
  <si>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Composite,Hot &amp; Dry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</si>
  <si>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</si>
  <si>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</si>
  <si>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</si>
  <si>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</si>
  <si>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</si>
  <si>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</si>
  <si>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</si>
  <si>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</si>
  <si>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</si>
  <si>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</t>
  </si>
  <si>
    <t>Khargone</t>
  </si>
  <si>
    <t>Hot &amp; Dry , Composite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</si>
  <si>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</si>
  <si>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</si>
  <si>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</si>
  <si>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</si>
  <si>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</si>
  <si>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</si>
  <si>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</si>
  <si>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</si>
  <si>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</si>
  <si>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</si>
  <si>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</si>
  <si>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</si>
  <si>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</si>
  <si>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</si>
  <si>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</si>
  <si>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</si>
  <si>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</si>
  <si>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</si>
  <si>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</si>
  <si>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</si>
  <si>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</si>
  <si>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</si>
  <si>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</si>
  <si>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</si>
  <si>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</si>
  <si>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</si>
  <si>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</si>
  <si>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</si>
  <si>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</si>
  <si>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</si>
  <si>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</si>
  <si>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</si>
  <si>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</si>
  <si>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</si>
  <si>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</si>
  <si>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</si>
  <si>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</si>
  <si>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</si>
  <si>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</si>
  <si>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</si>
  <si>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</si>
  <si>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</si>
  <si>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</si>
  <si>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</si>
  <si>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</si>
  <si>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</si>
  <si>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</si>
  <si>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</si>
  <si>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Raigad</t>
  </si>
  <si>
    <t>Ratnagiri</t>
  </si>
  <si>
    <t>Sangli</t>
  </si>
  <si>
    <t>Satara</t>
  </si>
  <si>
    <t>Cold , Hot &amp; Dry</t>
  </si>
  <si>
    <t>Sindhudurg</t>
  </si>
  <si>
    <t>Thane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</si>
  <si>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</si>
  <si>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</si>
  <si>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</si>
  <si>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</si>
  <si>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</si>
  <si>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</si>
  <si>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</si>
  <si>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</si>
  <si>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</si>
  <si>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</si>
  <si>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</si>
  <si>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</si>
  <si>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</si>
  <si>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</si>
  <si>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</si>
  <si>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</si>
  <si>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</si>
  <si>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</si>
  <si>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</si>
  <si>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</si>
  <si>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East Jaintia Hills</t>
  </si>
  <si>
    <t>East Khasi Hills</t>
  </si>
  <si>
    <t>North Garo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</si>
  <si>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</si>
  <si>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</si>
  <si>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</si>
  <si>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</si>
  <si>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</si>
  <si>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</si>
  <si>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</si>
  <si>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</si>
  <si>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</si>
  <si>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</si>
  <si>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</si>
  <si>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</si>
  <si>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</si>
  <si>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</si>
  <si>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</si>
  <si>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</si>
  <si>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Kiphire</t>
  </si>
  <si>
    <t>Kohima</t>
  </si>
  <si>
    <t>Longleng</t>
  </si>
  <si>
    <t>Mokokchung</t>
  </si>
  <si>
    <t>Mon</t>
  </si>
  <si>
    <t>Cold , Warm &amp; Humid</t>
  </si>
  <si>
    <t>Noklak</t>
  </si>
  <si>
    <t>Peren</t>
  </si>
  <si>
    <t>Phek</t>
  </si>
  <si>
    <t>Tuensang</t>
  </si>
  <si>
    <t>Wokha</t>
  </si>
  <si>
    <t>Zunheboto</t>
  </si>
  <si>
    <t>Angul</t>
  </si>
  <si>
    <t>Balangir</t>
  </si>
  <si>
    <t>Balasore</t>
  </si>
  <si>
    <t>Bargarh</t>
  </si>
  <si>
    <t>Bhadrak</t>
  </si>
  <si>
    <t>Boudh</t>
  </si>
  <si>
    <t>Cuttack</t>
  </si>
  <si>
    <t>Debagarh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</si>
  <si>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</si>
  <si>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</si>
  <si>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</si>
  <si>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</si>
  <si>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</si>
  <si>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</si>
  <si>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</si>
  <si>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</si>
  <si>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</si>
  <si>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</si>
  <si>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</si>
  <si>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</si>
  <si>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</si>
  <si>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</si>
  <si>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</si>
  <si>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</si>
  <si>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</si>
  <si>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</si>
  <si>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</si>
  <si>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</si>
  <si>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</si>
  <si>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</si>
  <si>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</si>
  <si>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</si>
  <si>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Puducherry</t>
  </si>
  <si>
    <t>Yanam</t>
  </si>
  <si>
    <t>Amritsar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</si>
  <si>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</si>
  <si>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</si>
  <si>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</si>
  <si>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</si>
  <si>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</si>
  <si>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</si>
  <si>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</si>
  <si>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</si>
  <si>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</si>
  <si>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</si>
  <si>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</si>
  <si>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</si>
  <si>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</si>
  <si>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Mohali</t>
  </si>
  <si>
    <t>Muktsar</t>
  </si>
  <si>
    <t>Pathankot</t>
  </si>
  <si>
    <t>Patiala</t>
  </si>
  <si>
    <t>Rupnagar</t>
  </si>
  <si>
    <t>Sangrur</t>
  </si>
  <si>
    <t>Shaheed Bhagat Singh Nagar</t>
  </si>
  <si>
    <t>Tarn Taran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</si>
  <si>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</si>
  <si>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</si>
  <si>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</si>
  <si>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</si>
  <si>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</si>
  <si>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</si>
  <si>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</si>
  <si>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</si>
  <si>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</si>
  <si>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Hot &amp; Dry,Composite</t>
  </si>
  <si>
    <t>Chittorgarh</t>
  </si>
  <si>
    <t>Churu</t>
  </si>
  <si>
    <t>Dausa</t>
  </si>
  <si>
    <t>Dholpur</t>
  </si>
  <si>
    <t>Dungarpur</t>
  </si>
  <si>
    <t>Hanumangarh</t>
  </si>
  <si>
    <t>Jaipur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</si>
  <si>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</si>
  <si>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</si>
  <si>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</si>
  <si>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</si>
  <si>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</si>
  <si>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</si>
  <si>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</si>
  <si>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</si>
  <si>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</si>
  <si>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</si>
  <si>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</si>
  <si>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</si>
  <si>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</si>
  <si>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Sri Ganganagar</t>
  </si>
  <si>
    <t>Tonk</t>
  </si>
  <si>
    <t>Udaipur</t>
  </si>
  <si>
    <t>East Sikkim</t>
  </si>
  <si>
    <t>North Sikkim</t>
  </si>
  <si>
    <t>South Sikkim</t>
  </si>
  <si>
    <t>West Sikkim</t>
  </si>
  <si>
    <t>Ariyalur</t>
  </si>
  <si>
    <t>Chengalpattu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</si>
  <si>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</si>
  <si>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</si>
  <si>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</si>
  <si>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</si>
  <si>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</si>
  <si>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</si>
  <si>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</si>
  <si>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</si>
  <si>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</si>
  <si>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</si>
  <si>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</si>
  <si>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</si>
  <si>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</si>
  <si>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</si>
  <si>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</si>
  <si>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</si>
  <si>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</si>
  <si>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</si>
  <si>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</si>
  <si>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Tenkasi</t>
  </si>
  <si>
    <t>Thanjavur</t>
  </si>
  <si>
    <t>Theni</t>
  </si>
  <si>
    <t>Thoothukudi</t>
  </si>
  <si>
    <t>Tiruchirappalli</t>
  </si>
  <si>
    <t>Tirunelveli</t>
  </si>
  <si>
    <t>Tiruppur</t>
  </si>
  <si>
    <t>Tiruvallur</t>
  </si>
  <si>
    <t>Tiruvannamalai</t>
  </si>
  <si>
    <t>Tiruvarur</t>
  </si>
  <si>
    <t>Vellore</t>
  </si>
  <si>
    <t>Viluppuram</t>
  </si>
  <si>
    <t>Virudhunagar</t>
  </si>
  <si>
    <t>Adilabad</t>
  </si>
  <si>
    <t>Bhadradri Kothagudem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</si>
  <si>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</si>
  <si>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</si>
  <si>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</si>
  <si>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</si>
  <si>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</si>
  <si>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</si>
  <si>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</si>
  <si>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</si>
  <si>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</si>
  <si>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Mahbubnagar</t>
  </si>
  <si>
    <t>Mancherial</t>
  </si>
  <si>
    <t>Medak</t>
  </si>
  <si>
    <t>Medchal</t>
  </si>
  <si>
    <t>Mulugu</t>
  </si>
  <si>
    <t>Nagarkurnool</t>
  </si>
  <si>
    <t>Nalgonda</t>
  </si>
  <si>
    <t>Warm &amp; Humid, Composite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</si>
  <si>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</si>
  <si>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</si>
  <si>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</si>
  <si>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</si>
  <si>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</si>
  <si>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</si>
  <si>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</si>
  <si>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</si>
  <si>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</si>
  <si>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</si>
  <si>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</si>
  <si>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</si>
  <si>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</si>
  <si>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</si>
  <si>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</si>
  <si>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</si>
  <si>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</si>
  <si>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</si>
  <si>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</si>
  <si>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</si>
  <si>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</si>
  <si>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</si>
  <si>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Agra</t>
  </si>
  <si>
    <t>Aligarh</t>
  </si>
  <si>
    <t>Ambedkar Nagar</t>
  </si>
  <si>
    <t>Amethi</t>
  </si>
  <si>
    <t>Amroha</t>
  </si>
  <si>
    <t>Auraiya</t>
  </si>
  <si>
    <t>Ayodhya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</si>
  <si>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</si>
  <si>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</si>
  <si>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</si>
  <si>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</si>
  <si>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</si>
  <si>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</si>
  <si>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</si>
  <si>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</si>
  <si>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</si>
  <si>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</si>
  <si>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</si>
  <si>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</si>
  <si>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</si>
  <si>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</si>
  <si>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</si>
  <si>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</si>
  <si>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</si>
  <si>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</si>
  <si>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</si>
  <si>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</si>
  <si>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</si>
  <si>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</si>
  <si>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</si>
  <si>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</si>
  <si>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</si>
  <si>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</si>
  <si>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</si>
  <si>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</si>
  <si>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</si>
  <si>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</si>
  <si>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</si>
  <si>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</si>
  <si>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</si>
  <si>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</si>
  <si>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</si>
  <si>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</si>
  <si>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Kheri</t>
  </si>
  <si>
    <t>Kushinagar</t>
  </si>
  <si>
    <t>Lalitpur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</si>
  <si>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</si>
  <si>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</si>
  <si>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</si>
  <si>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</si>
  <si>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</si>
  <si>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</si>
  <si>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</si>
  <si>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</si>
  <si>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</si>
  <si>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</si>
  <si>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</si>
  <si>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Raebareli</t>
  </si>
  <si>
    <t>Rampur</t>
  </si>
  <si>
    <t>Saharanpur</t>
  </si>
  <si>
    <t>Sambhal</t>
  </si>
  <si>
    <t>Sant Kabir Nagar</t>
  </si>
  <si>
    <t>Shahjahanpur</t>
  </si>
  <si>
    <t>Shamli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</si>
  <si>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</si>
  <si>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</si>
  <si>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</si>
  <si>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</si>
  <si>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</si>
  <si>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</si>
  <si>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</si>
  <si>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</si>
  <si>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</si>
  <si>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</si>
  <si>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</si>
  <si>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</si>
  <si>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</si>
  <si>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</si>
  <si>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</si>
  <si>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</si>
  <si>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</si>
  <si>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</t>
  </si>
  <si>
    <t>Cold,Composite</t>
  </si>
  <si>
    <t>Udham Singh Nagar</t>
  </si>
  <si>
    <t>Uttarkashi</t>
  </si>
  <si>
    <t>Alipurduar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</si>
  <si>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</si>
  <si>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</si>
  <si>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</si>
  <si>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</si>
  <si>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</si>
  <si>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</si>
  <si>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</si>
  <si>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</si>
  <si>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</si>
  <si>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</si>
  <si>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</si>
  <si>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</si>
  <si>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</si>
  <si>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</si>
  <si>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</si>
  <si>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</si>
  <si>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</si>
  <si>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</si>
  <si>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</si>
  <si>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</si>
  <si>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</si>
  <si>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Washington-DC</t>
  </si>
  <si>
    <t>Ontario</t>
  </si>
  <si>
    <t>NewDelhi</t>
  </si>
  <si>
    <t>Dhaka</t>
  </si>
  <si>
    <t>Lusaka</t>
  </si>
  <si>
    <t>USA</t>
  </si>
  <si>
    <t>Colombo</t>
  </si>
  <si>
    <t>Veitnam</t>
  </si>
  <si>
    <t>SHADING-COEF</t>
  </si>
  <si>
    <t>VIS-TRANS</t>
  </si>
  <si>
    <t>GLASS-CONDUCT</t>
  </si>
  <si>
    <t>GLASS-TYPE</t>
  </si>
  <si>
    <t>LAYERS</t>
  </si>
  <si>
    <t>Name</t>
  </si>
  <si>
    <t>Code</t>
  </si>
  <si>
    <t>Mat_1</t>
  </si>
  <si>
    <t>Mat_2</t>
  </si>
  <si>
    <t>Mat_3</t>
  </si>
  <si>
    <t>Mat_4</t>
  </si>
  <si>
    <t>Mat_5</t>
  </si>
  <si>
    <t>Mat_6</t>
  </si>
  <si>
    <t>Mat_1_thickness</t>
  </si>
  <si>
    <t>Mat_2_thickness</t>
  </si>
  <si>
    <t>Mat_3_thickness</t>
  </si>
  <si>
    <t>Mat_4_thickness</t>
  </si>
  <si>
    <t>Mat_5_thickness</t>
  </si>
  <si>
    <t>Mat_6_thickness</t>
  </si>
  <si>
    <t>Mat_1_conductivity</t>
  </si>
  <si>
    <t>Mat_2_conductivity</t>
  </si>
  <si>
    <t>Mat_3_conductivity</t>
  </si>
  <si>
    <t>Mat_4_conductivity</t>
  </si>
  <si>
    <t>Mat_5_conductivity</t>
  </si>
  <si>
    <t>Mat_6_conductivity</t>
  </si>
  <si>
    <t>Mat_1_Density</t>
  </si>
  <si>
    <t>Mat_2_Density</t>
  </si>
  <si>
    <t>Mat_3_Density</t>
  </si>
  <si>
    <t>Mat_4_Density</t>
  </si>
  <si>
    <t>Mat_5_Density</t>
  </si>
  <si>
    <t>Mat_6_Density</t>
  </si>
  <si>
    <t>Mat_1_Sp_Heat</t>
  </si>
  <si>
    <t>Mat_2_Sp_Heat</t>
  </si>
  <si>
    <t>Mat_3_Sp_Heat</t>
  </si>
  <si>
    <t>Mat_4_Sp_Heat</t>
  </si>
  <si>
    <t>Mat_5_Sp_Heat</t>
  </si>
  <si>
    <t>Mat_6_Sp_Heat</t>
  </si>
  <si>
    <t>DefaultThick</t>
  </si>
  <si>
    <t>w1</t>
  </si>
  <si>
    <t>Solid_Burnt_Brick-230[ENS]</t>
  </si>
  <si>
    <t>ML_SBB230</t>
  </si>
  <si>
    <t>ML_CP</t>
  </si>
  <si>
    <t>ML_SBB</t>
  </si>
  <si>
    <t>w2</t>
  </si>
  <si>
    <t>Solid_Burnt_Brick-230_XPS-5[ENS]</t>
  </si>
  <si>
    <t>ML_SBB230_XPS_5</t>
  </si>
  <si>
    <t>ML_XPS</t>
  </si>
  <si>
    <t>w3</t>
  </si>
  <si>
    <t>Solid_Burnt_Brick-230_XPS-10[ENS]</t>
  </si>
  <si>
    <t>ML_SBB230_XPS_10</t>
  </si>
  <si>
    <t>w8</t>
  </si>
  <si>
    <t>Solid_Burnt_Brick-230_EPS-25[ENS]</t>
  </si>
  <si>
    <t>ML_SBB230_XPS_25</t>
  </si>
  <si>
    <t>ML_EPS</t>
  </si>
  <si>
    <t>w9</t>
  </si>
  <si>
    <t>Solid_Burnt_Brick-230_EPS-50[ENS]</t>
  </si>
  <si>
    <t>ML_SBB230_XPS_50</t>
  </si>
  <si>
    <t>w13</t>
  </si>
  <si>
    <t>AAC_Block_Wall-200[ENS]</t>
  </si>
  <si>
    <t>ML_ACC200</t>
  </si>
  <si>
    <t>ML_AAC</t>
  </si>
  <si>
    <t>w16</t>
  </si>
  <si>
    <t>AAC_Block_Wall-200_EPS-25[ENS]</t>
  </si>
  <si>
    <t>ML_ACC200_EPS_25</t>
  </si>
  <si>
    <t>w17</t>
  </si>
  <si>
    <t>AAC_Block_Wall-200_EPS-50[ENS]</t>
  </si>
  <si>
    <t>ML_ACC200_EPS_50</t>
  </si>
  <si>
    <t>w19</t>
  </si>
  <si>
    <t>AAC_Block_Wall-200_PUF-50[ENS]</t>
  </si>
  <si>
    <t>ML_ACC200_PUF_50</t>
  </si>
  <si>
    <t>ML_PUF</t>
  </si>
  <si>
    <t>w25</t>
  </si>
  <si>
    <t>Fly_Ash_Brick-230_PUF-25[ENS]</t>
  </si>
  <si>
    <t>ML_FAB230_PUF_25</t>
  </si>
  <si>
    <t>ML_FAB</t>
  </si>
  <si>
    <t>w26</t>
  </si>
  <si>
    <t>Fly_Ash_Brick-230_PUF-50[ENS]</t>
  </si>
  <si>
    <t>ML_FAB230_PUF_50</t>
  </si>
  <si>
    <t>w27</t>
  </si>
  <si>
    <t>Solid_Concrete_Block-200[ENS]</t>
  </si>
  <si>
    <t>ML_SCB200</t>
  </si>
  <si>
    <t>ML_SCB</t>
  </si>
  <si>
    <t>w28</t>
  </si>
  <si>
    <t>Solid_Concrete_Block-200_XPS-5[ENS]</t>
  </si>
  <si>
    <t>ML_SCB200_XPS_5</t>
  </si>
  <si>
    <t>w32</t>
  </si>
  <si>
    <t>Solid_Concrete_Block-200_EPS-15[ENS]</t>
  </si>
  <si>
    <t>ML_SCB200_EPS_15</t>
  </si>
  <si>
    <t>w33</t>
  </si>
  <si>
    <t>Solid_Concrete_Block-200_EPS-20[ENS]</t>
  </si>
  <si>
    <t>ML_SCB200_EPS_20</t>
  </si>
  <si>
    <t>w34</t>
  </si>
  <si>
    <t>Solid_Concrete_Block-200_XPS-25[ENS]</t>
  </si>
  <si>
    <t>ML_SCB200_XPS_25</t>
  </si>
  <si>
    <t>w35</t>
  </si>
  <si>
    <t>Solid_Concrete_Block-200_XPS-50[ENS]</t>
  </si>
  <si>
    <t>ML_SCB200_XPS_50</t>
  </si>
  <si>
    <t>w36</t>
  </si>
  <si>
    <t>Solid_Concrete_Block-200_EPS-25[ENS]</t>
  </si>
  <si>
    <t>ML_SCB200_EPS_25</t>
  </si>
  <si>
    <t>w37</t>
  </si>
  <si>
    <t>Solid_Concrete_Block-200_EPS-50[ENS]</t>
  </si>
  <si>
    <t>ML_SCB200_EPS_50</t>
  </si>
  <si>
    <t>w40</t>
  </si>
  <si>
    <t>Reinforce_Concrete_200[ENS]</t>
  </si>
  <si>
    <t>ML_RC200</t>
  </si>
  <si>
    <t>ML_RCC</t>
  </si>
  <si>
    <t>Reinforce_Concrete_200_XPS25[ENS]</t>
  </si>
  <si>
    <t>Reinforce_Concrete_200_XPS50[ENS]</t>
  </si>
  <si>
    <t>Reinforce_Concrete_200_XPS75[ENS]</t>
  </si>
  <si>
    <t>Reinforce_Concrete_200_XPS100[ENS]</t>
  </si>
  <si>
    <t>Reinforce_Concrete_200_PUF25[ENS]</t>
  </si>
  <si>
    <t>Reinforce_Concrete_200_PUF50[ENS]</t>
  </si>
  <si>
    <t>Reinforce_Concrete_200_PUF75[ENS]</t>
  </si>
  <si>
    <t>Reinforce_Concrete_200_PUF100[ENS]</t>
  </si>
  <si>
    <t>Reinforce_Concrete_200_EPS2.5[ENS]</t>
  </si>
  <si>
    <t>Reinforce_Concrete_200_EPS5[ENS]</t>
  </si>
  <si>
    <t>Reinforce_Concrete_200_EPS7.5[ENS]</t>
  </si>
  <si>
    <t>Reinforce_Concrete_200_EPS10[ENS]</t>
  </si>
  <si>
    <t>Reinforce_Concrete_200_EPS12.5[ENS]</t>
  </si>
  <si>
    <t>Reinforce_Concrete_200_EPS15[ENS]</t>
  </si>
  <si>
    <t>Reinforce_Concrete_200_EPS17.5[ENS]</t>
  </si>
  <si>
    <t>Reinforce_Concrete_200_EPS20[ENS]</t>
  </si>
  <si>
    <t>Reinforce_Concrete_200_EPS25[ENS]</t>
  </si>
  <si>
    <t>Reinforce_Concrete_200_EPS50[ENS]</t>
  </si>
  <si>
    <t>Reinforce_Concrete_200_EPS75[ENS]</t>
  </si>
  <si>
    <t>Reinforce_Concrete_200_EPS100[ENS]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</si>
  <si>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</si>
  <si>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</si>
  <si>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</si>
  <si>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</si>
  <si>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</si>
  <si>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</si>
  <si>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</si>
  <si>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</si>
  <si>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</si>
  <si>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</si>
  <si>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</si>
  <si>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</si>
  <si>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</si>
  <si>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</si>
  <si>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</si>
  <si>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</si>
  <si>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</si>
  <si>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</si>
  <si>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</si>
  <si>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</si>
  <si>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</si>
  <si>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ML_B</t>
  </si>
  <si>
    <t>ML_EP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</si>
</sst>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0.000"/>
    <numFmt numFmtId="165" formatCode="_(* #,##0.00_);_(* \(#,##0.00\);_(* &quot;-&quot;??_);_(@_)"/>
    <numFmt numFmtId="166" formatCode="_(* #,##0_);_(* \(#,##0\);_(* &quot;-&quot;??_);_(@_)"/>
    <numFmt numFmtId="167" formatCode="0.000E+00"/>
    <numFmt numFmtId="168" formatCode="_ * #,##0.000_ ;_ * \-#,##0.000_ ;_ * &quot;-&quot;??_ ;_ @_ "/>
    <numFmt numFmtId="169" formatCode="0.00000"/>
    <numFmt numFmtId="170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427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2" applyFont="1"/>
    <xf numFmtId="9" fontId="0" fillId="0" borderId="0" xfId="0" applyNumberFormat="1"/>
    <xf numFmtId="0" fontId="0" fillId="2" borderId="0" xfId="0" applyFill="1"/>
    <xf numFmtId="164" fontId="0" fillId="0" borderId="0" xfId="0" applyNumberFormat="1"/>
    <xf numFmtId="0" fontId="2" fillId="0" borderId="1" xfId="0" applyFont="1" applyBorder="1"/>
    <xf numFmtId="43" fontId="0" fillId="0" borderId="0" xfId="1" applyFont="1" applyFill="1"/>
    <xf numFmtId="165" fontId="0" fillId="0" borderId="0" xfId="0" applyNumberFormat="1"/>
    <xf numFmtId="0" fontId="2" fillId="0" borderId="2" xfId="0" applyFont="1" applyBorder="1"/>
    <xf numFmtId="43" fontId="0" fillId="0" borderId="0" xfId="1" applyFont="1" applyFill="1" applyBorder="1"/>
    <xf numFmtId="0" fontId="0" fillId="0" borderId="0" xfId="0" applyAlignment="1">
      <alignment vertical="top" wrapText="1"/>
    </xf>
    <xf numFmtId="0" fontId="0" fillId="0" borderId="3" xfId="0" applyBorder="1" applyAlignment="1">
      <alignment vertical="top" textRotation="90" wrapText="1"/>
    </xf>
    <xf numFmtId="0" fontId="2" fillId="0" borderId="0" xfId="0" applyFont="1"/>
    <xf numFmtId="166" fontId="0" fillId="0" borderId="0" xfId="1" applyNumberFormat="1" applyFont="1"/>
    <xf numFmtId="167" fontId="0" fillId="0" borderId="0" xfId="0" applyNumberFormat="1"/>
    <xf numFmtId="2" fontId="0" fillId="0" borderId="0" xfId="0" applyNumberFormat="1"/>
    <xf numFmtId="0" fontId="6" fillId="2" borderId="0" xfId="0" applyFont="1" applyFill="1"/>
    <xf numFmtId="168" fontId="0" fillId="0" borderId="0" xfId="1" applyNumberFormat="1" applyFont="1"/>
    <xf numFmtId="169" fontId="0" fillId="0" borderId="0" xfId="0" applyNumberFormat="1"/>
    <xf numFmtId="0" fontId="6" fillId="3" borderId="0" xfId="0" applyFont="1" applyFill="1"/>
    <xf numFmtId="170" fontId="7" fillId="0" borderId="0" xfId="1" applyNumberFormat="1" applyFont="1"/>
    <xf numFmtId="0" fontId="7" fillId="2" borderId="0" xfId="0" applyFont="1" applyFill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5">
    <dxf>
      <numFmt numFmtId="13" formatCode="0%"/>
    </dxf>
    <dxf>
      <numFmt numFmtId="13" formatCode="0%"/>
    </dxf>
    <dxf>
      <numFmt numFmtId="0" formatCode="General"/>
    </dxf>
    <dxf>
      <numFmt numFmtId="2" formatCode="0.00"/>
    </dxf>
    <dxf>
      <numFmt numFmtId="0" formatCode="General"/>
    </dxf>
    <dxf>
      <numFmt numFmtId="167" formatCode="0.000E+00"/>
    </dxf>
    <dxf>
      <alignment horizontal="general" vertical="top" textRotation="90" wrapText="1" indent="0" justifyLastLine="0" shrinkToFit="0" readingOrder="0"/>
    </dxf>
    <dxf>
      <fill>
        <patternFill patternType="none">
          <bgColor auto="1"/>
        </patternFill>
      </fill>
    </dxf>
    <dxf>
      <numFmt numFmtId="16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165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.00_);_(* \(#,##0.00\);_(* &quot;-&quot;??_);_(@_)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AB0495-64D0-49ED-AE47-773A61D4289B}" name="MaterialSourceENS" displayName="MaterialSourceENS" ref="A1:I93" totalsRowShown="0">
  <autoFilter ref="A1:I93" xr:uid="{71AB0495-64D0-49ED-AE47-773A61D4289B}"/>
  <tableColumns count="9">
    <tableColumn id="1" xr3:uid="{9E047371-ECD3-40A7-BCE5-3EAA03C7D543}" name="S.No"/>
    <tableColumn id="2" xr3:uid="{15A04C85-3482-43BA-98B8-A573B90BAFEB}" name="Material"/>
    <tableColumn id="4" xr3:uid="{7C3FF6C7-62A1-4F91-A1C2-98E882D7A98B}" name="k (W/mK)"/>
    <tableColumn id="9" xr3:uid="{0ADDB782-1265-4B29-B8A9-FB31F3B56B02}" name="J/KgK">
      <calculatedColumnFormula>MaterialSourceENS[[#This Row],[KJ/kgK]]*1000</calculatedColumnFormula>
    </tableColumn>
    <tableColumn id="3" xr3:uid="{1FA73FC6-C1C5-42F7-A71B-717396B896AD}" name="Density (kg/m3)"/>
    <tableColumn id="5" xr3:uid="{8B0E2255-A8F5-40B7-952B-602910613DA3}" name="KJ/kgK"/>
    <tableColumn id="6" xr3:uid="{EC9F2F4F-C23B-4A2D-B1F0-392A9BEC93A8}" name="Source"/>
    <tableColumn id="7" xr3:uid="{B1BE871F-9647-4223-8EB2-36B7DD3A6ED8}" name="U-Value"/>
    <tableColumn id="8" xr3:uid="{B964F99B-54F8-4658-AA81-0A8789E65B5D}" name="Material 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B1C4E7-375E-428E-A5E9-E1083194D512}" name="CostDB" displayName="CostDB" ref="A1:F20" totalsRowShown="0" headerRowDxfId="14" dataDxfId="13">
  <autoFilter ref="A1:F20" xr:uid="{D0B1C4E7-375E-428E-A5E9-E1083194D512}"/>
  <tableColumns count="6">
    <tableColumn id="1" xr3:uid="{7AB808BB-ED43-466A-80D6-AEFF15EA521A}" name="Material" dataDxfId="12"/>
    <tableColumn id="2" xr3:uid="{5000B84A-F0AE-4B85-AB3D-E13EB1E11392}" name="Cost" dataDxfId="11" dataCellStyle="Comma"/>
    <tableColumn id="3" xr3:uid="{2B8EB297-2021-4612-9273-022A7F0BEA94}" name="Unit" dataDxfId="10"/>
    <tableColumn id="4" xr3:uid="{A0D3802B-2C8C-4A18-8970-D383A670E786}" name="Cost (per m2 for unit thickness)" dataDxfId="9">
      <calculatedColumnFormula>B2</calculatedColumnFormula>
    </tableColumn>
    <tableColumn id="6" xr3:uid="{781C6105-6CBC-4496-97F2-F3B85651C231}" name="Fixed Cost/m2" dataDxfId="8"/>
    <tableColumn id="5" xr3:uid="{1D676315-1930-4AA8-982E-7434F4268443}" name="Sourc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19ACC9-777A-40E3-B26D-DDAE1858D3CC}" name="WorkingDB" displayName="WorkingDB" ref="A1:L70" totalsRowShown="0" headerRowDxfId="6">
  <autoFilter ref="A1:L70" xr:uid="{9919ACC9-777A-40E3-B26D-DDAE1858D3CC}"/>
  <sortState xmlns:xlrd2="http://schemas.microsoft.com/office/spreadsheetml/2017/richdata2" ref="A2:L40">
    <sortCondition ref="A1:A40"/>
  </sortState>
  <tableColumns count="12">
    <tableColumn id="1" xr3:uid="{9525B202-9BA1-4E5F-A2D4-5D34BC4D49FB}" name="Material"/>
    <tableColumn id="2" xr3:uid="{94980078-159D-4921-8363-3F74A634CE71}" name="Conductivity_x000a_(W/mK)"/>
    <tableColumn id="3" xr3:uid="{08B339BF-6507-4710-BAFF-1C037B4A71A2}" name="Sp Heat _x000a_(J/kgK)"/>
    <tableColumn id="4" xr3:uid="{11128BAD-17AB-482E-8D61-3DFEFF751026}" name="Density_x000a_(kg/m3)"/>
    <tableColumn id="5" xr3:uid="{2050B36E-6F85-4639-8F43-798078F4A01B}" name="Thermal Absorptance"/>
    <tableColumn id="6" xr3:uid="{E8D968FF-0614-4BC4-A9C5-1B55F734DFAB}" name="Solar Absorptance"/>
    <tableColumn id="7" xr3:uid="{18F2EF1C-D54D-40A5-B82E-FC925BF0144C}" name="Cost _x000a_(Rs/m2 of Surface Area for 1m thickness)">
      <calculatedColumnFormula>VLOOKUP(WorkingDB[[#This Row],[Material]],CostDB[#Data],4,FALSE)</calculatedColumnFormula>
    </tableColumn>
    <tableColumn id="8" xr3:uid="{975AF750-E3AC-4BB7-B7CC-9ABD6A7C482A}" name="Thermal Diffusivity_x000a_(m2/s)" dataDxfId="5">
      <calculatedColumnFormula>B2/(D2*C2)</calculatedColumnFormula>
    </tableColumn>
    <tableColumn id="9" xr3:uid="{985080FA-E5BA-44B7-B505-26E1B2AA07A4}" name="Effusivity"/>
    <tableColumn id="10" xr3:uid="{0B776817-F024-45AD-A147-9B0C2812A3E1}" name="Compressive Strength_x000a_(N/mm2)"/>
    <tableColumn id="11" xr3:uid="{1076BECA-B380-44D4-886D-556E975C1798}" name="Embodied Energy"/>
    <tableColumn id="12" xr3:uid="{9CC02990-9A13-4516-AD63-A5D02B225ECB}" name="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F59487-4868-4B73-A0EA-3FBBB5F3EDAB}" name="Table76" displayName="Table76" ref="A1:I35" totalsRowShown="0">
  <autoFilter ref="A1:I35" xr:uid="{4EF59487-4868-4B73-A0EA-3FBBB5F3EDAB}"/>
  <tableColumns count="9">
    <tableColumn id="2" xr3:uid="{01CFB6FC-0F8C-4A63-94FE-0EC5D1467A3F}" name="Glass Type"/>
    <tableColumn id="3" xr3:uid="{DA479A64-18F2-407E-BFE2-4B94CF85747C}" name="U-value (COG)"/>
    <tableColumn id="4" xr3:uid="{BB74D783-B5DC-4AE2-85D5-60A7231996E1}" name="GLASS-CONDUCT"/>
    <tableColumn id="6" xr3:uid="{8759EF74-95D6-4753-99BF-A7DB4DD1B597}" name="VIS-TRANS"/>
    <tableColumn id="5" xr3:uid="{0CF51170-62CE-419D-8E4C-82459E58DAB2}" name="Climate"/>
    <tableColumn id="8" xr3:uid="{B0A1CC73-DDC9-4F92-876A-67DF0B25D0CE}" name="U-Value(IP)" dataDxfId="4">
      <calculatedColumnFormula>Table76[[#This Row],[U-value (COG)]]/5.67</calculatedColumnFormula>
    </tableColumn>
    <tableColumn id="9" xr3:uid="{6FDD2159-EE42-4E1B-BC9D-A8175C99276F}" name="SHADING-COEF" dataDxfId="3">
      <calculatedColumnFormula>Table76[[#This Row],[GLASS-CONDUCT]]/0.87</calculatedColumnFormula>
    </tableColumn>
    <tableColumn id="10" xr3:uid="{A4747B72-B32D-46E0-AE1A-BF46A179B2F9}" name="Glass">
      <calculatedColumnFormula>IF(Table76[[#This Row],[Glass Type]]="Double Glazed","DG","SG")</calculatedColumnFormula>
    </tableColumn>
    <tableColumn id="11" xr3:uid="{0790EAAE-3AEB-4334-B47E-D050FCCFCFEA}" name="GLASS-TYPE" dataDxfId="2">
      <calculatedColumnFormula>CONCATENATE("ML_",Table76[[#This Row],[Glass]],"_",ROUND(Table76[[#This Row],[U-Value(IP)]],2),"_",ROUND(Table76[[#This Row],[SHADING-COEF]],2),"_",Table76[[#This Row],[VIS-TRANS]],"_",Table76[[#This Row],[Climate]])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0ADBF4-B2DA-4035-897D-F641CDD22CF3}" name="Table2" displayName="Table2" ref="A1:A9" totalsRowShown="0">
  <autoFilter ref="A1:A9" xr:uid="{F10ADBF4-B2DA-4035-897D-F641CDD22CF3}"/>
  <tableColumns count="1">
    <tableColumn id="1" xr3:uid="{90351DAE-9542-4994-A7FF-2C7C289AB37A}" name="Rotate">
      <calculatedColumnFormula>A1+45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804EA-E833-4307-8D6E-7AF2C304EA9C}" name="Table1" displayName="Table1" ref="A1:D9" totalsRowShown="0">
  <autoFilter ref="A1:D9" xr:uid="{FC8804EA-E833-4307-8D6E-7AF2C304EA9C}"/>
  <tableColumns count="4">
    <tableColumn id="1" xr3:uid="{39295F07-7422-43CF-9503-17B7516C270D}" name="City"/>
    <tableColumn id="2" xr3:uid="{4B67687B-2367-4D5B-A25A-758174273438}" name="Climate"/>
    <tableColumn id="3" xr3:uid="{0CAD6D7E-3096-4AA8-800E-0C3F2B93425F}" name="North-South"/>
    <tableColumn id="4" xr3:uid="{E638D2B3-2582-4DE5-BD15-EC29A024453E}" name="Climate fi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CBEFD6-C690-4392-9E00-A57EA1D837F1}" name="Table3" displayName="Table3" ref="A1:A7" totalsRowShown="0">
  <autoFilter ref="A1:A7" xr:uid="{1ECBEFD6-C690-4392-9E00-A57EA1D837F1}"/>
  <tableColumns count="1">
    <tableColumn id="1" xr3:uid="{F43D31B6-CEF5-42F6-83C7-ACFFCC3759C8}" name="Improve by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BCF86D-2F0B-43CD-BA47-C740E0D51680}" name="Table35" displayName="Table35" ref="A1:A5" totalsRowShown="0">
  <autoFilter ref="A1:A5" xr:uid="{81BCF86D-2F0B-43CD-BA47-C740E0D51680}"/>
  <tableColumns count="1">
    <tableColumn id="1" xr3:uid="{2F1C8718-BF3F-4453-BBC7-A276CA22E0E5}" name="Improve by" dataDxfId="0">
      <calculatedColumnFormula>A1+0.05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9E60-EB94-4798-9879-536ADA75515D}">
  <dimension ref="A1:I93"/>
  <sheetViews>
    <sheetView workbookViewId="0">
      <selection sqref="A1:I1"/>
    </sheetView>
  </sheetViews>
  <sheetFormatPr defaultRowHeight="14.4" x14ac:dyDescent="0.3"/>
  <cols>
    <col min="9" max="9" width="18.21875" bestFit="1" customWidth="1"/>
  </cols>
  <sheetData>
    <row r="1" spans="1: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3">
      <c r="A2">
        <v>1</v>
      </c>
      <c r="B2" t="s">
        <v>36</v>
      </c>
      <c r="C2" s="4">
        <v>0.98</v>
      </c>
      <c r="D2">
        <f>MaterialSourceENS[[#This Row],[KJ/kgK]]*1000</f>
        <v>800</v>
      </c>
      <c r="E2">
        <v>1920</v>
      </c>
      <c r="F2">
        <v>0.8</v>
      </c>
      <c r="G2">
        <v>1</v>
      </c>
      <c r="I2" t="s">
        <v>37</v>
      </c>
    </row>
    <row r="3" spans="1:9" x14ac:dyDescent="0.3">
      <c r="A3">
        <v>2</v>
      </c>
      <c r="B3" t="s">
        <v>36</v>
      </c>
      <c r="C3" s="4">
        <v>0.85</v>
      </c>
      <c r="D3" t="e">
        <f>MaterialSourceENS[[#This Row],[KJ/kgK]]*1000</f>
        <v>#VALUE!</v>
      </c>
      <c r="E3">
        <v>1760</v>
      </c>
      <c r="F3" t="s">
        <v>38</v>
      </c>
      <c r="G3">
        <v>1</v>
      </c>
      <c r="I3" t="s">
        <v>37</v>
      </c>
    </row>
    <row r="4" spans="1:9" x14ac:dyDescent="0.3">
      <c r="A4">
        <v>3</v>
      </c>
      <c r="B4" t="s">
        <v>36</v>
      </c>
      <c r="C4" s="4">
        <v>0.74</v>
      </c>
      <c r="D4" t="e">
        <f>MaterialSourceENS[[#This Row],[KJ/kgK]]*1000</f>
        <v>#VALUE!</v>
      </c>
      <c r="E4">
        <v>1600</v>
      </c>
      <c r="F4" t="s">
        <v>38</v>
      </c>
      <c r="G4">
        <v>1</v>
      </c>
      <c r="I4" t="s">
        <v>37</v>
      </c>
    </row>
    <row r="5" spans="1:9" x14ac:dyDescent="0.3">
      <c r="A5">
        <v>4</v>
      </c>
      <c r="B5" t="s">
        <v>36</v>
      </c>
      <c r="C5" s="4">
        <v>0.62</v>
      </c>
      <c r="D5" t="e">
        <f>MaterialSourceENS[[#This Row],[KJ/kgK]]*1000</f>
        <v>#VALUE!</v>
      </c>
      <c r="E5">
        <v>1440</v>
      </c>
      <c r="F5" t="s">
        <v>38</v>
      </c>
      <c r="G5">
        <v>1</v>
      </c>
      <c r="I5" t="s">
        <v>37</v>
      </c>
    </row>
    <row r="6" spans="1:9" x14ac:dyDescent="0.3">
      <c r="A6">
        <v>5</v>
      </c>
      <c r="B6" t="s">
        <v>39</v>
      </c>
      <c r="C6" s="4">
        <v>0.63100000000000001</v>
      </c>
      <c r="D6">
        <f>MaterialSourceENS[[#This Row],[KJ/kgK]]*1000</f>
        <v>650</v>
      </c>
      <c r="E6">
        <v>1520</v>
      </c>
      <c r="F6">
        <v>0.65</v>
      </c>
      <c r="G6">
        <v>4</v>
      </c>
      <c r="I6" t="s">
        <v>37</v>
      </c>
    </row>
    <row r="7" spans="1:9" x14ac:dyDescent="0.3">
      <c r="A7">
        <v>6</v>
      </c>
      <c r="B7" t="s">
        <v>40</v>
      </c>
      <c r="C7" s="4">
        <v>0.85599999999999998</v>
      </c>
      <c r="D7">
        <f>MaterialSourceENS[[#This Row],[KJ/kgK]]*1000</f>
        <v>930</v>
      </c>
      <c r="E7">
        <v>1650</v>
      </c>
      <c r="F7">
        <v>0.93</v>
      </c>
      <c r="G7">
        <v>2</v>
      </c>
      <c r="I7" t="s">
        <v>37</v>
      </c>
    </row>
    <row r="8" spans="1:9" x14ac:dyDescent="0.3">
      <c r="A8">
        <v>7</v>
      </c>
      <c r="B8" t="s">
        <v>41</v>
      </c>
      <c r="C8" s="4">
        <v>1.3959999999999999</v>
      </c>
      <c r="D8">
        <f>MaterialSourceENS[[#This Row],[KJ/kgK]]*1000</f>
        <v>200</v>
      </c>
      <c r="E8">
        <v>2427</v>
      </c>
      <c r="F8">
        <v>0.2</v>
      </c>
      <c r="G8">
        <v>4</v>
      </c>
      <c r="I8" t="s">
        <v>37</v>
      </c>
    </row>
    <row r="9" spans="1:9" x14ac:dyDescent="0.3">
      <c r="A9">
        <v>8</v>
      </c>
      <c r="B9" t="s">
        <v>42</v>
      </c>
      <c r="C9" s="4">
        <v>1.411</v>
      </c>
      <c r="D9">
        <f>MaterialSourceENS[[#This Row],[KJ/kgK]]*1000</f>
        <v>300</v>
      </c>
      <c r="E9">
        <v>2349</v>
      </c>
      <c r="F9">
        <v>0.3</v>
      </c>
      <c r="G9">
        <v>4</v>
      </c>
      <c r="I9" t="s">
        <v>37</v>
      </c>
    </row>
    <row r="10" spans="1:9" x14ac:dyDescent="0.3">
      <c r="A10">
        <v>9</v>
      </c>
      <c r="B10" t="s">
        <v>43</v>
      </c>
      <c r="C10" s="4">
        <v>0.184</v>
      </c>
      <c r="D10">
        <f>MaterialSourceENS[[#This Row],[KJ/kgK]]*1000</f>
        <v>1240</v>
      </c>
      <c r="E10">
        <v>642</v>
      </c>
      <c r="F10">
        <v>1.24</v>
      </c>
      <c r="G10">
        <v>4</v>
      </c>
      <c r="I10" t="s">
        <v>37</v>
      </c>
    </row>
    <row r="11" spans="1:9" x14ac:dyDescent="0.3">
      <c r="A11">
        <v>10</v>
      </c>
      <c r="B11" t="s">
        <v>44</v>
      </c>
      <c r="C11" s="4">
        <v>1.026</v>
      </c>
      <c r="D11">
        <f>MaterialSourceENS[[#This Row],[KJ/kgK]]*1000</f>
        <v>1030</v>
      </c>
      <c r="E11">
        <v>1700</v>
      </c>
      <c r="F11">
        <v>1.03</v>
      </c>
      <c r="G11">
        <v>5</v>
      </c>
      <c r="I11" t="s">
        <v>37</v>
      </c>
    </row>
    <row r="12" spans="1:9" x14ac:dyDescent="0.3">
      <c r="A12">
        <v>11</v>
      </c>
      <c r="B12" t="s">
        <v>45</v>
      </c>
      <c r="C12" s="4">
        <v>1.2010000000000001</v>
      </c>
      <c r="D12">
        <f>MaterialSourceENS[[#This Row],[KJ/kgK]]*1000</f>
        <v>1070</v>
      </c>
      <c r="E12">
        <v>1800</v>
      </c>
      <c r="F12">
        <v>1.07</v>
      </c>
      <c r="G12">
        <v>5</v>
      </c>
      <c r="I12" t="s">
        <v>37</v>
      </c>
    </row>
    <row r="13" spans="1:9" x14ac:dyDescent="0.3">
      <c r="A13">
        <v>12</v>
      </c>
      <c r="B13" t="s">
        <v>46</v>
      </c>
      <c r="C13" s="4">
        <v>1.3029999999999999</v>
      </c>
      <c r="D13">
        <f>MaterialSourceENS[[#This Row],[KJ/kgK]]*1000</f>
        <v>1070</v>
      </c>
      <c r="E13">
        <v>1900</v>
      </c>
      <c r="F13">
        <v>1.07</v>
      </c>
      <c r="G13">
        <v>5</v>
      </c>
      <c r="I13" t="s">
        <v>37</v>
      </c>
    </row>
    <row r="14" spans="1:9" x14ac:dyDescent="0.3">
      <c r="A14">
        <v>13</v>
      </c>
      <c r="B14" t="s">
        <v>47</v>
      </c>
      <c r="C14" s="4">
        <v>1.74</v>
      </c>
      <c r="D14">
        <f>MaterialSourceENS[[#This Row],[KJ/kgK]]*1000</f>
        <v>880</v>
      </c>
      <c r="E14">
        <v>2410</v>
      </c>
      <c r="F14">
        <v>0.88</v>
      </c>
      <c r="G14">
        <v>3</v>
      </c>
      <c r="I14" t="s">
        <v>37</v>
      </c>
    </row>
    <row r="15" spans="1:9" x14ac:dyDescent="0.3">
      <c r="A15">
        <v>14</v>
      </c>
      <c r="B15" t="s">
        <v>48</v>
      </c>
      <c r="C15" s="4">
        <v>1.58</v>
      </c>
      <c r="D15">
        <f>MaterialSourceENS[[#This Row],[KJ/kgK]]*1000</f>
        <v>880</v>
      </c>
      <c r="E15">
        <v>2288</v>
      </c>
      <c r="F15">
        <v>0.88</v>
      </c>
      <c r="G15">
        <v>3</v>
      </c>
      <c r="I15" t="s">
        <v>37</v>
      </c>
    </row>
    <row r="16" spans="1:9" x14ac:dyDescent="0.3">
      <c r="A16">
        <v>15</v>
      </c>
      <c r="B16" t="s">
        <v>49</v>
      </c>
      <c r="C16" s="4">
        <v>0.79800000000000004</v>
      </c>
      <c r="D16">
        <f>MaterialSourceENS[[#This Row],[KJ/kgK]]*1000</f>
        <v>880</v>
      </c>
      <c r="E16">
        <v>1892</v>
      </c>
      <c r="F16">
        <v>0.88</v>
      </c>
      <c r="G16">
        <v>3</v>
      </c>
      <c r="I16" t="s">
        <v>37</v>
      </c>
    </row>
    <row r="17" spans="1:9" x14ac:dyDescent="0.3">
      <c r="A17">
        <v>16</v>
      </c>
      <c r="B17" t="s">
        <v>50</v>
      </c>
      <c r="C17" s="4">
        <v>0.73</v>
      </c>
      <c r="D17">
        <f>MaterialSourceENS[[#This Row],[KJ/kgK]]*1000</f>
        <v>880</v>
      </c>
      <c r="E17">
        <v>1646</v>
      </c>
      <c r="F17">
        <v>0.88</v>
      </c>
      <c r="G17">
        <v>3</v>
      </c>
      <c r="I17" t="s">
        <v>37</v>
      </c>
    </row>
    <row r="18" spans="1:9" x14ac:dyDescent="0.3">
      <c r="A18">
        <v>17</v>
      </c>
      <c r="B18" t="s">
        <v>51</v>
      </c>
      <c r="C18" s="4">
        <v>0.51900000000000002</v>
      </c>
      <c r="D18">
        <f>MaterialSourceENS[[#This Row],[KJ/kgK]]*1000</f>
        <v>880</v>
      </c>
      <c r="E18">
        <v>1622</v>
      </c>
      <c r="F18">
        <v>0.88</v>
      </c>
      <c r="G18">
        <v>3</v>
      </c>
      <c r="I18" t="s">
        <v>37</v>
      </c>
    </row>
    <row r="19" spans="1:9" x14ac:dyDescent="0.3">
      <c r="A19">
        <v>18</v>
      </c>
      <c r="B19" t="s">
        <v>52</v>
      </c>
      <c r="C19" s="4">
        <v>0.71899999999999997</v>
      </c>
      <c r="D19">
        <f>MaterialSourceENS[[#This Row],[KJ/kgK]]*1000</f>
        <v>920</v>
      </c>
      <c r="E19">
        <v>1648</v>
      </c>
      <c r="F19">
        <v>0.92</v>
      </c>
      <c r="G19">
        <v>3</v>
      </c>
      <c r="I19" t="s">
        <v>37</v>
      </c>
    </row>
    <row r="20" spans="1:9" x14ac:dyDescent="0.3">
      <c r="A20">
        <v>19</v>
      </c>
      <c r="B20" t="s">
        <v>53</v>
      </c>
      <c r="C20" s="4">
        <v>0.72099999999999997</v>
      </c>
      <c r="D20">
        <f>MaterialSourceENS[[#This Row],[KJ/kgK]]*1000</f>
        <v>840</v>
      </c>
      <c r="E20">
        <v>1762</v>
      </c>
      <c r="F20">
        <v>0.84</v>
      </c>
      <c r="G20">
        <v>3</v>
      </c>
      <c r="I20" t="s">
        <v>37</v>
      </c>
    </row>
    <row r="21" spans="1:9" x14ac:dyDescent="0.3">
      <c r="A21">
        <v>20</v>
      </c>
      <c r="B21" t="s">
        <v>54</v>
      </c>
      <c r="C21" s="4">
        <v>0.51200000000000001</v>
      </c>
      <c r="D21">
        <f>MaterialSourceENS[[#This Row],[KJ/kgK]]*1000</f>
        <v>960</v>
      </c>
      <c r="E21">
        <v>1120</v>
      </c>
      <c r="F21">
        <v>0.96</v>
      </c>
      <c r="G21">
        <v>3</v>
      </c>
      <c r="I21" t="s">
        <v>37</v>
      </c>
    </row>
    <row r="22" spans="1:9" x14ac:dyDescent="0.3">
      <c r="A22">
        <v>21</v>
      </c>
      <c r="B22" t="s">
        <v>55</v>
      </c>
      <c r="C22" s="4">
        <v>0.188</v>
      </c>
      <c r="D22">
        <f>MaterialSourceENS[[#This Row],[KJ/kgK]]*1000</f>
        <v>1050</v>
      </c>
      <c r="E22">
        <v>704</v>
      </c>
      <c r="F22">
        <v>1.05</v>
      </c>
      <c r="G22">
        <v>3</v>
      </c>
      <c r="I22" t="s">
        <v>37</v>
      </c>
    </row>
    <row r="23" spans="1:9" x14ac:dyDescent="0.3">
      <c r="A23">
        <v>22</v>
      </c>
      <c r="B23" t="s">
        <v>56</v>
      </c>
      <c r="C23" s="4">
        <v>0.245</v>
      </c>
      <c r="D23">
        <f>MaterialSourceENS[[#This Row],[KJ/kgK]]*1000</f>
        <v>840</v>
      </c>
      <c r="E23">
        <v>1520</v>
      </c>
      <c r="F23">
        <v>0.84</v>
      </c>
      <c r="G23">
        <v>3</v>
      </c>
      <c r="I23" t="s">
        <v>37</v>
      </c>
    </row>
    <row r="24" spans="1:9" x14ac:dyDescent="0.3">
      <c r="A24">
        <v>23</v>
      </c>
      <c r="B24" t="s">
        <v>57</v>
      </c>
      <c r="C24" s="4">
        <v>61.06</v>
      </c>
      <c r="D24">
        <f>MaterialSourceENS[[#This Row],[KJ/kgK]]*1000</f>
        <v>500</v>
      </c>
      <c r="E24">
        <v>7520</v>
      </c>
      <c r="F24">
        <v>0.5</v>
      </c>
      <c r="G24">
        <v>3</v>
      </c>
      <c r="I24" t="s">
        <v>37</v>
      </c>
    </row>
    <row r="25" spans="1:9" x14ac:dyDescent="0.3">
      <c r="A25">
        <v>24</v>
      </c>
      <c r="B25" t="s">
        <v>58</v>
      </c>
      <c r="C25" s="4">
        <v>7.1999999999999995E-2</v>
      </c>
      <c r="D25">
        <f>MaterialSourceENS[[#This Row],[KJ/kgK]]*1000</f>
        <v>1680</v>
      </c>
      <c r="E25">
        <v>480</v>
      </c>
      <c r="F25">
        <v>1.68</v>
      </c>
      <c r="G25">
        <v>3</v>
      </c>
      <c r="I25" t="s">
        <v>37</v>
      </c>
    </row>
    <row r="26" spans="1:9" x14ac:dyDescent="0.3">
      <c r="A26">
        <v>25</v>
      </c>
      <c r="B26" t="s">
        <v>58</v>
      </c>
      <c r="C26" s="4">
        <v>0.14399999999999999</v>
      </c>
      <c r="D26">
        <f>MaterialSourceENS[[#This Row],[KJ/kgK]]*1000</f>
        <v>1680</v>
      </c>
      <c r="E26">
        <v>720</v>
      </c>
      <c r="F26">
        <v>1.68</v>
      </c>
      <c r="G26">
        <v>3</v>
      </c>
      <c r="I26" t="s">
        <v>37</v>
      </c>
    </row>
    <row r="27" spans="1:9" x14ac:dyDescent="0.3">
      <c r="A27">
        <v>26</v>
      </c>
      <c r="B27" t="s">
        <v>59</v>
      </c>
      <c r="C27" s="4">
        <v>0.17399999999999999</v>
      </c>
      <c r="D27">
        <f>MaterialSourceENS[[#This Row],[KJ/kgK]]*1000</f>
        <v>1760</v>
      </c>
      <c r="E27">
        <v>640</v>
      </c>
      <c r="F27">
        <v>1.76</v>
      </c>
      <c r="G27">
        <v>3</v>
      </c>
      <c r="I27" t="s">
        <v>37</v>
      </c>
    </row>
    <row r="28" spans="1:9" x14ac:dyDescent="0.3">
      <c r="A28">
        <v>27</v>
      </c>
      <c r="B28" t="s">
        <v>60</v>
      </c>
      <c r="C28" s="4">
        <v>0.81399999999999995</v>
      </c>
      <c r="D28">
        <f>MaterialSourceENS[[#This Row],[KJ/kgK]]*1000</f>
        <v>880</v>
      </c>
      <c r="E28">
        <v>2350</v>
      </c>
      <c r="F28">
        <v>0.88</v>
      </c>
      <c r="G28">
        <v>3</v>
      </c>
      <c r="I28" t="s">
        <v>37</v>
      </c>
    </row>
    <row r="29" spans="1:9" x14ac:dyDescent="0.3">
      <c r="A29">
        <v>28</v>
      </c>
      <c r="B29" t="s">
        <v>61</v>
      </c>
      <c r="C29" s="4">
        <v>0.47899999999999998</v>
      </c>
      <c r="D29">
        <f>MaterialSourceENS[[#This Row],[KJ/kgK]]*1000</f>
        <v>880</v>
      </c>
      <c r="E29" t="s">
        <v>62</v>
      </c>
      <c r="F29">
        <v>0.88</v>
      </c>
      <c r="G29">
        <v>3</v>
      </c>
      <c r="I29" t="s">
        <v>37</v>
      </c>
    </row>
    <row r="30" spans="1:9" x14ac:dyDescent="0.3">
      <c r="A30">
        <v>1</v>
      </c>
      <c r="B30" t="s">
        <v>63</v>
      </c>
      <c r="C30" s="4">
        <v>3.7999999999999999E-2</v>
      </c>
      <c r="D30">
        <f>MaterialSourceENS[[#This Row],[KJ/kgK]]*1000</f>
        <v>1340</v>
      </c>
      <c r="E30">
        <v>16</v>
      </c>
      <c r="F30">
        <v>1.34</v>
      </c>
      <c r="G30">
        <v>3</v>
      </c>
      <c r="I30" t="s">
        <v>64</v>
      </c>
    </row>
    <row r="31" spans="1:9" x14ac:dyDescent="0.3">
      <c r="A31">
        <v>2</v>
      </c>
      <c r="B31" t="s">
        <v>65</v>
      </c>
      <c r="C31" s="4">
        <v>3.5000000000000003E-2</v>
      </c>
      <c r="D31">
        <f>MaterialSourceENS[[#This Row],[KJ/kgK]]*1000</f>
        <v>1340</v>
      </c>
      <c r="E31">
        <v>24</v>
      </c>
      <c r="F31">
        <v>1.34</v>
      </c>
      <c r="G31">
        <v>3</v>
      </c>
      <c r="I31" t="s">
        <v>64</v>
      </c>
    </row>
    <row r="32" spans="1:9" x14ac:dyDescent="0.3">
      <c r="A32">
        <v>3</v>
      </c>
      <c r="B32" t="s">
        <v>66</v>
      </c>
      <c r="C32" s="4">
        <v>3.5000000000000003E-2</v>
      </c>
      <c r="D32">
        <f>MaterialSourceENS[[#This Row],[KJ/kgK]]*1000</f>
        <v>1340</v>
      </c>
      <c r="E32">
        <v>34</v>
      </c>
      <c r="F32">
        <v>1.34</v>
      </c>
      <c r="G32">
        <v>3</v>
      </c>
      <c r="I32" t="s">
        <v>64</v>
      </c>
    </row>
    <row r="33" spans="1:9" x14ac:dyDescent="0.3">
      <c r="A33">
        <v>4</v>
      </c>
      <c r="B33" t="s">
        <v>67</v>
      </c>
      <c r="C33" s="4">
        <v>5.6000000000000001E-2</v>
      </c>
      <c r="D33">
        <f>MaterialSourceENS[[#This Row],[KJ/kgK]]*1000</f>
        <v>750</v>
      </c>
      <c r="E33">
        <v>127</v>
      </c>
      <c r="F33">
        <v>0.75</v>
      </c>
      <c r="G33">
        <v>3</v>
      </c>
      <c r="I33" t="s">
        <v>64</v>
      </c>
    </row>
    <row r="34" spans="1:9" x14ac:dyDescent="0.3">
      <c r="A34">
        <v>5</v>
      </c>
      <c r="B34" t="s">
        <v>68</v>
      </c>
      <c r="C34" s="4">
        <v>5.5E-2</v>
      </c>
      <c r="D34">
        <f>MaterialSourceENS[[#This Row],[KJ/kgK]]*1000</f>
        <v>750</v>
      </c>
      <c r="E34">
        <v>160</v>
      </c>
      <c r="F34">
        <v>0.75</v>
      </c>
      <c r="G34">
        <v>3</v>
      </c>
      <c r="I34" t="s">
        <v>64</v>
      </c>
    </row>
    <row r="35" spans="1:9" x14ac:dyDescent="0.3">
      <c r="A35">
        <v>6</v>
      </c>
      <c r="B35" t="s">
        <v>69</v>
      </c>
      <c r="C35" s="4">
        <v>7.0000000000000007E-2</v>
      </c>
      <c r="D35">
        <f>MaterialSourceENS[[#This Row],[KJ/kgK]]*1000</f>
        <v>920</v>
      </c>
      <c r="E35">
        <v>320</v>
      </c>
      <c r="F35">
        <v>0.92</v>
      </c>
      <c r="G35">
        <v>3</v>
      </c>
      <c r="I35" t="s">
        <v>64</v>
      </c>
    </row>
    <row r="36" spans="1:9" x14ac:dyDescent="0.3">
      <c r="A36">
        <v>7</v>
      </c>
      <c r="B36" t="s">
        <v>70</v>
      </c>
      <c r="C36" s="4">
        <v>8.4000000000000005E-2</v>
      </c>
      <c r="D36">
        <f>MaterialSourceENS[[#This Row],[KJ/kgK]]*1000</f>
        <v>920</v>
      </c>
      <c r="E36">
        <v>400</v>
      </c>
      <c r="F36">
        <v>0.92</v>
      </c>
      <c r="G36">
        <v>3</v>
      </c>
      <c r="I36" t="s">
        <v>64</v>
      </c>
    </row>
    <row r="37" spans="1:9" x14ac:dyDescent="0.3">
      <c r="A37">
        <v>8</v>
      </c>
      <c r="B37" t="s">
        <v>71</v>
      </c>
      <c r="C37" s="4">
        <v>0.14899999999999999</v>
      </c>
      <c r="D37">
        <f>MaterialSourceENS[[#This Row],[KJ/kgK]]*1000</f>
        <v>920</v>
      </c>
      <c r="E37">
        <v>704</v>
      </c>
      <c r="F37">
        <v>0.92</v>
      </c>
      <c r="G37">
        <v>3</v>
      </c>
      <c r="I37" t="s">
        <v>64</v>
      </c>
    </row>
    <row r="38" spans="1:9" x14ac:dyDescent="0.3">
      <c r="A38">
        <v>9</v>
      </c>
      <c r="B38" t="s">
        <v>72</v>
      </c>
      <c r="C38" s="4">
        <v>4.2999999999999997E-2</v>
      </c>
      <c r="D38">
        <f>MaterialSourceENS[[#This Row],[KJ/kgK]]*1000</f>
        <v>960</v>
      </c>
      <c r="E38">
        <v>164</v>
      </c>
      <c r="F38">
        <v>0.96</v>
      </c>
      <c r="G38">
        <v>3</v>
      </c>
      <c r="I38" t="s">
        <v>64</v>
      </c>
    </row>
    <row r="39" spans="1:9" x14ac:dyDescent="0.3">
      <c r="A39">
        <v>10</v>
      </c>
      <c r="B39" t="s">
        <v>73</v>
      </c>
      <c r="C39" s="4">
        <v>4.3999999999999997E-2</v>
      </c>
      <c r="D39">
        <f>MaterialSourceENS[[#This Row],[KJ/kgK]]*1000</f>
        <v>960</v>
      </c>
      <c r="E39">
        <v>192</v>
      </c>
      <c r="F39">
        <v>0.96</v>
      </c>
      <c r="G39">
        <v>3</v>
      </c>
      <c r="I39" t="s">
        <v>64</v>
      </c>
    </row>
    <row r="40" spans="1:9" x14ac:dyDescent="0.3">
      <c r="A40">
        <v>11</v>
      </c>
      <c r="B40" t="s">
        <v>74</v>
      </c>
      <c r="C40" s="4">
        <v>5.5E-2</v>
      </c>
      <c r="D40">
        <f>MaterialSourceENS[[#This Row],[KJ/kgK]]*1000</f>
        <v>960</v>
      </c>
      <c r="E40">
        <v>304</v>
      </c>
      <c r="F40">
        <v>0.96</v>
      </c>
      <c r="G40">
        <v>3</v>
      </c>
      <c r="I40" t="s">
        <v>64</v>
      </c>
    </row>
    <row r="41" spans="1:9" x14ac:dyDescent="0.3">
      <c r="A41">
        <v>12</v>
      </c>
      <c r="B41" t="s">
        <v>75</v>
      </c>
      <c r="C41" s="4">
        <v>4.7E-2</v>
      </c>
      <c r="D41">
        <f>MaterialSourceENS[[#This Row],[KJ/kgK]]*1000</f>
        <v>840</v>
      </c>
      <c r="E41">
        <v>92</v>
      </c>
      <c r="F41">
        <v>0.84</v>
      </c>
      <c r="G41">
        <v>3</v>
      </c>
      <c r="I41" t="s">
        <v>64</v>
      </c>
    </row>
    <row r="42" spans="1:9" x14ac:dyDescent="0.3">
      <c r="A42">
        <v>13</v>
      </c>
      <c r="B42" t="s">
        <v>76</v>
      </c>
      <c r="C42" s="4">
        <v>4.2999999999999997E-2</v>
      </c>
      <c r="D42">
        <f>MaterialSourceENS[[#This Row],[KJ/kgK]]*1000</f>
        <v>840</v>
      </c>
      <c r="E42">
        <v>150</v>
      </c>
      <c r="F42">
        <v>0.84</v>
      </c>
      <c r="G42">
        <v>3</v>
      </c>
      <c r="I42" t="s">
        <v>64</v>
      </c>
    </row>
    <row r="43" spans="1:9" x14ac:dyDescent="0.3">
      <c r="A43">
        <v>14</v>
      </c>
      <c r="B43" t="s">
        <v>77</v>
      </c>
      <c r="C43" s="4">
        <v>0.03</v>
      </c>
      <c r="D43">
        <f>MaterialSourceENS[[#This Row],[KJ/kgK]]*1000</f>
        <v>920</v>
      </c>
      <c r="E43">
        <v>73.5</v>
      </c>
      <c r="F43">
        <v>0.92</v>
      </c>
      <c r="G43">
        <v>3</v>
      </c>
      <c r="I43" t="s">
        <v>64</v>
      </c>
    </row>
    <row r="44" spans="1:9" x14ac:dyDescent="0.3">
      <c r="A44">
        <v>15</v>
      </c>
      <c r="B44" t="s">
        <v>78</v>
      </c>
      <c r="C44" s="4">
        <v>4.2999999999999997E-2</v>
      </c>
      <c r="D44">
        <f>MaterialSourceENS[[#This Row],[KJ/kgK]]*1000</f>
        <v>920</v>
      </c>
      <c r="E44">
        <v>69</v>
      </c>
      <c r="F44">
        <v>0.92</v>
      </c>
      <c r="G44">
        <v>3</v>
      </c>
      <c r="I44" t="s">
        <v>64</v>
      </c>
    </row>
    <row r="45" spans="1:9" x14ac:dyDescent="0.3">
      <c r="A45">
        <v>16</v>
      </c>
      <c r="B45" t="s">
        <v>78</v>
      </c>
      <c r="C45" s="4">
        <v>0.04</v>
      </c>
      <c r="D45">
        <f>MaterialSourceENS[[#This Row],[KJ/kgK]]*1000</f>
        <v>920</v>
      </c>
      <c r="E45">
        <v>189</v>
      </c>
      <c r="F45">
        <v>0.92</v>
      </c>
      <c r="G45">
        <v>3</v>
      </c>
      <c r="I45" t="s">
        <v>64</v>
      </c>
    </row>
    <row r="46" spans="1:9" x14ac:dyDescent="0.3">
      <c r="A46">
        <v>17</v>
      </c>
      <c r="B46" t="s">
        <v>79</v>
      </c>
      <c r="C46" s="4">
        <v>4.2000000000000003E-2</v>
      </c>
      <c r="D46">
        <f>MaterialSourceENS[[#This Row],[KJ/kgK]]*1000</f>
        <v>1000</v>
      </c>
      <c r="E46">
        <v>48</v>
      </c>
      <c r="F46">
        <v>1</v>
      </c>
      <c r="G46">
        <v>3</v>
      </c>
      <c r="I46" t="s">
        <v>64</v>
      </c>
    </row>
    <row r="47" spans="1:9" x14ac:dyDescent="0.3">
      <c r="A47">
        <v>18</v>
      </c>
      <c r="B47" t="s">
        <v>79</v>
      </c>
      <c r="C47" s="4">
        <v>3.7999999999999999E-2</v>
      </c>
      <c r="D47">
        <f>MaterialSourceENS[[#This Row],[KJ/kgK]]*1000</f>
        <v>1000</v>
      </c>
      <c r="E47">
        <v>64</v>
      </c>
      <c r="F47">
        <v>1</v>
      </c>
      <c r="G47">
        <v>3</v>
      </c>
      <c r="I47" t="s">
        <v>64</v>
      </c>
    </row>
    <row r="48" spans="1:9" x14ac:dyDescent="0.3">
      <c r="A48">
        <v>19</v>
      </c>
      <c r="B48" t="s">
        <v>79</v>
      </c>
      <c r="C48" s="4">
        <v>3.5999999999999997E-2</v>
      </c>
      <c r="D48">
        <f>MaterialSourceENS[[#This Row],[KJ/kgK]]*1000</f>
        <v>1000</v>
      </c>
      <c r="E48">
        <v>99</v>
      </c>
      <c r="F48">
        <v>1</v>
      </c>
      <c r="G48">
        <v>3</v>
      </c>
      <c r="I48" t="s">
        <v>64</v>
      </c>
    </row>
    <row r="49" spans="1:9" x14ac:dyDescent="0.3">
      <c r="A49">
        <v>20</v>
      </c>
      <c r="B49" t="s">
        <v>79</v>
      </c>
      <c r="C49" s="4">
        <v>0.04</v>
      </c>
      <c r="D49">
        <f>MaterialSourceENS[[#This Row],[KJ/kgK]]*1000</f>
        <v>1000</v>
      </c>
      <c r="E49">
        <v>16</v>
      </c>
      <c r="F49">
        <v>1</v>
      </c>
      <c r="G49">
        <v>3</v>
      </c>
      <c r="I49" t="s">
        <v>64</v>
      </c>
    </row>
    <row r="50" spans="1:9" x14ac:dyDescent="0.3">
      <c r="A50">
        <v>21</v>
      </c>
      <c r="B50" t="s">
        <v>79</v>
      </c>
      <c r="C50" s="4">
        <v>3.5999999999999997E-2</v>
      </c>
      <c r="D50">
        <f>MaterialSourceENS[[#This Row],[KJ/kgK]]*1000</f>
        <v>1000</v>
      </c>
      <c r="E50">
        <v>24</v>
      </c>
      <c r="F50">
        <v>1</v>
      </c>
      <c r="G50">
        <v>3</v>
      </c>
      <c r="I50" t="s">
        <v>64</v>
      </c>
    </row>
    <row r="51" spans="1:9" x14ac:dyDescent="0.3">
      <c r="A51">
        <v>22</v>
      </c>
      <c r="B51" t="s">
        <v>80</v>
      </c>
      <c r="C51" s="4">
        <v>6.9000000000000006E-2</v>
      </c>
      <c r="D51">
        <f>MaterialSourceENS[[#This Row],[KJ/kgK]]*1000</f>
        <v>880</v>
      </c>
      <c r="E51">
        <v>264</v>
      </c>
      <c r="F51">
        <v>0.88</v>
      </c>
      <c r="G51">
        <v>3</v>
      </c>
      <c r="I51" t="s">
        <v>64</v>
      </c>
    </row>
    <row r="52" spans="1:9" x14ac:dyDescent="0.3">
      <c r="A52">
        <v>23</v>
      </c>
      <c r="B52" t="s">
        <v>81</v>
      </c>
      <c r="C52" s="4">
        <v>0.249</v>
      </c>
      <c r="D52">
        <f>MaterialSourceENS[[#This Row],[KJ/kgK]]*1000</f>
        <v>840</v>
      </c>
      <c r="E52">
        <v>1397</v>
      </c>
      <c r="F52">
        <v>0.84</v>
      </c>
      <c r="G52">
        <v>3</v>
      </c>
      <c r="I52" t="s">
        <v>64</v>
      </c>
    </row>
    <row r="53" spans="1:9" x14ac:dyDescent="0.3">
      <c r="A53">
        <v>24</v>
      </c>
      <c r="B53" t="s">
        <v>82</v>
      </c>
      <c r="C53" s="4">
        <v>0.27900000000000003</v>
      </c>
      <c r="D53">
        <f>MaterialSourceENS[[#This Row],[KJ/kgK]]*1000</f>
        <v>1420</v>
      </c>
      <c r="E53">
        <v>979</v>
      </c>
      <c r="F53">
        <v>1.42</v>
      </c>
      <c r="G53">
        <v>3</v>
      </c>
      <c r="I53" t="s">
        <v>64</v>
      </c>
    </row>
    <row r="54" spans="1:9" x14ac:dyDescent="0.3">
      <c r="A54">
        <v>25</v>
      </c>
      <c r="B54" t="s">
        <v>83</v>
      </c>
      <c r="C54" s="4">
        <v>5.7000000000000002E-2</v>
      </c>
      <c r="D54">
        <f>MaterialSourceENS[[#This Row],[KJ/kgK]]*1000</f>
        <v>1300</v>
      </c>
      <c r="E54">
        <v>310</v>
      </c>
      <c r="F54">
        <v>1.3</v>
      </c>
      <c r="G54">
        <v>3</v>
      </c>
      <c r="I54" t="s">
        <v>64</v>
      </c>
    </row>
    <row r="55" spans="1:9" x14ac:dyDescent="0.3">
      <c r="A55">
        <v>26</v>
      </c>
      <c r="B55" t="s">
        <v>84</v>
      </c>
      <c r="C55" s="4">
        <v>6.6000000000000003E-2</v>
      </c>
      <c r="D55">
        <f>MaterialSourceENS[[#This Row],[KJ/kgK]]*1000</f>
        <v>1300</v>
      </c>
      <c r="E55">
        <v>320</v>
      </c>
      <c r="F55">
        <v>1.3</v>
      </c>
      <c r="G55">
        <v>3</v>
      </c>
      <c r="I55" t="s">
        <v>64</v>
      </c>
    </row>
    <row r="56" spans="1:9" x14ac:dyDescent="0.3">
      <c r="A56">
        <v>27</v>
      </c>
      <c r="B56" t="s">
        <v>84</v>
      </c>
      <c r="C56" s="4">
        <v>4.7E-2</v>
      </c>
      <c r="D56">
        <f>MaterialSourceENS[[#This Row],[KJ/kgK]]*1000</f>
        <v>1300</v>
      </c>
      <c r="E56">
        <v>249</v>
      </c>
      <c r="F56">
        <v>1.3</v>
      </c>
      <c r="G56">
        <v>3</v>
      </c>
      <c r="I56" t="s">
        <v>64</v>
      </c>
    </row>
    <row r="57" spans="1:9" x14ac:dyDescent="0.3">
      <c r="A57">
        <v>28</v>
      </c>
      <c r="B57" t="s">
        <v>85</v>
      </c>
      <c r="C57" s="4">
        <v>4.7E-2</v>
      </c>
      <c r="D57">
        <f>MaterialSourceENS[[#This Row],[KJ/kgK]]*1000</f>
        <v>1260</v>
      </c>
      <c r="E57">
        <v>262</v>
      </c>
      <c r="F57">
        <v>1.26</v>
      </c>
      <c r="G57">
        <v>3</v>
      </c>
      <c r="I57" t="s">
        <v>64</v>
      </c>
    </row>
    <row r="58" spans="1:9" x14ac:dyDescent="0.3">
      <c r="A58">
        <v>29</v>
      </c>
      <c r="B58" t="s">
        <v>86</v>
      </c>
      <c r="C58" s="4">
        <v>6.7000000000000004E-2</v>
      </c>
      <c r="D58">
        <f>MaterialSourceENS[[#This Row],[KJ/kgK]]*1000</f>
        <v>1260</v>
      </c>
      <c r="E58">
        <v>432</v>
      </c>
      <c r="F58">
        <v>1.26</v>
      </c>
      <c r="G58">
        <v>3</v>
      </c>
      <c r="I58" t="s">
        <v>64</v>
      </c>
    </row>
    <row r="59" spans="1:9" x14ac:dyDescent="0.3">
      <c r="A59">
        <v>30</v>
      </c>
      <c r="B59" t="s">
        <v>87</v>
      </c>
      <c r="C59" s="4">
        <v>6.6000000000000003E-2</v>
      </c>
      <c r="D59">
        <f>MaterialSourceENS[[#This Row],[KJ/kgK]]*1000</f>
        <v>1260</v>
      </c>
      <c r="E59">
        <v>352</v>
      </c>
      <c r="F59">
        <v>1.26</v>
      </c>
      <c r="G59">
        <v>3</v>
      </c>
      <c r="I59" t="s">
        <v>64</v>
      </c>
    </row>
    <row r="60" spans="1:9" x14ac:dyDescent="0.3">
      <c r="A60">
        <v>31</v>
      </c>
      <c r="B60" t="s">
        <v>88</v>
      </c>
      <c r="C60" s="4">
        <v>9.8000000000000004E-2</v>
      </c>
      <c r="D60">
        <f>MaterialSourceENS[[#This Row],[KJ/kgK]]*1000</f>
        <v>1300</v>
      </c>
      <c r="E60">
        <v>750</v>
      </c>
      <c r="F60">
        <v>1.3</v>
      </c>
      <c r="G60">
        <v>3</v>
      </c>
      <c r="I60" t="s">
        <v>64</v>
      </c>
    </row>
    <row r="61" spans="1:9" x14ac:dyDescent="0.3">
      <c r="A61">
        <v>32</v>
      </c>
      <c r="B61" t="s">
        <v>89</v>
      </c>
      <c r="C61" s="4">
        <v>0.06</v>
      </c>
      <c r="D61">
        <f>MaterialSourceENS[[#This Row],[KJ/kgK]]*1000</f>
        <v>1090</v>
      </c>
      <c r="E61">
        <v>520</v>
      </c>
      <c r="F61">
        <v>1.0900000000000001</v>
      </c>
      <c r="G61">
        <v>3</v>
      </c>
      <c r="I61" t="s">
        <v>64</v>
      </c>
    </row>
    <row r="62" spans="1:9" x14ac:dyDescent="0.3">
      <c r="A62">
        <v>33</v>
      </c>
      <c r="B62" t="s">
        <v>90</v>
      </c>
      <c r="C62" s="4">
        <v>6.7000000000000004E-2</v>
      </c>
      <c r="D62">
        <f>MaterialSourceENS[[#This Row],[KJ/kgK]]*1000</f>
        <v>1090</v>
      </c>
      <c r="E62">
        <v>329</v>
      </c>
      <c r="F62">
        <v>1.0900000000000001</v>
      </c>
      <c r="G62">
        <v>3</v>
      </c>
      <c r="I62" t="s">
        <v>64</v>
      </c>
    </row>
    <row r="63" spans="1:9" x14ac:dyDescent="0.3">
      <c r="A63">
        <v>34</v>
      </c>
      <c r="B63" t="s">
        <v>91</v>
      </c>
      <c r="C63" s="4">
        <v>8.1000000000000003E-2</v>
      </c>
      <c r="D63">
        <f>MaterialSourceENS[[#This Row],[KJ/kgK]]*1000</f>
        <v>1130</v>
      </c>
      <c r="E63">
        <v>398</v>
      </c>
      <c r="F63">
        <v>1.1299999999999999</v>
      </c>
      <c r="G63">
        <v>3</v>
      </c>
      <c r="I63" t="s">
        <v>64</v>
      </c>
    </row>
    <row r="64" spans="1:9" x14ac:dyDescent="0.3">
      <c r="A64">
        <v>35</v>
      </c>
      <c r="B64" t="s">
        <v>91</v>
      </c>
      <c r="C64" s="4">
        <v>0.108</v>
      </c>
      <c r="D64">
        <f>MaterialSourceENS[[#This Row],[KJ/kgK]]*1000</f>
        <v>1130</v>
      </c>
      <c r="E64">
        <v>674</v>
      </c>
      <c r="F64">
        <v>1.1299999999999999</v>
      </c>
      <c r="G64">
        <v>3</v>
      </c>
      <c r="I64" t="s">
        <v>64</v>
      </c>
    </row>
    <row r="65" spans="1:9" x14ac:dyDescent="0.3">
      <c r="A65">
        <v>36</v>
      </c>
      <c r="B65" t="s">
        <v>92</v>
      </c>
      <c r="C65" s="4">
        <v>3.7999999999999999E-2</v>
      </c>
      <c r="D65">
        <f>MaterialSourceENS[[#This Row],[KJ/kgK]]*1000</f>
        <v>1000</v>
      </c>
      <c r="E65">
        <v>97</v>
      </c>
      <c r="F65">
        <v>1</v>
      </c>
      <c r="G65">
        <v>3</v>
      </c>
      <c r="I65" t="s">
        <v>64</v>
      </c>
    </row>
    <row r="66" spans="1:9" x14ac:dyDescent="0.3">
      <c r="A66">
        <v>37</v>
      </c>
      <c r="B66" t="s">
        <v>93</v>
      </c>
      <c r="C66" s="4">
        <v>5.0999999999999997E-2</v>
      </c>
      <c r="D66">
        <f>MaterialSourceENS[[#This Row],[KJ/kgK]]*1000</f>
        <v>1000</v>
      </c>
      <c r="E66">
        <v>188</v>
      </c>
      <c r="F66">
        <v>1</v>
      </c>
      <c r="G66">
        <v>3</v>
      </c>
      <c r="I66" t="s">
        <v>64</v>
      </c>
    </row>
    <row r="67" spans="1:9" x14ac:dyDescent="0.3">
      <c r="A67">
        <v>38</v>
      </c>
      <c r="B67" t="s">
        <v>94</v>
      </c>
      <c r="C67" s="4">
        <v>5.0999999999999997E-2</v>
      </c>
      <c r="D67">
        <f>MaterialSourceENS[[#This Row],[KJ/kgK]]*1000</f>
        <v>1000</v>
      </c>
      <c r="E67">
        <v>120</v>
      </c>
      <c r="F67">
        <v>1</v>
      </c>
      <c r="G67">
        <v>3</v>
      </c>
      <c r="I67" t="s">
        <v>64</v>
      </c>
    </row>
    <row r="68" spans="1:9" x14ac:dyDescent="0.3">
      <c r="A68">
        <v>39</v>
      </c>
      <c r="B68" t="s">
        <v>95</v>
      </c>
      <c r="C68" s="4">
        <v>4.2000000000000003E-2</v>
      </c>
      <c r="D68">
        <f>MaterialSourceENS[[#This Row],[KJ/kgK]]*1000</f>
        <v>880</v>
      </c>
      <c r="E68">
        <v>291</v>
      </c>
      <c r="F68">
        <v>0.88</v>
      </c>
      <c r="G68">
        <v>3</v>
      </c>
      <c r="I68" t="s">
        <v>64</v>
      </c>
    </row>
    <row r="69" spans="1:9" x14ac:dyDescent="0.3">
      <c r="A69">
        <v>40</v>
      </c>
      <c r="B69" t="s">
        <v>96</v>
      </c>
      <c r="C69" s="4">
        <v>4.2999999999999997E-2</v>
      </c>
      <c r="D69">
        <f>MaterialSourceENS[[#This Row],[KJ/kgK]]*1000</f>
        <v>1200</v>
      </c>
      <c r="E69" t="s">
        <v>97</v>
      </c>
      <c r="F69">
        <v>1.2</v>
      </c>
      <c r="G69">
        <v>3</v>
      </c>
      <c r="I69" t="s">
        <v>64</v>
      </c>
    </row>
    <row r="70" spans="1:9" x14ac:dyDescent="0.3">
      <c r="A70">
        <v>1</v>
      </c>
      <c r="B70" t="s">
        <v>98</v>
      </c>
      <c r="D70">
        <f>MaterialSourceENS[[#This Row],[KJ/kgK]]*1000</f>
        <v>0</v>
      </c>
      <c r="G70">
        <v>6</v>
      </c>
      <c r="H70">
        <v>0.12</v>
      </c>
      <c r="I70" t="s">
        <v>99</v>
      </c>
    </row>
    <row r="71" spans="1:9" x14ac:dyDescent="0.3">
      <c r="A71">
        <v>2</v>
      </c>
      <c r="B71" t="s">
        <v>100</v>
      </c>
      <c r="D71">
        <f>MaterialSourceENS[[#This Row],[KJ/kgK]]*1000</f>
        <v>0</v>
      </c>
      <c r="G71">
        <v>6</v>
      </c>
      <c r="H71">
        <v>0.12</v>
      </c>
      <c r="I71" t="s">
        <v>99</v>
      </c>
    </row>
    <row r="72" spans="1:9" x14ac:dyDescent="0.3">
      <c r="A72">
        <v>3</v>
      </c>
      <c r="B72" t="s">
        <v>101</v>
      </c>
      <c r="D72">
        <f>MaterialSourceENS[[#This Row],[KJ/kgK]]*1000</f>
        <v>0</v>
      </c>
      <c r="G72">
        <v>6</v>
      </c>
      <c r="H72">
        <v>0.14000000000000001</v>
      </c>
      <c r="I72" t="s">
        <v>99</v>
      </c>
    </row>
    <row r="73" spans="1:9" x14ac:dyDescent="0.3">
      <c r="A73">
        <v>4</v>
      </c>
      <c r="B73" t="s">
        <v>102</v>
      </c>
      <c r="D73">
        <f>MaterialSourceENS[[#This Row],[KJ/kgK]]*1000</f>
        <v>0</v>
      </c>
      <c r="G73">
        <v>6</v>
      </c>
      <c r="H73">
        <v>0.16</v>
      </c>
      <c r="I73" t="s">
        <v>99</v>
      </c>
    </row>
    <row r="74" spans="1:9" x14ac:dyDescent="0.3">
      <c r="A74">
        <v>5</v>
      </c>
      <c r="B74" t="s">
        <v>103</v>
      </c>
      <c r="D74">
        <f>MaterialSourceENS[[#This Row],[KJ/kgK]]*1000</f>
        <v>0</v>
      </c>
      <c r="G74">
        <v>6</v>
      </c>
      <c r="H74">
        <v>0.18</v>
      </c>
      <c r="I74" t="s">
        <v>99</v>
      </c>
    </row>
    <row r="75" spans="1:9" x14ac:dyDescent="0.3">
      <c r="A75">
        <v>6</v>
      </c>
      <c r="B75" t="s">
        <v>104</v>
      </c>
      <c r="D75">
        <f>MaterialSourceENS[[#This Row],[KJ/kgK]]*1000</f>
        <v>0</v>
      </c>
      <c r="G75">
        <v>6</v>
      </c>
      <c r="H75">
        <v>0.18</v>
      </c>
      <c r="I75" t="s">
        <v>99</v>
      </c>
    </row>
    <row r="76" spans="1:9" x14ac:dyDescent="0.3">
      <c r="A76">
        <v>7</v>
      </c>
      <c r="B76" t="s">
        <v>105</v>
      </c>
      <c r="D76">
        <f>MaterialSourceENS[[#This Row],[KJ/kgK]]*1000</f>
        <v>0</v>
      </c>
      <c r="G76">
        <v>6</v>
      </c>
      <c r="H76">
        <v>0.18</v>
      </c>
      <c r="I76" t="s">
        <v>99</v>
      </c>
    </row>
    <row r="77" spans="1:9" x14ac:dyDescent="0.3">
      <c r="A77">
        <v>8</v>
      </c>
      <c r="B77" t="s">
        <v>106</v>
      </c>
      <c r="D77">
        <f>MaterialSourceENS[[#This Row],[KJ/kgK]]*1000</f>
        <v>0</v>
      </c>
      <c r="G77">
        <v>6</v>
      </c>
      <c r="H77">
        <v>0.18</v>
      </c>
      <c r="I77" t="s">
        <v>99</v>
      </c>
    </row>
    <row r="78" spans="1:9" x14ac:dyDescent="0.3">
      <c r="A78">
        <v>9</v>
      </c>
      <c r="B78" t="s">
        <v>107</v>
      </c>
      <c r="D78">
        <f>MaterialSourceENS[[#This Row],[KJ/kgK]]*1000</f>
        <v>0</v>
      </c>
      <c r="G78">
        <v>6</v>
      </c>
      <c r="H78">
        <v>0.1</v>
      </c>
      <c r="I78" t="s">
        <v>99</v>
      </c>
    </row>
    <row r="79" spans="1:9" x14ac:dyDescent="0.3">
      <c r="A79">
        <v>10</v>
      </c>
      <c r="B79" t="s">
        <v>108</v>
      </c>
      <c r="D79">
        <f>MaterialSourceENS[[#This Row],[KJ/kgK]]*1000</f>
        <v>0</v>
      </c>
      <c r="G79">
        <v>6</v>
      </c>
      <c r="H79">
        <v>0.12</v>
      </c>
      <c r="I79" t="s">
        <v>99</v>
      </c>
    </row>
    <row r="80" spans="1:9" x14ac:dyDescent="0.3">
      <c r="A80">
        <v>11</v>
      </c>
      <c r="B80" t="s">
        <v>109</v>
      </c>
      <c r="D80">
        <f>MaterialSourceENS[[#This Row],[KJ/kgK]]*1000</f>
        <v>0</v>
      </c>
      <c r="G80">
        <v>6</v>
      </c>
      <c r="H80">
        <v>0.14000000000000001</v>
      </c>
      <c r="I80" t="s">
        <v>99</v>
      </c>
    </row>
    <row r="81" spans="1:9" x14ac:dyDescent="0.3">
      <c r="A81">
        <v>12</v>
      </c>
      <c r="B81" t="s">
        <v>110</v>
      </c>
      <c r="D81">
        <f>MaterialSourceENS[[#This Row],[KJ/kgK]]*1000</f>
        <v>0</v>
      </c>
      <c r="G81">
        <v>6</v>
      </c>
      <c r="H81">
        <v>0.16</v>
      </c>
      <c r="I81" t="s">
        <v>99</v>
      </c>
    </row>
    <row r="82" spans="1:9" x14ac:dyDescent="0.3">
      <c r="A82">
        <v>13</v>
      </c>
      <c r="B82" t="s">
        <v>111</v>
      </c>
      <c r="D82">
        <f>MaterialSourceENS[[#This Row],[KJ/kgK]]*1000</f>
        <v>0</v>
      </c>
      <c r="G82">
        <v>6</v>
      </c>
      <c r="H82">
        <v>0.18</v>
      </c>
      <c r="I82" t="s">
        <v>99</v>
      </c>
    </row>
    <row r="83" spans="1:9" x14ac:dyDescent="0.3">
      <c r="A83">
        <v>14</v>
      </c>
      <c r="B83" t="s">
        <v>112</v>
      </c>
      <c r="D83">
        <f>MaterialSourceENS[[#This Row],[KJ/kgK]]*1000</f>
        <v>0</v>
      </c>
      <c r="G83">
        <v>6</v>
      </c>
      <c r="H83">
        <v>0.2</v>
      </c>
      <c r="I83" t="s">
        <v>99</v>
      </c>
    </row>
    <row r="84" spans="1:9" x14ac:dyDescent="0.3">
      <c r="A84">
        <v>15</v>
      </c>
      <c r="B84" t="s">
        <v>113</v>
      </c>
      <c r="D84">
        <f>MaterialSourceENS[[#This Row],[KJ/kgK]]*1000</f>
        <v>0</v>
      </c>
      <c r="G84">
        <v>6</v>
      </c>
      <c r="H84">
        <v>0.2</v>
      </c>
      <c r="I84" t="s">
        <v>99</v>
      </c>
    </row>
    <row r="85" spans="1:9" x14ac:dyDescent="0.3">
      <c r="A85">
        <v>16</v>
      </c>
      <c r="B85" t="s">
        <v>114</v>
      </c>
      <c r="D85">
        <f>MaterialSourceENS[[#This Row],[KJ/kgK]]*1000</f>
        <v>0</v>
      </c>
      <c r="G85">
        <v>6</v>
      </c>
      <c r="H85">
        <v>0.21</v>
      </c>
      <c r="I85" t="s">
        <v>99</v>
      </c>
    </row>
    <row r="86" spans="1:9" x14ac:dyDescent="0.3">
      <c r="A86">
        <v>17</v>
      </c>
      <c r="B86" t="s">
        <v>115</v>
      </c>
      <c r="D86">
        <f>MaterialSourceENS[[#This Row],[KJ/kgK]]*1000</f>
        <v>0</v>
      </c>
      <c r="G86">
        <v>6</v>
      </c>
      <c r="H86">
        <v>0.1</v>
      </c>
      <c r="I86" t="s">
        <v>99</v>
      </c>
    </row>
    <row r="87" spans="1:9" x14ac:dyDescent="0.3">
      <c r="A87">
        <v>18</v>
      </c>
      <c r="B87" t="s">
        <v>116</v>
      </c>
      <c r="D87">
        <f>MaterialSourceENS[[#This Row],[KJ/kgK]]*1000</f>
        <v>0</v>
      </c>
      <c r="G87">
        <v>6</v>
      </c>
      <c r="H87">
        <v>0.12</v>
      </c>
      <c r="I87" t="s">
        <v>99</v>
      </c>
    </row>
    <row r="88" spans="1:9" x14ac:dyDescent="0.3">
      <c r="A88">
        <v>19</v>
      </c>
      <c r="B88" t="s">
        <v>117</v>
      </c>
      <c r="D88">
        <f>MaterialSourceENS[[#This Row],[KJ/kgK]]*1000</f>
        <v>0</v>
      </c>
      <c r="G88">
        <v>6</v>
      </c>
      <c r="H88">
        <v>0.14000000000000001</v>
      </c>
      <c r="I88" t="s">
        <v>99</v>
      </c>
    </row>
    <row r="89" spans="1:9" x14ac:dyDescent="0.3">
      <c r="A89">
        <v>20</v>
      </c>
      <c r="B89" t="s">
        <v>118</v>
      </c>
      <c r="D89">
        <f>MaterialSourceENS[[#This Row],[KJ/kgK]]*1000</f>
        <v>0</v>
      </c>
      <c r="G89">
        <v>6</v>
      </c>
      <c r="H89">
        <v>0.16</v>
      </c>
      <c r="I89" t="s">
        <v>99</v>
      </c>
    </row>
    <row r="90" spans="1:9" x14ac:dyDescent="0.3">
      <c r="A90">
        <v>21</v>
      </c>
      <c r="B90" t="s">
        <v>119</v>
      </c>
      <c r="D90">
        <f>MaterialSourceENS[[#This Row],[KJ/kgK]]*1000</f>
        <v>0</v>
      </c>
      <c r="G90">
        <v>6</v>
      </c>
      <c r="H90">
        <v>0.17</v>
      </c>
      <c r="I90" t="s">
        <v>99</v>
      </c>
    </row>
    <row r="91" spans="1:9" x14ac:dyDescent="0.3">
      <c r="A91">
        <v>22</v>
      </c>
      <c r="B91" t="s">
        <v>120</v>
      </c>
      <c r="D91">
        <f>MaterialSourceENS[[#This Row],[KJ/kgK]]*1000</f>
        <v>0</v>
      </c>
      <c r="G91">
        <v>6</v>
      </c>
      <c r="H91">
        <v>0.17</v>
      </c>
      <c r="I91" t="s">
        <v>99</v>
      </c>
    </row>
    <row r="92" spans="1:9" x14ac:dyDescent="0.3">
      <c r="A92">
        <v>23</v>
      </c>
      <c r="B92" t="s">
        <v>121</v>
      </c>
      <c r="D92">
        <f>MaterialSourceENS[[#This Row],[KJ/kgK]]*1000</f>
        <v>0</v>
      </c>
      <c r="G92">
        <v>6</v>
      </c>
      <c r="H92">
        <v>0.17</v>
      </c>
      <c r="I92" t="s">
        <v>99</v>
      </c>
    </row>
    <row r="93" spans="1:9" x14ac:dyDescent="0.3">
      <c r="A93">
        <v>24</v>
      </c>
      <c r="B93" t="s">
        <v>122</v>
      </c>
      <c r="D93">
        <f>MaterialSourceENS[[#This Row],[KJ/kgK]]*1000</f>
        <v>0</v>
      </c>
      <c r="G93">
        <v>6</v>
      </c>
      <c r="H93">
        <v>0.17</v>
      </c>
      <c r="I93" t="s">
        <v>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28CA-D41D-46DF-9EFD-5DD3FEC41131}">
  <dimension ref="A1:D14"/>
  <sheetViews>
    <sheetView workbookViewId="0">
      <selection activeCell="B4" sqref="B4"/>
    </sheetView>
  </sheetViews>
  <sheetFormatPr defaultRowHeight="14.4" x14ac:dyDescent="0.3"/>
  <cols>
    <col min="1" max="1" width="10" bestFit="1" customWidth="1"/>
    <col min="2" max="2" width="12" bestFit="1" customWidth="1"/>
    <col min="3" max="3" width="13.21875" customWidth="1"/>
    <col min="4" max="4" width="12.21875" customWidth="1"/>
  </cols>
  <sheetData>
    <row r="1" spans="1:4" x14ac:dyDescent="0.3">
      <c r="A1" t="s">
        <v>0</v>
      </c>
      <c r="B1" t="s">
        <v>1</v>
      </c>
      <c r="C1" t="s">
        <v>11</v>
      </c>
      <c r="D1" t="s">
        <v>2</v>
      </c>
    </row>
    <row r="2" spans="1:4" x14ac:dyDescent="0.3">
      <c r="A2" t="s">
        <v>8</v>
      </c>
      <c r="B2" t="s">
        <v>4</v>
      </c>
      <c r="C2" t="s">
        <v>12</v>
      </c>
      <c r="D2" t="s">
        <v>20</v>
      </c>
    </row>
    <row r="3" spans="1:4" x14ac:dyDescent="0.3">
      <c r="A3" t="s">
        <v>6</v>
      </c>
      <c r="B3" t="s">
        <v>5</v>
      </c>
      <c r="C3" t="s">
        <v>12</v>
      </c>
      <c r="D3" t="s">
        <v>20</v>
      </c>
    </row>
    <row r="4" spans="1:4" x14ac:dyDescent="0.3">
      <c r="A4" t="s">
        <v>7</v>
      </c>
      <c r="B4" t="s">
        <v>5</v>
      </c>
      <c r="C4" t="s">
        <v>13</v>
      </c>
      <c r="D4" t="s">
        <v>20</v>
      </c>
    </row>
    <row r="5" spans="1:4" x14ac:dyDescent="0.3">
      <c r="A5" t="s">
        <v>10</v>
      </c>
      <c r="B5" t="s">
        <v>9</v>
      </c>
      <c r="C5" t="s">
        <v>12</v>
      </c>
      <c r="D5" t="s">
        <v>20</v>
      </c>
    </row>
    <row r="6" spans="1:4" x14ac:dyDescent="0.3">
      <c r="A6" t="s">
        <v>14</v>
      </c>
      <c r="B6" t="s">
        <v>9</v>
      </c>
      <c r="C6" t="s">
        <v>13</v>
      </c>
      <c r="D6" t="s">
        <v>20</v>
      </c>
    </row>
    <row r="7" spans="1:4" x14ac:dyDescent="0.3">
      <c r="A7" t="s">
        <v>16</v>
      </c>
      <c r="B7" t="s">
        <v>15</v>
      </c>
      <c r="C7" t="s">
        <v>13</v>
      </c>
      <c r="D7" t="s">
        <v>20</v>
      </c>
    </row>
    <row r="8" spans="1:4" x14ac:dyDescent="0.3">
      <c r="A8" t="s">
        <v>17</v>
      </c>
      <c r="B8" t="s">
        <v>19</v>
      </c>
      <c r="C8" t="s">
        <v>12</v>
      </c>
      <c r="D8" t="s">
        <v>20</v>
      </c>
    </row>
    <row r="9" spans="1:4" x14ac:dyDescent="0.3">
      <c r="A9" t="s">
        <v>18</v>
      </c>
      <c r="B9" t="s">
        <v>19</v>
      </c>
      <c r="C9" t="s">
        <v>13</v>
      </c>
      <c r="D9" t="s">
        <v>20</v>
      </c>
    </row>
    <row r="11" spans="1:4" x14ac:dyDescent="0.3">
      <c r="A11" t="s">
        <v>214</v>
      </c>
    </row>
    <row r="12" spans="1:4" x14ac:dyDescent="0.3">
      <c r="A12" t="s">
        <v>215</v>
      </c>
    </row>
    <row r="13" spans="1:4" x14ac:dyDescent="0.3">
      <c r="A13" t="s">
        <v>216</v>
      </c>
    </row>
    <row r="14" spans="1:4" x14ac:dyDescent="0.3">
      <c r="A14" t="s">
        <v>217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3BED-3E8F-456C-98AB-F13D5C86A7D7}">
  <dimension ref="A1:B8"/>
  <sheetViews>
    <sheetView workbookViewId="0">
      <selection activeCell="G8" sqref="G8"/>
    </sheetView>
  </sheetViews>
  <sheetFormatPr defaultRowHeight="14.4" x14ac:dyDescent="0.3"/>
  <cols>
    <col min="1" max="1" width="12.21875" customWidth="1"/>
    <col min="2" max="2" width="15.44140625" customWidth="1"/>
  </cols>
  <sheetData>
    <row r="1" spans="1:2" x14ac:dyDescent="0.3">
      <c r="A1" t="s">
        <v>21</v>
      </c>
      <c r="B1" t="s">
        <v>219</v>
      </c>
    </row>
    <row r="2" spans="1:2" x14ac:dyDescent="0.3">
      <c r="A2" s="1">
        <v>-0.1</v>
      </c>
      <c r="B2">
        <v>-0.1</v>
      </c>
    </row>
    <row r="3" spans="1:2" x14ac:dyDescent="0.3">
      <c r="A3" s="2">
        <f>A2+0.2</f>
        <v>0.1</v>
      </c>
      <c r="B3">
        <v>0.1</v>
      </c>
    </row>
    <row r="4" spans="1:2" x14ac:dyDescent="0.3">
      <c r="A4" s="2">
        <f t="shared" ref="A4:A7" si="0">A3+0.1</f>
        <v>0.2</v>
      </c>
      <c r="B4">
        <v>0.2</v>
      </c>
    </row>
    <row r="5" spans="1:2" x14ac:dyDescent="0.3">
      <c r="A5" s="2">
        <f t="shared" si="0"/>
        <v>0.30000000000000004</v>
      </c>
      <c r="B5">
        <v>0.3</v>
      </c>
    </row>
    <row r="6" spans="1:2" x14ac:dyDescent="0.3">
      <c r="A6" s="2">
        <f t="shared" si="0"/>
        <v>0.4</v>
      </c>
      <c r="B6">
        <v>0.4</v>
      </c>
    </row>
    <row r="7" spans="1:2" x14ac:dyDescent="0.3">
      <c r="A7" s="2">
        <f t="shared" si="0"/>
        <v>0.5</v>
      </c>
      <c r="B7">
        <v>0.5</v>
      </c>
    </row>
    <row r="8" spans="1:2" x14ac:dyDescent="0.3">
      <c r="A8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967-54B3-48D5-88C0-797F50C88DFB}">
  <dimension ref="A1:B8"/>
  <sheetViews>
    <sheetView workbookViewId="0">
      <selection activeCell="G21" sqref="G21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1" spans="1:2" x14ac:dyDescent="0.3">
      <c r="A1" t="s">
        <v>21</v>
      </c>
      <c r="B1" t="s">
        <v>219</v>
      </c>
    </row>
    <row r="2" spans="1:2" x14ac:dyDescent="0.3">
      <c r="A2" s="1">
        <v>-0.2</v>
      </c>
      <c r="B2">
        <v>-0.2</v>
      </c>
    </row>
    <row r="3" spans="1:2" x14ac:dyDescent="0.3">
      <c r="A3" s="2">
        <f>A2+0.1</f>
        <v>-0.1</v>
      </c>
      <c r="B3">
        <v>-0.1</v>
      </c>
    </row>
    <row r="4" spans="1:2" x14ac:dyDescent="0.3">
      <c r="A4" s="2">
        <f>A3+0.2</f>
        <v>0.1</v>
      </c>
      <c r="B4">
        <v>0.1</v>
      </c>
    </row>
    <row r="5" spans="1:2" x14ac:dyDescent="0.3">
      <c r="A5" s="2">
        <f t="shared" ref="A5" si="0">A4+0.1</f>
        <v>0.2</v>
      </c>
      <c r="B5">
        <v>0.2</v>
      </c>
    </row>
    <row r="6" spans="1:2" x14ac:dyDescent="0.3">
      <c r="A6" s="2"/>
    </row>
    <row r="7" spans="1:2" x14ac:dyDescent="0.3">
      <c r="A7" s="2"/>
    </row>
    <row r="8" spans="1:2" x14ac:dyDescent="0.3">
      <c r="A8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F8D6-3241-42AD-A1E3-91489BE3A9E5}">
  <dimension ref="A1"/>
  <sheetViews>
    <sheetView workbookViewId="0">
      <selection activeCell="A16" sqref="A1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A481-2B56-4E73-9CE0-3C373D353A42}">
  <dimension ref="A1:F20"/>
  <sheetViews>
    <sheetView topLeftCell="F2" workbookViewId="0">
      <selection sqref="A1:F20"/>
    </sheetView>
  </sheetViews>
  <sheetFormatPr defaultRowHeight="14.4" x14ac:dyDescent="0.3"/>
  <cols>
    <col min="1" max="1" width="35.5546875" bestFit="1" customWidth="1"/>
    <col min="4" max="4" width="29.77734375" bestFit="1" customWidth="1"/>
    <col min="5" max="5" width="15.21875" bestFit="1" customWidth="1"/>
    <col min="6" max="6" width="246.33203125" bestFit="1" customWidth="1"/>
  </cols>
  <sheetData>
    <row r="1" spans="1:6" x14ac:dyDescent="0.3">
      <c r="A1" t="s">
        <v>28</v>
      </c>
      <c r="B1" t="s">
        <v>123</v>
      </c>
      <c r="C1" t="s">
        <v>124</v>
      </c>
      <c r="D1" t="s">
        <v>125</v>
      </c>
      <c r="E1" t="s">
        <v>126</v>
      </c>
      <c r="F1" t="s">
        <v>33</v>
      </c>
    </row>
    <row r="2" spans="1:6" x14ac:dyDescent="0.3">
      <c r="A2" s="5" t="s">
        <v>43</v>
      </c>
      <c r="B2" s="6">
        <v>7213.5</v>
      </c>
      <c r="C2" t="s">
        <v>127</v>
      </c>
      <c r="D2" s="7">
        <f t="shared" ref="D2:D20" si="0">B2</f>
        <v>7213.5</v>
      </c>
      <c r="E2" s="7">
        <v>0</v>
      </c>
      <c r="F2" t="s">
        <v>128</v>
      </c>
    </row>
    <row r="3" spans="1:6" x14ac:dyDescent="0.3">
      <c r="A3" s="8" t="s">
        <v>49</v>
      </c>
      <c r="B3" s="9">
        <f>549.05/0.075</f>
        <v>7320.6666666666661</v>
      </c>
      <c r="C3" t="s">
        <v>127</v>
      </c>
      <c r="D3" s="7">
        <f t="shared" si="0"/>
        <v>7320.6666666666661</v>
      </c>
      <c r="E3" s="7"/>
      <c r="F3" t="s">
        <v>129</v>
      </c>
    </row>
    <row r="4" spans="1:6" x14ac:dyDescent="0.3">
      <c r="A4" t="s">
        <v>130</v>
      </c>
      <c r="B4" s="9">
        <f>625/(9/1000)</f>
        <v>69444.444444444453</v>
      </c>
      <c r="C4" t="s">
        <v>127</v>
      </c>
      <c r="D4" s="7">
        <f t="shared" si="0"/>
        <v>69444.444444444453</v>
      </c>
      <c r="E4" s="7"/>
      <c r="F4" t="s">
        <v>131</v>
      </c>
    </row>
    <row r="5" spans="1:6" x14ac:dyDescent="0.3">
      <c r="A5" s="8" t="s">
        <v>52</v>
      </c>
      <c r="B5" s="9">
        <v>4355.2</v>
      </c>
      <c r="C5" t="s">
        <v>127</v>
      </c>
      <c r="D5" s="7">
        <f t="shared" si="0"/>
        <v>4355.2</v>
      </c>
      <c r="E5" s="7"/>
      <c r="F5" t="s">
        <v>132</v>
      </c>
    </row>
    <row r="6" spans="1:6" x14ac:dyDescent="0.3">
      <c r="A6" s="8" t="s">
        <v>53</v>
      </c>
      <c r="B6" s="9">
        <f>339.1/0.015</f>
        <v>22606.666666666668</v>
      </c>
      <c r="C6" t="s">
        <v>127</v>
      </c>
      <c r="D6" s="7">
        <f t="shared" si="0"/>
        <v>22606.666666666668</v>
      </c>
      <c r="E6" s="7">
        <v>0</v>
      </c>
      <c r="F6" t="s">
        <v>133</v>
      </c>
    </row>
    <row r="7" spans="1:6" x14ac:dyDescent="0.3">
      <c r="A7" s="8" t="s">
        <v>134</v>
      </c>
      <c r="B7" s="9">
        <f>(25*10.76)/(8/1000)</f>
        <v>33625</v>
      </c>
      <c r="C7" t="s">
        <v>127</v>
      </c>
      <c r="D7" s="7">
        <f t="shared" si="0"/>
        <v>33625</v>
      </c>
      <c r="E7" s="7"/>
    </row>
    <row r="8" spans="1:6" x14ac:dyDescent="0.3">
      <c r="A8" s="8" t="s">
        <v>135</v>
      </c>
      <c r="B8" s="9">
        <f>825/0.12</f>
        <v>6875</v>
      </c>
      <c r="C8" t="s">
        <v>127</v>
      </c>
      <c r="D8" s="7">
        <f t="shared" si="0"/>
        <v>6875</v>
      </c>
      <c r="E8" s="7">
        <f>850.65-550</f>
        <v>300.64999999999998</v>
      </c>
      <c r="F8" t="s">
        <v>136</v>
      </c>
    </row>
    <row r="9" spans="1:6" x14ac:dyDescent="0.3">
      <c r="A9" s="8" t="s">
        <v>137</v>
      </c>
      <c r="B9" s="9">
        <f>825/0.12</f>
        <v>6875</v>
      </c>
      <c r="C9" t="s">
        <v>127</v>
      </c>
      <c r="D9" s="7">
        <f t="shared" si="0"/>
        <v>6875</v>
      </c>
      <c r="E9" s="7">
        <v>978</v>
      </c>
      <c r="F9" t="s">
        <v>138</v>
      </c>
    </row>
    <row r="10" spans="1:6" x14ac:dyDescent="0.3">
      <c r="A10" s="8" t="s">
        <v>139</v>
      </c>
      <c r="B10" s="9">
        <f>550/0.05</f>
        <v>11000</v>
      </c>
      <c r="C10" t="s">
        <v>127</v>
      </c>
      <c r="D10" s="7">
        <f t="shared" si="0"/>
        <v>11000</v>
      </c>
      <c r="E10" s="7">
        <f>850.65-550</f>
        <v>300.64999999999998</v>
      </c>
      <c r="F10" t="s">
        <v>140</v>
      </c>
    </row>
    <row r="11" spans="1:6" x14ac:dyDescent="0.3">
      <c r="A11" s="8" t="s">
        <v>141</v>
      </c>
      <c r="B11" s="9">
        <f>550/0.05</f>
        <v>11000</v>
      </c>
      <c r="C11" t="s">
        <v>127</v>
      </c>
      <c r="D11" s="7">
        <f t="shared" si="0"/>
        <v>11000</v>
      </c>
      <c r="E11" s="7">
        <v>978</v>
      </c>
      <c r="F11" t="s">
        <v>142</v>
      </c>
    </row>
    <row r="12" spans="1:6" x14ac:dyDescent="0.3">
      <c r="A12" s="8" t="s">
        <v>40</v>
      </c>
      <c r="B12" s="9">
        <v>8414.65</v>
      </c>
      <c r="C12" t="s">
        <v>127</v>
      </c>
      <c r="D12" s="7">
        <f t="shared" si="0"/>
        <v>8414.65</v>
      </c>
      <c r="E12" s="7">
        <v>0</v>
      </c>
      <c r="F12" t="s">
        <v>143</v>
      </c>
    </row>
    <row r="13" spans="1:6" x14ac:dyDescent="0.3">
      <c r="A13" s="8" t="s">
        <v>144</v>
      </c>
      <c r="B13" s="9">
        <v>5950</v>
      </c>
      <c r="C13" t="s">
        <v>127</v>
      </c>
      <c r="D13" s="7">
        <f t="shared" si="0"/>
        <v>5950</v>
      </c>
      <c r="E13" s="7"/>
    </row>
    <row r="14" spans="1:6" x14ac:dyDescent="0.3">
      <c r="A14" s="8" t="s">
        <v>38</v>
      </c>
      <c r="B14" s="9">
        <v>0</v>
      </c>
      <c r="D14" s="7">
        <f t="shared" si="0"/>
        <v>0</v>
      </c>
      <c r="E14" s="7"/>
    </row>
    <row r="15" spans="1:6" x14ac:dyDescent="0.3">
      <c r="A15" s="8" t="s">
        <v>145</v>
      </c>
      <c r="B15" s="9">
        <f>385/0.04</f>
        <v>9625</v>
      </c>
      <c r="C15" t="s">
        <v>127</v>
      </c>
      <c r="D15" s="7">
        <f t="shared" si="0"/>
        <v>9625</v>
      </c>
      <c r="E15" s="7"/>
      <c r="F15" t="s">
        <v>146</v>
      </c>
    </row>
    <row r="16" spans="1:6" x14ac:dyDescent="0.3">
      <c r="A16" s="8" t="s">
        <v>147</v>
      </c>
      <c r="B16" s="9">
        <f>385/0.04</f>
        <v>9625</v>
      </c>
      <c r="C16" t="s">
        <v>127</v>
      </c>
      <c r="D16" s="7">
        <f t="shared" si="0"/>
        <v>9625</v>
      </c>
      <c r="E16" s="7">
        <v>978</v>
      </c>
      <c r="F16" t="s">
        <v>148</v>
      </c>
    </row>
    <row r="17" spans="1:6" x14ac:dyDescent="0.3">
      <c r="A17" s="8" t="s">
        <v>48</v>
      </c>
      <c r="B17" s="9">
        <v>10719.3</v>
      </c>
      <c r="C17" t="s">
        <v>127</v>
      </c>
      <c r="D17" s="7">
        <f t="shared" si="0"/>
        <v>10719.3</v>
      </c>
      <c r="E17" s="7">
        <v>766.55</v>
      </c>
      <c r="F17" t="s">
        <v>149</v>
      </c>
    </row>
    <row r="18" spans="1:6" x14ac:dyDescent="0.3">
      <c r="A18" s="8" t="s">
        <v>150</v>
      </c>
      <c r="B18" s="7">
        <v>10185.049999999999</v>
      </c>
      <c r="C18" t="s">
        <v>127</v>
      </c>
      <c r="D18" s="7">
        <f t="shared" si="0"/>
        <v>10185.049999999999</v>
      </c>
      <c r="E18" s="7">
        <v>669.55</v>
      </c>
      <c r="F18" t="s">
        <v>151</v>
      </c>
    </row>
    <row r="19" spans="1:6" x14ac:dyDescent="0.3">
      <c r="A19" s="5" t="s">
        <v>36</v>
      </c>
      <c r="B19" s="6">
        <v>8512.1</v>
      </c>
      <c r="C19" t="s">
        <v>127</v>
      </c>
      <c r="D19" s="7">
        <f t="shared" si="0"/>
        <v>8512.1</v>
      </c>
      <c r="E19" s="7">
        <v>0</v>
      </c>
      <c r="F19" t="s">
        <v>152</v>
      </c>
    </row>
    <row r="20" spans="1:6" x14ac:dyDescent="0.3">
      <c r="A20" s="8" t="s">
        <v>42</v>
      </c>
      <c r="B20" s="9">
        <v>8086.6</v>
      </c>
      <c r="C20" t="s">
        <v>127</v>
      </c>
      <c r="D20" s="7">
        <f t="shared" si="0"/>
        <v>8086.6</v>
      </c>
      <c r="E20" s="7"/>
      <c r="F20" t="s">
        <v>153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2F91-E3C3-440C-B32A-05011A042F20}">
  <dimension ref="A1:L70"/>
  <sheetViews>
    <sheetView workbookViewId="0"/>
  </sheetViews>
  <sheetFormatPr defaultRowHeight="14.4" x14ac:dyDescent="0.3"/>
  <cols>
    <col min="8" max="8" width="9" bestFit="1" customWidth="1"/>
  </cols>
  <sheetData>
    <row r="1" spans="1:12" ht="186.6" thickBot="1" x14ac:dyDescent="0.35">
      <c r="A1" s="10" t="s">
        <v>28</v>
      </c>
      <c r="B1" s="11" t="s">
        <v>154</v>
      </c>
      <c r="C1" s="11" t="s">
        <v>155</v>
      </c>
      <c r="D1" s="11" t="s">
        <v>156</v>
      </c>
      <c r="E1" s="11" t="s">
        <v>157</v>
      </c>
      <c r="F1" s="11" t="s">
        <v>158</v>
      </c>
      <c r="G1" s="11" t="s">
        <v>159</v>
      </c>
      <c r="H1" s="11" t="s">
        <v>160</v>
      </c>
      <c r="I1" s="11" t="s">
        <v>161</v>
      </c>
      <c r="J1" s="11" t="s">
        <v>162</v>
      </c>
      <c r="K1" s="11" t="s">
        <v>163</v>
      </c>
      <c r="L1" s="11" t="s">
        <v>33</v>
      </c>
    </row>
    <row r="2" spans="1:12" x14ac:dyDescent="0.3">
      <c r="A2" s="12" t="s">
        <v>36</v>
      </c>
      <c r="B2">
        <v>0.98</v>
      </c>
      <c r="C2">
        <v>800</v>
      </c>
      <c r="D2">
        <v>1920</v>
      </c>
      <c r="G2" s="13">
        <f>VLOOKUP(WorkingDB[[#This Row],[Material]],CostDB[#Data],4,FALSE)</f>
        <v>8512.1</v>
      </c>
      <c r="H2" s="14">
        <f>B2/(D2*C2)</f>
        <v>6.3802083333333335E-7</v>
      </c>
      <c r="L2" t="s">
        <v>164</v>
      </c>
    </row>
    <row r="3" spans="1:12" x14ac:dyDescent="0.3">
      <c r="A3" t="s">
        <v>56</v>
      </c>
      <c r="B3">
        <v>0.245</v>
      </c>
      <c r="C3">
        <v>840</v>
      </c>
      <c r="D3">
        <v>1520</v>
      </c>
      <c r="G3" s="13" t="e">
        <f>VLOOKUP(WorkingDB[[#This Row],[Material]],CostDB[#Data],4,FALSE)</f>
        <v>#N/A</v>
      </c>
      <c r="H3" s="14">
        <f t="shared" ref="H3:H66" si="0">B3/(D3*C3)</f>
        <v>1.9188596491228069E-7</v>
      </c>
      <c r="L3" t="s">
        <v>165</v>
      </c>
    </row>
    <row r="4" spans="1:12" x14ac:dyDescent="0.3">
      <c r="A4" s="12" t="s">
        <v>43</v>
      </c>
      <c r="B4">
        <v>0.184</v>
      </c>
      <c r="C4">
        <v>1240</v>
      </c>
      <c r="D4">
        <v>642</v>
      </c>
      <c r="G4" s="13">
        <f>VLOOKUP(WorkingDB[[#This Row],[Material]],CostDB[#Data],4,FALSE)</f>
        <v>7213.5</v>
      </c>
      <c r="H4" s="14">
        <f t="shared" si="0"/>
        <v>2.311325494925133E-7</v>
      </c>
      <c r="L4" t="s">
        <v>165</v>
      </c>
    </row>
    <row r="5" spans="1:12" x14ac:dyDescent="0.3">
      <c r="A5" s="12" t="s">
        <v>49</v>
      </c>
      <c r="B5">
        <v>0.79800000000000004</v>
      </c>
      <c r="C5">
        <v>880</v>
      </c>
      <c r="D5">
        <v>1892</v>
      </c>
      <c r="G5" s="13">
        <f>VLOOKUP(WorkingDB[[#This Row],[Material]],CostDB[#Data],4,FALSE)</f>
        <v>7320.6666666666661</v>
      </c>
      <c r="H5" s="14">
        <f t="shared" si="0"/>
        <v>4.792907937728234E-7</v>
      </c>
      <c r="L5" t="s">
        <v>165</v>
      </c>
    </row>
    <row r="6" spans="1:12" x14ac:dyDescent="0.3">
      <c r="A6" t="s">
        <v>55</v>
      </c>
      <c r="B6">
        <v>0.188</v>
      </c>
      <c r="C6">
        <v>1050</v>
      </c>
      <c r="D6">
        <v>704</v>
      </c>
      <c r="G6" s="13" t="e">
        <f>VLOOKUP(WorkingDB[[#This Row],[Material]],CostDB[#Data],4,FALSE)</f>
        <v>#N/A</v>
      </c>
      <c r="H6" s="14">
        <f t="shared" si="0"/>
        <v>2.5432900432900434E-7</v>
      </c>
      <c r="L6" t="s">
        <v>165</v>
      </c>
    </row>
    <row r="7" spans="1:12" x14ac:dyDescent="0.3">
      <c r="A7" t="s">
        <v>130</v>
      </c>
      <c r="B7">
        <v>8.2000000000000003E-2</v>
      </c>
      <c r="C7">
        <v>1300</v>
      </c>
      <c r="D7">
        <v>350</v>
      </c>
      <c r="G7" s="13">
        <f>VLOOKUP(WorkingDB[[#This Row],[Material]],CostDB[#Data],4,FALSE)</f>
        <v>69444.444444444453</v>
      </c>
      <c r="H7" s="14">
        <f t="shared" si="0"/>
        <v>1.8021978021978023E-7</v>
      </c>
      <c r="I7">
        <v>193</v>
      </c>
      <c r="L7" t="s">
        <v>166</v>
      </c>
    </row>
    <row r="8" spans="1:12" x14ac:dyDescent="0.3">
      <c r="A8" t="s">
        <v>52</v>
      </c>
      <c r="B8">
        <v>0.71899999999999997</v>
      </c>
      <c r="C8">
        <v>920</v>
      </c>
      <c r="D8">
        <v>1648</v>
      </c>
      <c r="G8" s="13">
        <f>VLOOKUP(WorkingDB[[#This Row],[Material]],CostDB[#Data],4,FALSE)</f>
        <v>4355.2</v>
      </c>
      <c r="H8" s="14">
        <f t="shared" si="0"/>
        <v>4.7422435626846767E-7</v>
      </c>
      <c r="L8" t="s">
        <v>165</v>
      </c>
    </row>
    <row r="9" spans="1:12" x14ac:dyDescent="0.3">
      <c r="A9" t="s">
        <v>167</v>
      </c>
      <c r="B9">
        <v>0.93</v>
      </c>
      <c r="C9">
        <v>840</v>
      </c>
      <c r="D9">
        <v>1900</v>
      </c>
      <c r="G9" s="13" t="e">
        <f>VLOOKUP(WorkingDB[[#This Row],[Material]],CostDB[#Data],4,FALSE)</f>
        <v>#N/A</v>
      </c>
      <c r="H9" s="14">
        <f t="shared" si="0"/>
        <v>5.827067669172933E-7</v>
      </c>
      <c r="I9">
        <v>1218</v>
      </c>
      <c r="L9" t="s">
        <v>166</v>
      </c>
    </row>
    <row r="10" spans="1:12" x14ac:dyDescent="0.3">
      <c r="A10" s="12" t="s">
        <v>53</v>
      </c>
      <c r="B10">
        <v>0.72099999999999997</v>
      </c>
      <c r="C10">
        <f>1000*0.84</f>
        <v>840</v>
      </c>
      <c r="D10">
        <v>1762</v>
      </c>
      <c r="G10" s="13">
        <f>VLOOKUP(WorkingDB[[#This Row],[Material]],CostDB[#Data],4,FALSE)</f>
        <v>22606.666666666668</v>
      </c>
      <c r="H10" s="14">
        <f t="shared" si="0"/>
        <v>4.8713583049564887E-7</v>
      </c>
      <c r="L10" t="s">
        <v>165</v>
      </c>
    </row>
    <row r="11" spans="1:12" x14ac:dyDescent="0.3">
      <c r="A11" t="s">
        <v>46</v>
      </c>
      <c r="B11">
        <v>1.3029999999999999</v>
      </c>
      <c r="C11">
        <v>1070</v>
      </c>
      <c r="D11">
        <v>1900</v>
      </c>
      <c r="G11" s="13" t="e">
        <f>VLOOKUP(WorkingDB[[#This Row],[Material]],CostDB[#Data],4,FALSE)</f>
        <v>#N/A</v>
      </c>
      <c r="H11" s="14">
        <f t="shared" si="0"/>
        <v>6.4092474176094437E-7</v>
      </c>
      <c r="L11" t="s">
        <v>165</v>
      </c>
    </row>
    <row r="12" spans="1:12" x14ac:dyDescent="0.3">
      <c r="A12" t="s">
        <v>44</v>
      </c>
      <c r="B12">
        <v>1.026</v>
      </c>
      <c r="C12">
        <v>1030</v>
      </c>
      <c r="D12">
        <v>1700</v>
      </c>
      <c r="G12" s="13" t="e">
        <f>VLOOKUP(WorkingDB[[#This Row],[Material]],CostDB[#Data],4,FALSE)</f>
        <v>#N/A</v>
      </c>
      <c r="H12" s="14">
        <f t="shared" si="0"/>
        <v>5.8595088520845228E-7</v>
      </c>
      <c r="L12" t="s">
        <v>165</v>
      </c>
    </row>
    <row r="13" spans="1:12" x14ac:dyDescent="0.3">
      <c r="A13" t="s">
        <v>45</v>
      </c>
      <c r="B13">
        <v>1.2010000000000001</v>
      </c>
      <c r="C13">
        <v>1070</v>
      </c>
      <c r="D13">
        <v>1800</v>
      </c>
      <c r="G13" s="13" t="e">
        <f>VLOOKUP(WorkingDB[[#This Row],[Material]],CostDB[#Data],4,FALSE)</f>
        <v>#N/A</v>
      </c>
      <c r="H13" s="14">
        <f t="shared" si="0"/>
        <v>6.2357217030114234E-7</v>
      </c>
      <c r="L13" t="s">
        <v>165</v>
      </c>
    </row>
    <row r="14" spans="1:12" x14ac:dyDescent="0.3">
      <c r="A14" t="s">
        <v>168</v>
      </c>
      <c r="B14">
        <v>1.28</v>
      </c>
      <c r="C14">
        <v>880</v>
      </c>
      <c r="D14">
        <v>1460</v>
      </c>
      <c r="G14" s="13" t="e">
        <f>VLOOKUP(WorkingDB[[#This Row],[Material]],CostDB[#Data],4,FALSE)</f>
        <v>#N/A</v>
      </c>
      <c r="H14" s="14">
        <f t="shared" si="0"/>
        <v>9.9626400996264012E-7</v>
      </c>
      <c r="I14">
        <v>1282</v>
      </c>
      <c r="L14" t="s">
        <v>166</v>
      </c>
    </row>
    <row r="15" spans="1:12" x14ac:dyDescent="0.3">
      <c r="A15" t="s">
        <v>47</v>
      </c>
      <c r="B15">
        <v>1.74</v>
      </c>
      <c r="C15">
        <v>880</v>
      </c>
      <c r="D15">
        <v>2410</v>
      </c>
      <c r="G15" s="13" t="e">
        <f>VLOOKUP(WorkingDB[[#This Row],[Material]],CostDB[#Data],4,FALSE)</f>
        <v>#N/A</v>
      </c>
      <c r="H15" s="14">
        <f t="shared" si="0"/>
        <v>8.2044511505092413E-7</v>
      </c>
      <c r="L15" t="s">
        <v>165</v>
      </c>
    </row>
    <row r="16" spans="1:12" x14ac:dyDescent="0.3">
      <c r="A16" t="s">
        <v>169</v>
      </c>
      <c r="B16">
        <v>1.2</v>
      </c>
      <c r="C16">
        <v>850</v>
      </c>
      <c r="D16">
        <v>2000</v>
      </c>
      <c r="G16" s="13">
        <f>VLOOKUP(WorkingDB[[#This Row],[Material]],CostDB[#Data],4,FALSE)</f>
        <v>33625</v>
      </c>
      <c r="H16" s="14">
        <f t="shared" si="0"/>
        <v>7.0588235294117645E-7</v>
      </c>
      <c r="I16">
        <v>1428</v>
      </c>
      <c r="L16" t="s">
        <v>166</v>
      </c>
    </row>
    <row r="17" spans="1:12" x14ac:dyDescent="0.3">
      <c r="A17" t="s">
        <v>170</v>
      </c>
      <c r="B17">
        <v>1.119</v>
      </c>
      <c r="C17">
        <v>955.2</v>
      </c>
      <c r="D17">
        <v>2028</v>
      </c>
      <c r="G17" s="13" t="e">
        <f>VLOOKUP(WorkingDB[[#This Row],[Material]],CostDB[#Data],4,FALSE)</f>
        <v>#N/A</v>
      </c>
      <c r="H17" s="14">
        <f t="shared" si="0"/>
        <v>5.7765404933939918E-7</v>
      </c>
      <c r="J17">
        <v>54</v>
      </c>
      <c r="K17" t="s">
        <v>171</v>
      </c>
      <c r="L17" t="s">
        <v>172</v>
      </c>
    </row>
    <row r="18" spans="1:12" x14ac:dyDescent="0.3">
      <c r="A18" t="s">
        <v>173</v>
      </c>
      <c r="B18">
        <v>0.37569999999999998</v>
      </c>
      <c r="C18">
        <v>927.8</v>
      </c>
      <c r="D18">
        <v>1264</v>
      </c>
      <c r="G18" s="13" t="e">
        <f>VLOOKUP(WorkingDB[[#This Row],[Material]],CostDB[#Data],4,FALSE)</f>
        <v>#N/A</v>
      </c>
      <c r="H18" s="14">
        <f t="shared" si="0"/>
        <v>3.2036108283921949E-7</v>
      </c>
      <c r="J18">
        <v>4.16</v>
      </c>
      <c r="K18" t="s">
        <v>174</v>
      </c>
      <c r="L18" t="s">
        <v>175</v>
      </c>
    </row>
    <row r="19" spans="1:12" x14ac:dyDescent="0.3">
      <c r="A19" s="12" t="s">
        <v>40</v>
      </c>
      <c r="B19">
        <v>0.85599999999999998</v>
      </c>
      <c r="C19">
        <v>930</v>
      </c>
      <c r="D19">
        <v>1650</v>
      </c>
      <c r="G19" s="13">
        <f>VLOOKUP(WorkingDB[[#This Row],[Material]],CostDB[#Data],4,FALSE)</f>
        <v>8414.65</v>
      </c>
      <c r="H19" s="14">
        <f t="shared" si="0"/>
        <v>5.5783642880417073E-7</v>
      </c>
      <c r="L19" t="s">
        <v>165</v>
      </c>
    </row>
    <row r="20" spans="1:12" x14ac:dyDescent="0.3">
      <c r="A20" t="s">
        <v>57</v>
      </c>
      <c r="B20">
        <v>61.06</v>
      </c>
      <c r="C20">
        <v>500</v>
      </c>
      <c r="D20">
        <v>7520</v>
      </c>
      <c r="G20" s="13" t="e">
        <f>VLOOKUP(WorkingDB[[#This Row],[Material]],CostDB[#Data],4,FALSE)</f>
        <v>#N/A</v>
      </c>
      <c r="H20" s="14">
        <f t="shared" si="0"/>
        <v>1.6239361702127659E-5</v>
      </c>
      <c r="L20" t="s">
        <v>165</v>
      </c>
    </row>
    <row r="21" spans="1:12" x14ac:dyDescent="0.3">
      <c r="A21" t="s">
        <v>60</v>
      </c>
      <c r="B21">
        <v>0.81399999999999995</v>
      </c>
      <c r="C21">
        <v>880</v>
      </c>
      <c r="D21">
        <v>2350</v>
      </c>
      <c r="G21" s="13" t="e">
        <f>VLOOKUP(WorkingDB[[#This Row],[Material]],CostDB[#Data],4,FALSE)</f>
        <v>#N/A</v>
      </c>
      <c r="H21" s="14">
        <f t="shared" si="0"/>
        <v>3.9361702127659574E-7</v>
      </c>
      <c r="L21" t="s">
        <v>165</v>
      </c>
    </row>
    <row r="22" spans="1:12" x14ac:dyDescent="0.3">
      <c r="A22" t="s">
        <v>54</v>
      </c>
      <c r="B22">
        <v>0.51200000000000001</v>
      </c>
      <c r="C22">
        <v>960</v>
      </c>
      <c r="D22">
        <v>1120</v>
      </c>
      <c r="G22" s="13" t="e">
        <f>VLOOKUP(WorkingDB[[#This Row],[Material]],CostDB[#Data],4,FALSE)</f>
        <v>#N/A</v>
      </c>
      <c r="H22" s="14">
        <f t="shared" si="0"/>
        <v>4.7619047619047617E-7</v>
      </c>
      <c r="L22" t="s">
        <v>165</v>
      </c>
    </row>
    <row r="23" spans="1:12" x14ac:dyDescent="0.3">
      <c r="A23" t="s">
        <v>176</v>
      </c>
      <c r="B23">
        <v>1.31</v>
      </c>
      <c r="C23">
        <v>840</v>
      </c>
      <c r="D23">
        <v>2240</v>
      </c>
      <c r="G23" s="13" t="e">
        <f>VLOOKUP(WorkingDB[[#This Row],[Material]],CostDB[#Data],4,FALSE)</f>
        <v>#N/A</v>
      </c>
      <c r="H23" s="14">
        <f t="shared" si="0"/>
        <v>6.9621598639455787E-7</v>
      </c>
      <c r="I23">
        <v>1570</v>
      </c>
      <c r="L23" t="s">
        <v>166</v>
      </c>
    </row>
    <row r="24" spans="1:12" x14ac:dyDescent="0.3">
      <c r="A24" t="s">
        <v>177</v>
      </c>
      <c r="B24">
        <v>0.9</v>
      </c>
      <c r="C24">
        <v>840</v>
      </c>
      <c r="D24">
        <v>1850</v>
      </c>
      <c r="G24" s="13" t="e">
        <f>VLOOKUP(WorkingDB[[#This Row],[Material]],CostDB[#Data],4,FALSE)</f>
        <v>#N/A</v>
      </c>
      <c r="H24" s="14">
        <f t="shared" si="0"/>
        <v>5.7915057915057914E-7</v>
      </c>
      <c r="I24">
        <v>1183</v>
      </c>
      <c r="L24" t="s">
        <v>166</v>
      </c>
    </row>
    <row r="25" spans="1:12" x14ac:dyDescent="0.3">
      <c r="A25" t="s">
        <v>178</v>
      </c>
      <c r="B25">
        <v>0.73</v>
      </c>
      <c r="C25">
        <v>840</v>
      </c>
      <c r="D25">
        <v>1800</v>
      </c>
      <c r="G25" s="13" t="e">
        <f>VLOOKUP(WorkingDB[[#This Row],[Material]],CostDB[#Data],4,FALSE)</f>
        <v>#N/A</v>
      </c>
      <c r="H25" s="14">
        <f t="shared" si="0"/>
        <v>4.8280423280423275E-7</v>
      </c>
      <c r="I25">
        <v>1051</v>
      </c>
      <c r="L25" t="s">
        <v>166</v>
      </c>
    </row>
    <row r="26" spans="1:12" x14ac:dyDescent="0.3">
      <c r="A26" t="s">
        <v>179</v>
      </c>
      <c r="B26">
        <v>0.22</v>
      </c>
      <c r="C26">
        <v>840</v>
      </c>
      <c r="D26">
        <v>570</v>
      </c>
      <c r="G26" s="13" t="e">
        <f>VLOOKUP(WorkingDB[[#This Row],[Material]],CostDB[#Data],4,FALSE)</f>
        <v>#N/A</v>
      </c>
      <c r="H26" s="14">
        <f t="shared" si="0"/>
        <v>4.5948203842940686E-7</v>
      </c>
      <c r="I26">
        <v>324</v>
      </c>
      <c r="L26" t="s">
        <v>166</v>
      </c>
    </row>
    <row r="27" spans="1:12" x14ac:dyDescent="0.3">
      <c r="A27" t="s">
        <v>50</v>
      </c>
      <c r="B27">
        <v>0.73</v>
      </c>
      <c r="C27">
        <v>880</v>
      </c>
      <c r="D27">
        <v>1646</v>
      </c>
      <c r="G27" s="13" t="e">
        <f>VLOOKUP(WorkingDB[[#This Row],[Material]],CostDB[#Data],4,FALSE)</f>
        <v>#N/A</v>
      </c>
      <c r="H27" s="14">
        <f t="shared" si="0"/>
        <v>5.0397658234839284E-7</v>
      </c>
      <c r="L27" t="s">
        <v>165</v>
      </c>
    </row>
    <row r="28" spans="1:12" x14ac:dyDescent="0.3">
      <c r="A28" t="s">
        <v>180</v>
      </c>
      <c r="B28">
        <v>4.2000000000000003E-2</v>
      </c>
      <c r="C28">
        <v>760</v>
      </c>
      <c r="D28">
        <v>240</v>
      </c>
      <c r="G28" s="13" t="e">
        <f>VLOOKUP(WorkingDB[[#This Row],[Material]],CostDB[#Data],4,FALSE)</f>
        <v>#N/A</v>
      </c>
      <c r="H28" s="14">
        <f t="shared" si="0"/>
        <v>2.3026315789473685E-7</v>
      </c>
      <c r="I28">
        <v>88</v>
      </c>
      <c r="L28" t="s">
        <v>166</v>
      </c>
    </row>
    <row r="29" spans="1:12" x14ac:dyDescent="0.3">
      <c r="A29" t="s">
        <v>51</v>
      </c>
      <c r="B29">
        <v>0.51900000000000002</v>
      </c>
      <c r="C29">
        <v>880</v>
      </c>
      <c r="D29">
        <v>1622</v>
      </c>
      <c r="G29" s="13" t="e">
        <f>VLOOKUP(WorkingDB[[#This Row],[Material]],CostDB[#Data],4,FALSE)</f>
        <v>#N/A</v>
      </c>
      <c r="H29" s="14">
        <f t="shared" si="0"/>
        <v>3.6360833987221166E-7</v>
      </c>
      <c r="L29" t="s">
        <v>165</v>
      </c>
    </row>
    <row r="30" spans="1:12" x14ac:dyDescent="0.3">
      <c r="A30" t="s">
        <v>38</v>
      </c>
      <c r="G30" s="13">
        <f>VLOOKUP(WorkingDB[[#This Row],[Material]],CostDB[#Data],4,FALSE)</f>
        <v>0</v>
      </c>
      <c r="H30" s="14" t="e">
        <f t="shared" si="0"/>
        <v>#DIV/0!</v>
      </c>
      <c r="L30" t="s">
        <v>165</v>
      </c>
    </row>
    <row r="31" spans="1:12" x14ac:dyDescent="0.3">
      <c r="A31" t="s">
        <v>59</v>
      </c>
      <c r="B31">
        <v>0.17399999999999999</v>
      </c>
      <c r="C31">
        <v>1760</v>
      </c>
      <c r="D31">
        <v>640</v>
      </c>
      <c r="G31" s="13" t="e">
        <f>VLOOKUP(WorkingDB[[#This Row],[Material]],CostDB[#Data],4,FALSE)</f>
        <v>#N/A</v>
      </c>
      <c r="H31" s="14">
        <f t="shared" si="0"/>
        <v>1.544744318181818E-7</v>
      </c>
      <c r="L31" t="s">
        <v>165</v>
      </c>
    </row>
    <row r="32" spans="1:12" x14ac:dyDescent="0.3">
      <c r="A32" t="s">
        <v>181</v>
      </c>
      <c r="B32">
        <v>2.8000000000000001E-2</v>
      </c>
      <c r="C32">
        <v>1470</v>
      </c>
      <c r="D32">
        <v>30</v>
      </c>
      <c r="G32" s="13" t="e">
        <f>VLOOKUP(WorkingDB[[#This Row],[Material]],CostDB[#Data],4,FALSE)</f>
        <v>#N/A</v>
      </c>
      <c r="H32" s="14">
        <f t="shared" si="0"/>
        <v>6.3492063492063497E-7</v>
      </c>
      <c r="I32">
        <v>35</v>
      </c>
      <c r="L32" t="s">
        <v>166</v>
      </c>
    </row>
    <row r="33" spans="1:12" x14ac:dyDescent="0.3">
      <c r="A33" s="12" t="s">
        <v>48</v>
      </c>
      <c r="B33">
        <v>1.58</v>
      </c>
      <c r="C33">
        <v>880</v>
      </c>
      <c r="D33">
        <v>2288</v>
      </c>
      <c r="G33" s="13">
        <f>VLOOKUP(WorkingDB[[#This Row],[Material]],CostDB[#Data],4,FALSE)</f>
        <v>10719.3</v>
      </c>
      <c r="H33" s="14">
        <f t="shared" si="0"/>
        <v>7.8472663699936434E-7</v>
      </c>
      <c r="L33" t="s">
        <v>165</v>
      </c>
    </row>
    <row r="34" spans="1:12" x14ac:dyDescent="0.3">
      <c r="A34" t="s">
        <v>39</v>
      </c>
      <c r="B34">
        <v>0.63100000000000001</v>
      </c>
      <c r="C34">
        <v>650</v>
      </c>
      <c r="D34">
        <v>1520</v>
      </c>
      <c r="G34" s="13" t="e">
        <f>VLOOKUP(WorkingDB[[#This Row],[Material]],CostDB[#Data],4,FALSE)</f>
        <v>#N/A</v>
      </c>
      <c r="H34" s="14">
        <f t="shared" si="0"/>
        <v>6.3866396761133604E-7</v>
      </c>
      <c r="L34" t="s">
        <v>182</v>
      </c>
    </row>
    <row r="35" spans="1:12" x14ac:dyDescent="0.3">
      <c r="A35" t="s">
        <v>41</v>
      </c>
      <c r="B35">
        <v>1.3959999999999999</v>
      </c>
      <c r="C35">
        <v>200</v>
      </c>
      <c r="D35">
        <v>2427</v>
      </c>
      <c r="G35" s="13" t="e">
        <f>VLOOKUP(WorkingDB[[#This Row],[Material]],CostDB[#Data],4,FALSE)</f>
        <v>#N/A</v>
      </c>
      <c r="H35" s="14">
        <f t="shared" si="0"/>
        <v>2.8759785743716519E-6</v>
      </c>
      <c r="L35" t="s">
        <v>183</v>
      </c>
    </row>
    <row r="36" spans="1:12" x14ac:dyDescent="0.3">
      <c r="A36" s="12" t="s">
        <v>42</v>
      </c>
      <c r="B36">
        <v>1.411</v>
      </c>
      <c r="C36">
        <v>300</v>
      </c>
      <c r="D36">
        <v>2349</v>
      </c>
      <c r="G36" s="13">
        <f>VLOOKUP(WorkingDB[[#This Row],[Material]],CostDB[#Data],4,FALSE)</f>
        <v>8086.6</v>
      </c>
      <c r="H36" s="14">
        <f t="shared" si="0"/>
        <v>2.00227046970342E-6</v>
      </c>
      <c r="L36" t="s">
        <v>183</v>
      </c>
    </row>
    <row r="37" spans="1:12" x14ac:dyDescent="0.3">
      <c r="A37" t="s">
        <v>184</v>
      </c>
      <c r="B37">
        <v>1.05</v>
      </c>
      <c r="C37">
        <v>840</v>
      </c>
      <c r="D37">
        <v>2500</v>
      </c>
      <c r="G37" s="13" t="e">
        <f>VLOOKUP(WorkingDB[[#This Row],[Material]],CostDB[#Data],4,FALSE)</f>
        <v>#N/A</v>
      </c>
      <c r="H37" s="14">
        <f t="shared" si="0"/>
        <v>4.9999999999999998E-7</v>
      </c>
      <c r="I37">
        <v>1485</v>
      </c>
      <c r="L37" t="s">
        <v>166</v>
      </c>
    </row>
    <row r="38" spans="1:12" x14ac:dyDescent="0.3">
      <c r="A38" t="s">
        <v>185</v>
      </c>
      <c r="B38">
        <v>45</v>
      </c>
      <c r="C38">
        <v>480</v>
      </c>
      <c r="D38">
        <v>7800</v>
      </c>
      <c r="G38" s="13" t="e">
        <f>VLOOKUP(WorkingDB[[#This Row],[Material]],CostDB[#Data],4,FALSE)</f>
        <v>#N/A</v>
      </c>
      <c r="H38" s="14">
        <f t="shared" si="0"/>
        <v>1.2019230769230769E-5</v>
      </c>
      <c r="I38">
        <v>12980</v>
      </c>
      <c r="L38" t="s">
        <v>166</v>
      </c>
    </row>
    <row r="39" spans="1:12" x14ac:dyDescent="0.3">
      <c r="A39" t="s">
        <v>58</v>
      </c>
      <c r="B39">
        <v>7.1999999999999995E-2</v>
      </c>
      <c r="C39">
        <v>1680</v>
      </c>
      <c r="D39">
        <v>480</v>
      </c>
      <c r="G39" s="13" t="e">
        <f>VLOOKUP(WorkingDB[[#This Row],[Material]],CostDB[#Data],4,FALSE)</f>
        <v>#N/A</v>
      </c>
      <c r="H39" s="14">
        <f t="shared" si="0"/>
        <v>8.9285714285714276E-8</v>
      </c>
      <c r="L39" t="s">
        <v>165</v>
      </c>
    </row>
    <row r="40" spans="1:12" x14ac:dyDescent="0.3">
      <c r="A40" t="s">
        <v>58</v>
      </c>
      <c r="B40">
        <v>0.14399999999999999</v>
      </c>
      <c r="C40">
        <v>1680</v>
      </c>
      <c r="D40">
        <v>720</v>
      </c>
      <c r="G40" s="13" t="e">
        <f>VLOOKUP(WorkingDB[[#This Row],[Material]],CostDB[#Data],4,FALSE)</f>
        <v>#N/A</v>
      </c>
      <c r="H40" s="14">
        <f t="shared" si="0"/>
        <v>1.1904761904761904E-7</v>
      </c>
      <c r="L40" t="s">
        <v>165</v>
      </c>
    </row>
    <row r="41" spans="1:12" x14ac:dyDescent="0.3">
      <c r="A41" s="12" t="s">
        <v>139</v>
      </c>
      <c r="B41">
        <v>2.8000000000000001E-2</v>
      </c>
      <c r="C41">
        <v>1213</v>
      </c>
      <c r="D41">
        <v>35</v>
      </c>
      <c r="G41" s="13">
        <f>VLOOKUP(WorkingDB[[#This Row],[Material]],CostDB[#Data],4,FALSE)</f>
        <v>11000</v>
      </c>
      <c r="H41" s="14">
        <f t="shared" si="0"/>
        <v>6.5952184666117067E-7</v>
      </c>
      <c r="L41" t="s">
        <v>186</v>
      </c>
    </row>
    <row r="42" spans="1:12" x14ac:dyDescent="0.3">
      <c r="A42" s="12" t="s">
        <v>135</v>
      </c>
      <c r="B42">
        <v>3.7999999999999999E-2</v>
      </c>
      <c r="C42">
        <v>1213</v>
      </c>
      <c r="D42">
        <v>28</v>
      </c>
      <c r="G42" s="13">
        <f>VLOOKUP(WorkingDB[[#This Row],[Material]],CostDB[#Data],4,FALSE)</f>
        <v>6875</v>
      </c>
      <c r="H42" s="14">
        <f t="shared" si="0"/>
        <v>1.1188317041573429E-6</v>
      </c>
      <c r="L42" t="s">
        <v>186</v>
      </c>
    </row>
    <row r="43" spans="1:12" x14ac:dyDescent="0.3">
      <c r="A43" s="12" t="s">
        <v>145</v>
      </c>
      <c r="B43">
        <v>2.5999999999999999E-2</v>
      </c>
      <c r="C43">
        <v>1590</v>
      </c>
      <c r="D43">
        <v>40</v>
      </c>
      <c r="G43" s="13">
        <f>VLOOKUP(WorkingDB[[#This Row],[Material]],CostDB[#Data],4,FALSE)</f>
        <v>9625</v>
      </c>
      <c r="H43" s="14">
        <f t="shared" si="0"/>
        <v>4.0880503144654089E-7</v>
      </c>
      <c r="L43" t="s">
        <v>186</v>
      </c>
    </row>
    <row r="44" spans="1:12" x14ac:dyDescent="0.3">
      <c r="A44" s="12" t="s">
        <v>150</v>
      </c>
      <c r="B44">
        <v>1.58</v>
      </c>
      <c r="C44">
        <v>880</v>
      </c>
      <c r="D44">
        <v>2288</v>
      </c>
      <c r="G44" s="13">
        <f>VLOOKUP(WorkingDB[[#This Row],[Material]],CostDB[#Data],4,FALSE)</f>
        <v>10185.049999999999</v>
      </c>
      <c r="H44" s="14">
        <f t="shared" si="0"/>
        <v>7.8472663699936434E-7</v>
      </c>
      <c r="L44" t="s">
        <v>165</v>
      </c>
    </row>
    <row r="45" spans="1:12" x14ac:dyDescent="0.3">
      <c r="A45" s="12" t="s">
        <v>147</v>
      </c>
      <c r="B45">
        <v>2.5999999999999999E-2</v>
      </c>
      <c r="C45">
        <v>1590</v>
      </c>
      <c r="D45">
        <v>40</v>
      </c>
      <c r="G45" s="13">
        <f>VLOOKUP(WorkingDB[[#This Row],[Material]],CostDB[#Data],4,FALSE)</f>
        <v>9625</v>
      </c>
      <c r="H45" s="14">
        <f t="shared" si="0"/>
        <v>4.0880503144654089E-7</v>
      </c>
      <c r="L45" t="s">
        <v>186</v>
      </c>
    </row>
    <row r="46" spans="1:12" x14ac:dyDescent="0.3">
      <c r="A46" t="s">
        <v>187</v>
      </c>
      <c r="B46">
        <v>8.4000000000000005E-2</v>
      </c>
      <c r="C46">
        <v>920</v>
      </c>
      <c r="D46">
        <v>400</v>
      </c>
      <c r="G46" s="13" t="e">
        <f>VLOOKUP(WorkingDB[[#This Row],[Material]],CostDB[#Data],4,FALSE)</f>
        <v>#N/A</v>
      </c>
      <c r="H46" s="14">
        <f t="shared" si="0"/>
        <v>2.2826086956521739E-7</v>
      </c>
      <c r="L46" t="s">
        <v>165</v>
      </c>
    </row>
    <row r="47" spans="1:12" x14ac:dyDescent="0.3">
      <c r="A47" t="s">
        <v>144</v>
      </c>
      <c r="B47">
        <v>7.0000000000000007E-2</v>
      </c>
      <c r="C47">
        <v>920</v>
      </c>
      <c r="D47">
        <v>320</v>
      </c>
      <c r="G47" s="13">
        <f>VLOOKUP(WorkingDB[[#This Row],[Material]],CostDB[#Data],4,FALSE)</f>
        <v>5950</v>
      </c>
      <c r="H47" s="14">
        <f t="shared" si="0"/>
        <v>2.3777173913043481E-7</v>
      </c>
      <c r="L47" t="s">
        <v>165</v>
      </c>
    </row>
    <row r="48" spans="1:12" x14ac:dyDescent="0.3">
      <c r="A48" t="s">
        <v>188</v>
      </c>
      <c r="B48">
        <v>0.14899999999999999</v>
      </c>
      <c r="C48">
        <v>920</v>
      </c>
      <c r="D48">
        <v>704</v>
      </c>
      <c r="G48" s="13" t="e">
        <f>VLOOKUP(WorkingDB[[#This Row],[Material]],CostDB[#Data],4,FALSE)</f>
        <v>#N/A</v>
      </c>
      <c r="H48" s="14">
        <f t="shared" si="0"/>
        <v>2.3005187747035573E-7</v>
      </c>
      <c r="L48" t="s">
        <v>165</v>
      </c>
    </row>
    <row r="49" spans="1:12" x14ac:dyDescent="0.3">
      <c r="A49" t="s">
        <v>189</v>
      </c>
      <c r="B49">
        <v>0.41849999999999998</v>
      </c>
      <c r="D49">
        <v>1489</v>
      </c>
      <c r="G49" s="13" t="e">
        <f>VLOOKUP(WorkingDB[[#This Row],[Material]],CostDB[#Data],4,FALSE)</f>
        <v>#N/A</v>
      </c>
      <c r="H49" s="14" t="e">
        <f t="shared" si="0"/>
        <v>#DIV/0!</v>
      </c>
      <c r="L49" t="s">
        <v>190</v>
      </c>
    </row>
    <row r="50" spans="1:12" x14ac:dyDescent="0.3">
      <c r="A50" t="s">
        <v>191</v>
      </c>
      <c r="B50">
        <v>0.41849999999999998</v>
      </c>
      <c r="D50">
        <v>808.19</v>
      </c>
      <c r="G50" s="13" t="e">
        <f>VLOOKUP(WorkingDB[[#This Row],[Material]],CostDB[#Data],4,FALSE)</f>
        <v>#N/A</v>
      </c>
      <c r="H50" s="14" t="e">
        <f t="shared" si="0"/>
        <v>#DIV/0!</v>
      </c>
      <c r="L50" t="s">
        <v>190</v>
      </c>
    </row>
    <row r="51" spans="1:12" x14ac:dyDescent="0.3">
      <c r="A51" t="s">
        <v>192</v>
      </c>
      <c r="G51" s="13" t="e">
        <f>VLOOKUP(WorkingDB[[#This Row],[Material]],CostDB[#Data],4,FALSE)</f>
        <v>#N/A</v>
      </c>
      <c r="H51" s="14" t="e">
        <f t="shared" si="0"/>
        <v>#DIV/0!</v>
      </c>
    </row>
    <row r="52" spans="1:12" x14ac:dyDescent="0.3">
      <c r="A52" t="s">
        <v>193</v>
      </c>
      <c r="B52">
        <v>3.4000000000000002E-2</v>
      </c>
      <c r="C52">
        <v>1210</v>
      </c>
      <c r="D52">
        <v>24</v>
      </c>
      <c r="G52" s="13" t="e">
        <f>VLOOKUP(WorkingDB[[#This Row],[Material]],CostDB[#Data],4,FALSE)</f>
        <v>#N/A</v>
      </c>
      <c r="H52" s="14">
        <f t="shared" si="0"/>
        <v>1.1707988980716254E-6</v>
      </c>
      <c r="L52" t="s">
        <v>194</v>
      </c>
    </row>
    <row r="53" spans="1:12" x14ac:dyDescent="0.3">
      <c r="A53" t="s">
        <v>195</v>
      </c>
      <c r="B53">
        <v>1.4</v>
      </c>
      <c r="C53">
        <v>880</v>
      </c>
      <c r="D53">
        <v>2350</v>
      </c>
      <c r="G53" s="13" t="e">
        <f>VLOOKUP(WorkingDB[[#This Row],[Material]],CostDB[#Data],4,FALSE)</f>
        <v>#N/A</v>
      </c>
      <c r="H53" s="14">
        <f t="shared" si="0"/>
        <v>6.7698259187620888E-7</v>
      </c>
      <c r="L53" t="s">
        <v>194</v>
      </c>
    </row>
    <row r="54" spans="1:12" x14ac:dyDescent="0.3">
      <c r="A54" t="s">
        <v>196</v>
      </c>
      <c r="B54">
        <v>3.7999999999999999E-2</v>
      </c>
      <c r="C54">
        <v>1340</v>
      </c>
      <c r="D54">
        <v>16</v>
      </c>
      <c r="G54" s="13" t="e">
        <f>VLOOKUP(WorkingDB[[#This Row],[Material]],CostDB[#Data],4,FALSE)</f>
        <v>#N/A</v>
      </c>
      <c r="H54" s="14">
        <f t="shared" si="0"/>
        <v>1.7723880597014925E-6</v>
      </c>
    </row>
    <row r="55" spans="1:12" x14ac:dyDescent="0.3">
      <c r="A55" t="s">
        <v>197</v>
      </c>
      <c r="B55">
        <v>3.5000000000000003E-2</v>
      </c>
      <c r="C55">
        <v>1340</v>
      </c>
      <c r="D55">
        <v>24</v>
      </c>
      <c r="G55" s="13" t="e">
        <f>VLOOKUP(WorkingDB[[#This Row],[Material]],CostDB[#Data],4,FALSE)</f>
        <v>#N/A</v>
      </c>
      <c r="H55" s="14">
        <f t="shared" si="0"/>
        <v>1.088308457711443E-6</v>
      </c>
    </row>
    <row r="56" spans="1:12" x14ac:dyDescent="0.3">
      <c r="A56" t="s">
        <v>198</v>
      </c>
      <c r="B56">
        <v>3.5000000000000003E-2</v>
      </c>
      <c r="C56">
        <v>1340</v>
      </c>
      <c r="D56">
        <v>34</v>
      </c>
      <c r="G56" s="13" t="e">
        <f>VLOOKUP(WorkingDB[[#This Row],[Material]],CostDB[#Data],4,FALSE)</f>
        <v>#N/A</v>
      </c>
      <c r="H56" s="14">
        <f t="shared" si="0"/>
        <v>7.6821773485513616E-7</v>
      </c>
    </row>
    <row r="57" spans="1:12" x14ac:dyDescent="0.3">
      <c r="A57" t="s">
        <v>199</v>
      </c>
      <c r="B57">
        <v>0.22</v>
      </c>
      <c r="D57">
        <v>780</v>
      </c>
      <c r="G57" s="13" t="e">
        <f>VLOOKUP(WorkingDB[[#This Row],[Material]],CostDB[#Data],4,FALSE)</f>
        <v>#N/A</v>
      </c>
      <c r="H57" s="14" t="e">
        <f t="shared" si="0"/>
        <v>#DIV/0!</v>
      </c>
    </row>
    <row r="58" spans="1:12" x14ac:dyDescent="0.3">
      <c r="A58" t="s">
        <v>200</v>
      </c>
      <c r="B58">
        <v>8.6199999999999999E-2</v>
      </c>
      <c r="D58">
        <v>1450</v>
      </c>
      <c r="G58" s="13" t="e">
        <f>VLOOKUP(WorkingDB[[#This Row],[Material]],CostDB[#Data],4,FALSE)</f>
        <v>#N/A</v>
      </c>
      <c r="H58" s="14" t="e">
        <f t="shared" si="0"/>
        <v>#DIV/0!</v>
      </c>
    </row>
    <row r="59" spans="1:12" x14ac:dyDescent="0.3">
      <c r="A59" t="s">
        <v>201</v>
      </c>
      <c r="B59">
        <v>0.2</v>
      </c>
      <c r="D59">
        <f>8.25/(1*1*(6/1000))</f>
        <v>1375</v>
      </c>
      <c r="G59" s="13" t="e">
        <f>VLOOKUP(WorkingDB[[#This Row],[Material]],CostDB[#Data],4,FALSE)</f>
        <v>#N/A</v>
      </c>
      <c r="H59" s="14" t="e">
        <f t="shared" si="0"/>
        <v>#DIV/0!</v>
      </c>
    </row>
    <row r="60" spans="1:12" x14ac:dyDescent="0.3">
      <c r="A60" t="s">
        <v>202</v>
      </c>
      <c r="G60" s="13" t="e">
        <f>VLOOKUP(WorkingDB[[#This Row],[Material]],CostDB[#Data],4,FALSE)</f>
        <v>#N/A</v>
      </c>
      <c r="H60" s="14" t="e">
        <f t="shared" si="0"/>
        <v>#DIV/0!</v>
      </c>
    </row>
    <row r="61" spans="1:12" x14ac:dyDescent="0.3">
      <c r="A61" t="s">
        <v>203</v>
      </c>
      <c r="B61">
        <f>0.3/0.44</f>
        <v>0.68181818181818177</v>
      </c>
      <c r="G61" s="13" t="e">
        <f>VLOOKUP(WorkingDB[[#This Row],[Material]],CostDB[#Data],4,FALSE)</f>
        <v>#N/A</v>
      </c>
      <c r="H61" s="14" t="e">
        <f t="shared" si="0"/>
        <v>#DIV/0!</v>
      </c>
      <c r="L61" t="s">
        <v>186</v>
      </c>
    </row>
    <row r="62" spans="1:12" x14ac:dyDescent="0.3">
      <c r="A62" t="s">
        <v>204</v>
      </c>
      <c r="B62">
        <f>0.25/0.39</f>
        <v>0.64102564102564097</v>
      </c>
      <c r="G62" s="13" t="e">
        <f>VLOOKUP(WorkingDB[[#This Row],[Material]],CostDB[#Data],4,FALSE)</f>
        <v>#N/A</v>
      </c>
      <c r="H62" s="14" t="e">
        <f t="shared" si="0"/>
        <v>#DIV/0!</v>
      </c>
      <c r="L62" t="s">
        <v>186</v>
      </c>
    </row>
    <row r="63" spans="1:12" x14ac:dyDescent="0.3">
      <c r="A63" t="s">
        <v>205</v>
      </c>
      <c r="B63">
        <f>0.2/0.33</f>
        <v>0.60606060606060608</v>
      </c>
      <c r="G63" s="13" t="e">
        <f>VLOOKUP(WorkingDB[[#This Row],[Material]],CostDB[#Data],4,FALSE)</f>
        <v>#N/A</v>
      </c>
      <c r="H63" s="14" t="e">
        <f t="shared" si="0"/>
        <v>#DIV/0!</v>
      </c>
      <c r="L63" t="s">
        <v>186</v>
      </c>
    </row>
    <row r="64" spans="1:12" x14ac:dyDescent="0.3">
      <c r="A64" t="s">
        <v>104</v>
      </c>
      <c r="B64">
        <f>(1/0.18)*(50/1000)</f>
        <v>0.27777777777777779</v>
      </c>
      <c r="C64">
        <v>1007</v>
      </c>
      <c r="D64">
        <v>1.127</v>
      </c>
      <c r="G64" s="13" t="e">
        <f>VLOOKUP(WorkingDB[[#This Row],[Material]],CostDB[#Data],4,FALSE)</f>
        <v>#N/A</v>
      </c>
      <c r="H64" s="14">
        <f t="shared" si="0"/>
        <v>2.4476206728391746E-4</v>
      </c>
      <c r="L64" t="s">
        <v>165</v>
      </c>
    </row>
    <row r="65" spans="1:12" x14ac:dyDescent="0.3">
      <c r="A65" t="s">
        <v>206</v>
      </c>
      <c r="B65">
        <v>3.95E-2</v>
      </c>
      <c r="D65">
        <v>42</v>
      </c>
      <c r="G65" s="13" t="e">
        <f>VLOOKUP(WorkingDB[[#This Row],[Material]],CostDB[#Data],4,FALSE)</f>
        <v>#N/A</v>
      </c>
      <c r="H65" s="14" t="e">
        <f t="shared" si="0"/>
        <v>#DIV/0!</v>
      </c>
      <c r="L65" t="s">
        <v>207</v>
      </c>
    </row>
    <row r="66" spans="1:12" x14ac:dyDescent="0.3">
      <c r="A66" t="s">
        <v>208</v>
      </c>
      <c r="B66">
        <v>0.49299999999999999</v>
      </c>
      <c r="D66">
        <f>75/(90/1000)</f>
        <v>833.33333333333337</v>
      </c>
      <c r="G66" s="13" t="e">
        <f>VLOOKUP(WorkingDB[[#This Row],[Material]],CostDB[#Data],4,FALSE)</f>
        <v>#N/A</v>
      </c>
      <c r="H66" s="14" t="e">
        <f t="shared" si="0"/>
        <v>#DIV/0!</v>
      </c>
      <c r="L66" t="s">
        <v>207</v>
      </c>
    </row>
    <row r="67" spans="1:12" x14ac:dyDescent="0.3">
      <c r="A67" t="s">
        <v>209</v>
      </c>
      <c r="B67">
        <v>0.5</v>
      </c>
      <c r="C67">
        <v>1830</v>
      </c>
      <c r="D67">
        <v>1400</v>
      </c>
      <c r="G67" s="13" t="e">
        <f>VLOOKUP(WorkingDB[[#This Row],[Material]],CostDB[#Data],4,FALSE)</f>
        <v>#N/A</v>
      </c>
      <c r="H67" s="14">
        <f t="shared" ref="H67" si="1">B67/(D67*C67)</f>
        <v>1.9516003122560499E-7</v>
      </c>
    </row>
    <row r="68" spans="1:12" x14ac:dyDescent="0.3">
      <c r="A68" t="s">
        <v>210</v>
      </c>
      <c r="B68">
        <v>0.41</v>
      </c>
      <c r="C68">
        <v>840</v>
      </c>
      <c r="D68">
        <v>1200</v>
      </c>
      <c r="G68" s="13" t="e">
        <f>VLOOKUP(WorkingDB[[#This Row],[Material]],CostDB[#Data],4,FALSE)</f>
        <v>#N/A</v>
      </c>
      <c r="H68" s="14">
        <f>B68/(D68*C68)</f>
        <v>4.0674603174603175E-7</v>
      </c>
      <c r="L68" t="s">
        <v>211</v>
      </c>
    </row>
    <row r="69" spans="1:12" x14ac:dyDescent="0.3">
      <c r="A69" t="s">
        <v>212</v>
      </c>
      <c r="B69">
        <v>0.8</v>
      </c>
      <c r="D69">
        <v>1200</v>
      </c>
      <c r="G69" s="13" t="e">
        <f>VLOOKUP(WorkingDB[[#This Row],[Material]],CostDB[#Data],4,FALSE)</f>
        <v>#N/A</v>
      </c>
      <c r="H69" s="14" t="e">
        <f>B69/(D69*C69)</f>
        <v>#DIV/0!</v>
      </c>
    </row>
    <row r="70" spans="1:12" x14ac:dyDescent="0.3">
      <c r="A70" t="s">
        <v>213</v>
      </c>
      <c r="B70">
        <v>2.5999999999999999E-2</v>
      </c>
      <c r="C70">
        <v>1590</v>
      </c>
      <c r="D70">
        <v>40</v>
      </c>
      <c r="G70" s="13" t="e">
        <f>VLOOKUP(WorkingDB[[#This Row],[Material]],CostDB[#Data],4,FALSE)</f>
        <v>#N/A</v>
      </c>
      <c r="H70" s="14">
        <f>B70/(D70*C70)</f>
        <v>4.0880503144654089E-7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18EF-9CDD-4D5B-ADA4-8AF24F6E0710}">
  <dimension ref="A1:AH23"/>
  <sheetViews>
    <sheetView workbookViewId="0">
      <selection activeCell="H16" sqref="H16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18.33203125" bestFit="1" customWidth="1"/>
    <col min="4" max="4" width="6.6640625" bestFit="1" customWidth="1"/>
    <col min="5" max="6" width="7.88671875" bestFit="1" customWidth="1"/>
    <col min="7" max="9" width="6.33203125" bestFit="1" customWidth="1"/>
    <col min="10" max="15" width="14.88671875" bestFit="1" customWidth="1"/>
    <col min="16" max="21" width="17.44140625" bestFit="1" customWidth="1"/>
    <col min="22" max="27" width="13.44140625" bestFit="1" customWidth="1"/>
    <col min="28" max="33" width="14.21875" bestFit="1" customWidth="1"/>
    <col min="34" max="34" width="11.21875" bestFit="1" customWidth="1"/>
  </cols>
  <sheetData>
    <row r="1" spans="1:34" x14ac:dyDescent="0.3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  <c r="AE1" t="s">
        <v>993</v>
      </c>
      <c r="AF1" t="s">
        <v>994</v>
      </c>
      <c r="AG1" t="s">
        <v>995</v>
      </c>
      <c r="AH1" t="s">
        <v>996</v>
      </c>
    </row>
    <row r="2" spans="1:34" x14ac:dyDescent="0.3">
      <c r="A2" t="s">
        <v>997</v>
      </c>
      <c r="B2" s="16" t="s">
        <v>998</v>
      </c>
      <c r="C2" t="s">
        <v>999</v>
      </c>
      <c r="D2" t="s">
        <v>1000</v>
      </c>
      <c r="E2" t="s">
        <v>1001</v>
      </c>
      <c r="F2" t="s">
        <v>1000</v>
      </c>
      <c r="J2" s="17">
        <f>CONVERT(15,"mm","ft")</f>
        <v>4.9212598425196853E-2</v>
      </c>
      <c r="K2" s="17">
        <f>CONVERT(230,"mm","ft")</f>
        <v>0.75459317585301833</v>
      </c>
      <c r="L2" s="17">
        <f>CONVERT(20,"mm","ft")</f>
        <v>6.5616797900262466E-2</v>
      </c>
      <c r="P2" s="4">
        <f>0.72*5.678263243</f>
        <v>4.0883495349599999</v>
      </c>
      <c r="Q2" s="4">
        <f>0.98*5.678263243</f>
        <v>5.5646979781399999</v>
      </c>
      <c r="R2" s="4">
        <f>0.72*5.678263243</f>
        <v>4.0883495349599999</v>
      </c>
      <c r="V2" s="4">
        <f>1762*0.062427961</f>
        <v>109.99806728199999</v>
      </c>
      <c r="W2" s="4">
        <f>1920*0.062427961</f>
        <v>119.86168511999999</v>
      </c>
      <c r="X2" s="4">
        <f>1762*0.062427961</f>
        <v>109.99806728199999</v>
      </c>
      <c r="AA2" t="s">
        <v>997</v>
      </c>
      <c r="AB2" s="4">
        <f>840* 0.000239005736</f>
        <v>0.20076481824</v>
      </c>
      <c r="AC2" s="18">
        <f>800* 0.000239005736</f>
        <v>0.19120458879999999</v>
      </c>
      <c r="AD2" s="4">
        <f>840* 0.000239005736</f>
        <v>0.20076481824</v>
      </c>
      <c r="AH2">
        <v>1</v>
      </c>
    </row>
    <row r="3" spans="1:34" x14ac:dyDescent="0.3">
      <c r="A3" t="s">
        <v>1002</v>
      </c>
      <c r="B3" s="19" t="s">
        <v>1003</v>
      </c>
      <c r="C3" t="s">
        <v>1004</v>
      </c>
      <c r="D3" t="s">
        <v>1000</v>
      </c>
      <c r="E3" t="s">
        <v>1005</v>
      </c>
      <c r="F3" t="s">
        <v>1001</v>
      </c>
      <c r="J3" s="4">
        <f>CONVERT(20,"mm","ft")</f>
        <v>6.5616797900262466E-2</v>
      </c>
      <c r="K3" s="4">
        <f>CONVERT(10,"mm","ft")</f>
        <v>3.2808398950131233E-2</v>
      </c>
      <c r="L3" s="4">
        <f>CONVERT(230,"mm","ft")</f>
        <v>0.75459317585301833</v>
      </c>
      <c r="P3" s="4">
        <f t="shared" ref="P3:P21" si="0">0.72*5.678263243</f>
        <v>4.0883495349599999</v>
      </c>
      <c r="Q3" s="4">
        <f>0.03*5.678263243</f>
        <v>0.17034789728999999</v>
      </c>
      <c r="R3" s="4">
        <f>0.98*5.678263243</f>
        <v>5.5646979781399999</v>
      </c>
      <c r="V3" s="4">
        <f t="shared" ref="V3:V21" si="1">1762*0.062427961</f>
        <v>109.99806728199999</v>
      </c>
      <c r="W3" s="20">
        <f>35*0.062427961</f>
        <v>2.1849786349999998</v>
      </c>
      <c r="X3" s="4">
        <f>1920*0.062427961</f>
        <v>119.86168511999999</v>
      </c>
      <c r="AA3" t="s">
        <v>1002</v>
      </c>
      <c r="AB3" s="4">
        <f t="shared" ref="AB3:AB21" si="2">840* 0.000239005736</f>
        <v>0.20076481824</v>
      </c>
      <c r="AC3" s="18">
        <f>1213* 0.000239005736</f>
        <v>0.289913957768</v>
      </c>
      <c r="AD3" s="4">
        <f>800* 0.000239005736</f>
        <v>0.19120458879999999</v>
      </c>
      <c r="AH3">
        <v>1</v>
      </c>
    </row>
    <row r="4" spans="1:34" x14ac:dyDescent="0.3">
      <c r="A4" t="s">
        <v>1006</v>
      </c>
      <c r="B4" s="19" t="s">
        <v>1007</v>
      </c>
      <c r="C4" t="s">
        <v>1008</v>
      </c>
      <c r="D4" t="s">
        <v>1000</v>
      </c>
      <c r="E4" t="s">
        <v>1005</v>
      </c>
      <c r="F4" t="s">
        <v>1001</v>
      </c>
      <c r="J4" s="4">
        <f t="shared" ref="J4:J21" si="3">CONVERT(20,"mm","ft")</f>
        <v>6.5616797900262466E-2</v>
      </c>
      <c r="K4" s="4">
        <f>CONVERT(10,"mm","ft")</f>
        <v>3.2808398950131233E-2</v>
      </c>
      <c r="L4" s="4">
        <f t="shared" ref="L4:L12" si="4">CONVERT(230,"mm","ft")</f>
        <v>0.75459317585301833</v>
      </c>
      <c r="P4" s="4">
        <f t="shared" si="0"/>
        <v>4.0883495349599999</v>
      </c>
      <c r="Q4" s="4">
        <f t="shared" ref="Q4:Q5" si="5">0.03*5.678263243</f>
        <v>0.17034789728999999</v>
      </c>
      <c r="R4" s="4">
        <f t="shared" ref="R4:R14" si="6">0.98*5.678263243</f>
        <v>5.5646979781399999</v>
      </c>
      <c r="V4" s="4">
        <f t="shared" si="1"/>
        <v>109.99806728199999</v>
      </c>
      <c r="W4" s="20">
        <f t="shared" ref="W4" si="7">35*0.062427961</f>
        <v>2.1849786349999998</v>
      </c>
      <c r="X4" s="4">
        <f t="shared" ref="X4:X6" si="8">1920*0.062427961</f>
        <v>119.86168511999999</v>
      </c>
      <c r="AA4" t="s">
        <v>1006</v>
      </c>
      <c r="AB4" s="4">
        <f t="shared" si="2"/>
        <v>0.20076481824</v>
      </c>
      <c r="AC4" s="18">
        <f t="shared" ref="AC4:AC6" si="9">1213* 0.000239005736</f>
        <v>0.289913957768</v>
      </c>
      <c r="AD4" s="4">
        <f t="shared" ref="AD4:AD6" si="10">800* 0.000239005736</f>
        <v>0.19120458879999999</v>
      </c>
      <c r="AH4">
        <v>1</v>
      </c>
    </row>
    <row r="5" spans="1:34" x14ac:dyDescent="0.3">
      <c r="A5" t="s">
        <v>1009</v>
      </c>
      <c r="B5" s="19" t="s">
        <v>1010</v>
      </c>
      <c r="C5" t="s">
        <v>1011</v>
      </c>
      <c r="D5" t="s">
        <v>1000</v>
      </c>
      <c r="E5" t="s">
        <v>1012</v>
      </c>
      <c r="F5" t="s">
        <v>1001</v>
      </c>
      <c r="J5" s="4">
        <f t="shared" si="3"/>
        <v>6.5616797900262466E-2</v>
      </c>
      <c r="K5" s="4">
        <f>CONVERT(30,"mm","ft")</f>
        <v>9.8425196850393706E-2</v>
      </c>
      <c r="L5" s="4">
        <f t="shared" si="4"/>
        <v>0.75459317585301833</v>
      </c>
      <c r="P5" s="4">
        <f t="shared" si="0"/>
        <v>4.0883495349599999</v>
      </c>
      <c r="Q5" s="4">
        <f t="shared" si="5"/>
        <v>0.17034789728999999</v>
      </c>
      <c r="R5" s="4">
        <f t="shared" si="6"/>
        <v>5.5646979781399999</v>
      </c>
      <c r="V5" s="4">
        <f t="shared" si="1"/>
        <v>109.99806728199999</v>
      </c>
      <c r="W5" s="20">
        <f>28*0.062427961</f>
        <v>1.747982908</v>
      </c>
      <c r="X5" s="4">
        <f t="shared" si="8"/>
        <v>119.86168511999999</v>
      </c>
      <c r="AA5" t="s">
        <v>1009</v>
      </c>
      <c r="AB5" s="4">
        <f t="shared" si="2"/>
        <v>0.20076481824</v>
      </c>
      <c r="AC5" s="18">
        <f t="shared" si="9"/>
        <v>0.289913957768</v>
      </c>
      <c r="AD5" s="4">
        <f t="shared" si="10"/>
        <v>0.19120458879999999</v>
      </c>
      <c r="AH5">
        <v>1</v>
      </c>
    </row>
    <row r="6" spans="1:34" x14ac:dyDescent="0.3">
      <c r="A6" t="s">
        <v>1013</v>
      </c>
      <c r="B6" s="19" t="s">
        <v>1014</v>
      </c>
      <c r="C6" t="s">
        <v>1015</v>
      </c>
      <c r="D6" t="s">
        <v>1000</v>
      </c>
      <c r="E6" t="s">
        <v>1012</v>
      </c>
      <c r="F6" t="s">
        <v>1001</v>
      </c>
      <c r="J6" s="4">
        <f t="shared" si="3"/>
        <v>6.5616797900262466E-2</v>
      </c>
      <c r="K6" s="4">
        <f>CONVERT(50,"mm","ft")</f>
        <v>0.16404199475065617</v>
      </c>
      <c r="L6" s="4">
        <f t="shared" si="4"/>
        <v>0.75459317585301833</v>
      </c>
      <c r="P6" s="4">
        <f t="shared" si="0"/>
        <v>4.0883495349599999</v>
      </c>
      <c r="Q6" s="4">
        <f>0.04*5.678263243</f>
        <v>0.22713052972</v>
      </c>
      <c r="R6" s="4">
        <f t="shared" si="6"/>
        <v>5.5646979781399999</v>
      </c>
      <c r="V6" s="4">
        <f t="shared" si="1"/>
        <v>109.99806728199999</v>
      </c>
      <c r="W6" s="20">
        <f>28*0.062427961</f>
        <v>1.747982908</v>
      </c>
      <c r="X6" s="4">
        <f t="shared" si="8"/>
        <v>119.86168511999999</v>
      </c>
      <c r="AA6" t="s">
        <v>1013</v>
      </c>
      <c r="AB6" s="4">
        <f t="shared" si="2"/>
        <v>0.20076481824</v>
      </c>
      <c r="AC6" s="18">
        <f t="shared" si="9"/>
        <v>0.289913957768</v>
      </c>
      <c r="AD6" s="4">
        <f t="shared" si="10"/>
        <v>0.19120458879999999</v>
      </c>
      <c r="AH6">
        <v>1</v>
      </c>
    </row>
    <row r="7" spans="1:34" x14ac:dyDescent="0.3">
      <c r="A7" t="s">
        <v>1016</v>
      </c>
      <c r="B7" s="19" t="s">
        <v>1017</v>
      </c>
      <c r="C7" t="s">
        <v>1018</v>
      </c>
      <c r="D7" t="s">
        <v>1000</v>
      </c>
      <c r="E7" t="s">
        <v>1019</v>
      </c>
      <c r="F7" t="s">
        <v>1000</v>
      </c>
      <c r="J7" s="4">
        <f t="shared" si="3"/>
        <v>6.5616797900262466E-2</v>
      </c>
      <c r="K7" s="4">
        <f>CONVERT(200,"mm","ft")</f>
        <v>0.65616797900262469</v>
      </c>
      <c r="L7" s="4">
        <f>CONVERT(20,"mm","ft")</f>
        <v>6.5616797900262466E-2</v>
      </c>
      <c r="P7" s="4">
        <f t="shared" si="0"/>
        <v>4.0883495349599999</v>
      </c>
      <c r="Q7" s="4">
        <f>0.18*5.678263243</f>
        <v>1.02208738374</v>
      </c>
      <c r="R7" s="4">
        <f>0.72*5.678263243</f>
        <v>4.0883495349599999</v>
      </c>
      <c r="V7" s="4">
        <f t="shared" si="1"/>
        <v>109.99806728199999</v>
      </c>
      <c r="W7" s="20">
        <f>642*0.062427961</f>
        <v>40.078750962000001</v>
      </c>
      <c r="X7" s="4">
        <f>1762*0.062427961</f>
        <v>109.99806728199999</v>
      </c>
      <c r="AA7" t="s">
        <v>1016</v>
      </c>
      <c r="AB7" s="4">
        <f t="shared" si="2"/>
        <v>0.20076481824</v>
      </c>
      <c r="AC7" s="18">
        <f>1240* 0.000239005736</f>
        <v>0.29636711263999999</v>
      </c>
      <c r="AD7" s="4">
        <f>840* 0.000239005736</f>
        <v>0.20076481824</v>
      </c>
      <c r="AH7">
        <v>1</v>
      </c>
    </row>
    <row r="8" spans="1:34" x14ac:dyDescent="0.3">
      <c r="A8" t="s">
        <v>1020</v>
      </c>
      <c r="B8" s="19" t="s">
        <v>1021</v>
      </c>
      <c r="C8" t="s">
        <v>1022</v>
      </c>
      <c r="D8" t="s">
        <v>1000</v>
      </c>
      <c r="E8" t="s">
        <v>1012</v>
      </c>
      <c r="F8" t="s">
        <v>1019</v>
      </c>
      <c r="J8" s="4">
        <f t="shared" si="3"/>
        <v>6.5616797900262466E-2</v>
      </c>
      <c r="K8" s="4">
        <f>CONVERT(30,"mm","ft")</f>
        <v>9.8425196850393706E-2</v>
      </c>
      <c r="L8" s="4">
        <f>CONVERT(200,"mm","ft")</f>
        <v>0.65616797900262469</v>
      </c>
      <c r="P8" s="4">
        <f t="shared" si="0"/>
        <v>4.0883495349599999</v>
      </c>
      <c r="Q8" s="4">
        <f>0.04*5.678263243</f>
        <v>0.22713052972</v>
      </c>
      <c r="R8" s="4">
        <f>0.18*5.678263243</f>
        <v>1.02208738374</v>
      </c>
      <c r="V8" s="4">
        <f t="shared" si="1"/>
        <v>109.99806728199999</v>
      </c>
      <c r="W8" s="20">
        <f t="shared" ref="W8:W9" si="11">28*0.062427961</f>
        <v>1.747982908</v>
      </c>
      <c r="X8" s="4">
        <f>642*0.062427961</f>
        <v>40.078750962000001</v>
      </c>
      <c r="AA8" t="s">
        <v>1020</v>
      </c>
      <c r="AB8" s="4">
        <f t="shared" si="2"/>
        <v>0.20076481824</v>
      </c>
      <c r="AC8" s="18">
        <f>1213* 0.000239005736</f>
        <v>0.289913957768</v>
      </c>
      <c r="AD8" s="4">
        <f>1240* 0.000239005736</f>
        <v>0.29636711263999999</v>
      </c>
      <c r="AH8">
        <v>1</v>
      </c>
    </row>
    <row r="9" spans="1:34" x14ac:dyDescent="0.3">
      <c r="A9" t="s">
        <v>1023</v>
      </c>
      <c r="B9" s="19" t="s">
        <v>1024</v>
      </c>
      <c r="C9" t="s">
        <v>1025</v>
      </c>
      <c r="D9" t="s">
        <v>1000</v>
      </c>
      <c r="E9" t="s">
        <v>1012</v>
      </c>
      <c r="F9" t="s">
        <v>1019</v>
      </c>
      <c r="J9" s="4">
        <f t="shared" si="3"/>
        <v>6.5616797900262466E-2</v>
      </c>
      <c r="K9" s="4">
        <f>CONVERT(50,"mm","ft")</f>
        <v>0.16404199475065617</v>
      </c>
      <c r="L9" s="4">
        <f t="shared" ref="L9:L10" si="12">CONVERT(200,"mm","ft")</f>
        <v>0.65616797900262469</v>
      </c>
      <c r="P9" s="4">
        <f t="shared" si="0"/>
        <v>4.0883495349599999</v>
      </c>
      <c r="Q9" s="4">
        <f t="shared" ref="Q9" si="13">0.04*5.678263243</f>
        <v>0.22713052972</v>
      </c>
      <c r="R9" s="4">
        <f>0.18*5.678263243</f>
        <v>1.02208738374</v>
      </c>
      <c r="V9" s="4">
        <f t="shared" si="1"/>
        <v>109.99806728199999</v>
      </c>
      <c r="W9" s="20">
        <f t="shared" si="11"/>
        <v>1.747982908</v>
      </c>
      <c r="X9" s="4">
        <f>642*0.062427961</f>
        <v>40.078750962000001</v>
      </c>
      <c r="AA9" t="s">
        <v>1023</v>
      </c>
      <c r="AB9" s="4">
        <f t="shared" si="2"/>
        <v>0.20076481824</v>
      </c>
      <c r="AC9" s="18">
        <f>1213* 0.000239005736</f>
        <v>0.289913957768</v>
      </c>
      <c r="AD9" s="4">
        <f>1240* 0.000239005736</f>
        <v>0.29636711263999999</v>
      </c>
      <c r="AH9">
        <v>1</v>
      </c>
    </row>
    <row r="10" spans="1:34" x14ac:dyDescent="0.3">
      <c r="A10" t="s">
        <v>1026</v>
      </c>
      <c r="B10" s="19" t="s">
        <v>1027</v>
      </c>
      <c r="C10" t="s">
        <v>1028</v>
      </c>
      <c r="D10" t="s">
        <v>1000</v>
      </c>
      <c r="E10" t="s">
        <v>1029</v>
      </c>
      <c r="F10" t="s">
        <v>1019</v>
      </c>
      <c r="J10" s="4">
        <f t="shared" si="3"/>
        <v>6.5616797900262466E-2</v>
      </c>
      <c r="K10" s="4">
        <f>CONVERT(50,"mm","ft")</f>
        <v>0.16404199475065617</v>
      </c>
      <c r="L10" s="4">
        <f t="shared" si="12"/>
        <v>0.65616797900262469</v>
      </c>
      <c r="P10" s="4">
        <f t="shared" si="0"/>
        <v>4.0883495349599999</v>
      </c>
      <c r="Q10" s="4">
        <f>0.03*5.678263243</f>
        <v>0.17034789728999999</v>
      </c>
      <c r="R10" s="4">
        <f>0.18*5.678263243</f>
        <v>1.02208738374</v>
      </c>
      <c r="V10" s="4">
        <f t="shared" si="1"/>
        <v>109.99806728199999</v>
      </c>
      <c r="W10" s="20">
        <f>40*0.062427961</f>
        <v>2.4971184399999999</v>
      </c>
      <c r="X10" s="4">
        <f>642*0.062427961</f>
        <v>40.078750962000001</v>
      </c>
      <c r="AA10" t="s">
        <v>1026</v>
      </c>
      <c r="AB10" s="4">
        <f t="shared" si="2"/>
        <v>0.20076481824</v>
      </c>
      <c r="AC10" s="18">
        <f>1590* 0.000239005736</f>
        <v>0.38001912024000001</v>
      </c>
      <c r="AD10" s="4">
        <f>1240* 0.000239005736</f>
        <v>0.29636711263999999</v>
      </c>
      <c r="AH10">
        <v>1</v>
      </c>
    </row>
    <row r="11" spans="1:34" x14ac:dyDescent="0.3">
      <c r="A11" t="s">
        <v>1030</v>
      </c>
      <c r="B11" s="19" t="s">
        <v>1031</v>
      </c>
      <c r="C11" t="s">
        <v>1032</v>
      </c>
      <c r="D11" t="s">
        <v>1000</v>
      </c>
      <c r="E11" t="s">
        <v>1029</v>
      </c>
      <c r="F11" t="s">
        <v>1033</v>
      </c>
      <c r="J11" s="4">
        <f t="shared" si="3"/>
        <v>6.5616797900262466E-2</v>
      </c>
      <c r="K11" s="4">
        <f>CONVERT(30,"mm","ft")</f>
        <v>9.8425196850393706E-2</v>
      </c>
      <c r="L11" s="4">
        <f t="shared" si="4"/>
        <v>0.75459317585301833</v>
      </c>
      <c r="P11" s="4">
        <f t="shared" si="0"/>
        <v>4.0883495349599999</v>
      </c>
      <c r="Q11" s="4">
        <f>0.03*5.678263243</f>
        <v>0.17034789728999999</v>
      </c>
      <c r="R11" s="4">
        <f>0.86*5.678263243</f>
        <v>4.8833063889799995</v>
      </c>
      <c r="V11" s="4">
        <f t="shared" si="1"/>
        <v>109.99806728199999</v>
      </c>
      <c r="W11" s="20">
        <f>40*0.062427961</f>
        <v>2.4971184399999999</v>
      </c>
      <c r="X11" s="4">
        <f>1650*0.062427961</f>
        <v>103.00613564999999</v>
      </c>
      <c r="AA11" t="s">
        <v>1030</v>
      </c>
      <c r="AB11" s="4">
        <f t="shared" si="2"/>
        <v>0.20076481824</v>
      </c>
      <c r="AC11" s="18">
        <f>1590* 0.000239005736</f>
        <v>0.38001912024000001</v>
      </c>
      <c r="AD11" s="4">
        <f>930* 0.000239005736</f>
        <v>0.22227533448</v>
      </c>
      <c r="AH11">
        <v>1</v>
      </c>
    </row>
    <row r="12" spans="1:34" x14ac:dyDescent="0.3">
      <c r="A12" t="s">
        <v>1034</v>
      </c>
      <c r="B12" s="19" t="s">
        <v>1035</v>
      </c>
      <c r="C12" t="s">
        <v>1036</v>
      </c>
      <c r="D12" t="s">
        <v>1000</v>
      </c>
      <c r="E12" t="s">
        <v>1029</v>
      </c>
      <c r="F12" t="s">
        <v>1033</v>
      </c>
      <c r="J12" s="4">
        <f t="shared" si="3"/>
        <v>6.5616797900262466E-2</v>
      </c>
      <c r="K12" s="4">
        <f>CONVERT(50,"mm","ft")</f>
        <v>0.16404199475065617</v>
      </c>
      <c r="L12" s="4">
        <f t="shared" si="4"/>
        <v>0.75459317585301833</v>
      </c>
      <c r="P12" s="4">
        <f t="shared" si="0"/>
        <v>4.0883495349599999</v>
      </c>
      <c r="Q12" s="4">
        <f>0.03*5.678263243</f>
        <v>0.17034789728999999</v>
      </c>
      <c r="R12" s="4">
        <f>0.86*5.678263243</f>
        <v>4.8833063889799995</v>
      </c>
      <c r="V12" s="4">
        <f t="shared" si="1"/>
        <v>109.99806728199999</v>
      </c>
      <c r="W12" s="20">
        <f>40*0.062427961</f>
        <v>2.4971184399999999</v>
      </c>
      <c r="X12" s="4">
        <f>1650*0.062427961</f>
        <v>103.00613564999999</v>
      </c>
      <c r="AA12" t="s">
        <v>1034</v>
      </c>
      <c r="AB12" s="4">
        <f t="shared" si="2"/>
        <v>0.20076481824</v>
      </c>
      <c r="AC12" s="18">
        <f>1590* 0.000239005736</f>
        <v>0.38001912024000001</v>
      </c>
      <c r="AD12" s="4">
        <f>930* 0.000239005736</f>
        <v>0.22227533448</v>
      </c>
      <c r="AH12">
        <v>1</v>
      </c>
    </row>
    <row r="13" spans="1:34" x14ac:dyDescent="0.3">
      <c r="A13" t="s">
        <v>1037</v>
      </c>
      <c r="B13" s="19" t="s">
        <v>1038</v>
      </c>
      <c r="C13" t="s">
        <v>1039</v>
      </c>
      <c r="D13" t="s">
        <v>1000</v>
      </c>
      <c r="E13" t="s">
        <v>1040</v>
      </c>
      <c r="F13" t="s">
        <v>1000</v>
      </c>
      <c r="J13" s="4">
        <f t="shared" si="3"/>
        <v>6.5616797900262466E-2</v>
      </c>
      <c r="K13" s="4">
        <f>CONVERT(200,"mm","ft")</f>
        <v>0.65616797900262469</v>
      </c>
      <c r="L13" s="4">
        <f>CONVERT(20,"mm","ft")</f>
        <v>6.5616797900262466E-2</v>
      </c>
      <c r="P13" s="4">
        <f t="shared" si="0"/>
        <v>4.0883495349599999</v>
      </c>
      <c r="Q13" s="4">
        <f>1.14*5.678263243</f>
        <v>6.4732200970199996</v>
      </c>
      <c r="R13" s="4">
        <f>0.72*5.678263243</f>
        <v>4.0883495349599999</v>
      </c>
      <c r="V13" s="4">
        <f t="shared" si="1"/>
        <v>109.99806728199999</v>
      </c>
      <c r="W13" s="20">
        <f>2349*0.062427961</f>
        <v>146.64328038899998</v>
      </c>
      <c r="X13" s="4">
        <f>1762*0.062427961</f>
        <v>109.99806728199999</v>
      </c>
      <c r="AA13" t="s">
        <v>1037</v>
      </c>
      <c r="AB13" s="4">
        <f t="shared" si="2"/>
        <v>0.20076481824</v>
      </c>
      <c r="AC13" s="18">
        <f>800* 0.000239005736</f>
        <v>0.19120458879999999</v>
      </c>
      <c r="AD13" s="4">
        <f t="shared" ref="AD13:AD21" si="14">840* 0.000239005736</f>
        <v>0.20076481824</v>
      </c>
      <c r="AH13">
        <v>1</v>
      </c>
    </row>
    <row r="14" spans="1:34" x14ac:dyDescent="0.3">
      <c r="A14" t="s">
        <v>1041</v>
      </c>
      <c r="B14" s="19" t="s">
        <v>1042</v>
      </c>
      <c r="C14" t="s">
        <v>1043</v>
      </c>
      <c r="D14" t="s">
        <v>1000</v>
      </c>
      <c r="E14" t="s">
        <v>1005</v>
      </c>
      <c r="F14" t="s">
        <v>1001</v>
      </c>
      <c r="J14" s="4">
        <f t="shared" si="3"/>
        <v>6.5616797900262466E-2</v>
      </c>
      <c r="K14" s="4">
        <f>CONVERT(200,"mm","ft")</f>
        <v>0.65616797900262469</v>
      </c>
      <c r="L14" s="4">
        <f>CONVERT(20,"mm","ft")</f>
        <v>6.5616797900262466E-2</v>
      </c>
      <c r="P14" s="4">
        <f t="shared" si="0"/>
        <v>4.0883495349599999</v>
      </c>
      <c r="Q14" s="4">
        <f>0.03*5.678263243</f>
        <v>0.17034789728999999</v>
      </c>
      <c r="R14" s="4">
        <f t="shared" si="6"/>
        <v>5.5646979781399999</v>
      </c>
      <c r="V14" s="4">
        <f t="shared" si="1"/>
        <v>109.99806728199999</v>
      </c>
      <c r="W14" s="20">
        <f>35*0.062427961</f>
        <v>2.1849786349999998</v>
      </c>
      <c r="X14" s="4">
        <f>2349*0.062427961</f>
        <v>146.64328038899998</v>
      </c>
      <c r="AA14" t="s">
        <v>1041</v>
      </c>
      <c r="AB14" s="4">
        <f t="shared" si="2"/>
        <v>0.20076481824</v>
      </c>
      <c r="AC14" s="18">
        <f>1213* 0.000239005736</f>
        <v>0.289913957768</v>
      </c>
      <c r="AD14" s="4">
        <f>800* 0.000239005736</f>
        <v>0.19120458879999999</v>
      </c>
      <c r="AH14">
        <v>1</v>
      </c>
    </row>
    <row r="15" spans="1:34" x14ac:dyDescent="0.3">
      <c r="A15" t="s">
        <v>1044</v>
      </c>
      <c r="B15" s="19" t="s">
        <v>1045</v>
      </c>
      <c r="C15" t="s">
        <v>1046</v>
      </c>
      <c r="D15" t="s">
        <v>1000</v>
      </c>
      <c r="E15" t="s">
        <v>1012</v>
      </c>
      <c r="F15" t="s">
        <v>1001</v>
      </c>
      <c r="J15" s="4">
        <f t="shared" si="3"/>
        <v>6.5616797900262466E-2</v>
      </c>
      <c r="K15" s="4">
        <f>CONVERT(20,"mm","ft")</f>
        <v>6.5616797900262466E-2</v>
      </c>
      <c r="L15" s="4">
        <f>CONVERT(200,"mm","ft")</f>
        <v>0.65616797900262469</v>
      </c>
      <c r="P15" s="4">
        <f t="shared" si="0"/>
        <v>4.0883495349599999</v>
      </c>
      <c r="Q15" s="4">
        <f>0.04*5.678263243</f>
        <v>0.22713052972</v>
      </c>
      <c r="R15" s="4">
        <f>1.41*5.678263243</f>
        <v>8.0063511726299996</v>
      </c>
      <c r="V15" s="4">
        <f t="shared" si="1"/>
        <v>109.99806728199999</v>
      </c>
      <c r="W15" s="20">
        <f>28*0.062427961</f>
        <v>1.747982908</v>
      </c>
      <c r="X15" s="4">
        <f>2349*0.062427961</f>
        <v>146.64328038899998</v>
      </c>
      <c r="AA15" t="s">
        <v>1044</v>
      </c>
      <c r="AB15" s="4">
        <f t="shared" si="2"/>
        <v>0.20076481824</v>
      </c>
      <c r="AC15" s="18">
        <f>1213* 0.000239005736</f>
        <v>0.289913957768</v>
      </c>
      <c r="AD15" s="4">
        <f t="shared" ref="AD15:AD20" si="15">300* 0.000239005736</f>
        <v>7.1701720799999993E-2</v>
      </c>
      <c r="AH15">
        <v>1</v>
      </c>
    </row>
    <row r="16" spans="1:34" x14ac:dyDescent="0.3">
      <c r="A16" t="s">
        <v>1047</v>
      </c>
      <c r="B16" s="19" t="s">
        <v>1048</v>
      </c>
      <c r="C16" t="s">
        <v>1049</v>
      </c>
      <c r="D16" t="s">
        <v>1000</v>
      </c>
      <c r="E16" t="s">
        <v>1012</v>
      </c>
      <c r="F16" t="s">
        <v>1001</v>
      </c>
      <c r="J16" s="4">
        <f t="shared" si="3"/>
        <v>6.5616797900262466E-2</v>
      </c>
      <c r="K16" s="4">
        <f>CONVERT(20,"mm","ft")</f>
        <v>6.5616797900262466E-2</v>
      </c>
      <c r="L16" s="4">
        <f t="shared" ref="L16:L20" si="16">CONVERT(200,"mm","ft")</f>
        <v>0.65616797900262469</v>
      </c>
      <c r="P16" s="4">
        <f t="shared" si="0"/>
        <v>4.0883495349599999</v>
      </c>
      <c r="Q16" s="4">
        <f>0.04*5.678263243</f>
        <v>0.22713052972</v>
      </c>
      <c r="R16" s="4">
        <f t="shared" ref="R16:R20" si="17">1.41*5.678263243</f>
        <v>8.0063511726299996</v>
      </c>
      <c r="V16" s="4">
        <f t="shared" si="1"/>
        <v>109.99806728199999</v>
      </c>
      <c r="W16" s="20">
        <f>28*0.062427961</f>
        <v>1.747982908</v>
      </c>
      <c r="X16" s="4">
        <f>2349*0.062427961</f>
        <v>146.64328038899998</v>
      </c>
      <c r="AA16" t="s">
        <v>1047</v>
      </c>
      <c r="AB16" s="4">
        <f t="shared" si="2"/>
        <v>0.20076481824</v>
      </c>
      <c r="AC16" s="18">
        <f t="shared" ref="AC16:AC20" si="18">1213* 0.000239005736</f>
        <v>0.289913957768</v>
      </c>
      <c r="AD16" s="4">
        <f t="shared" si="15"/>
        <v>7.1701720799999993E-2</v>
      </c>
      <c r="AH16">
        <v>1</v>
      </c>
    </row>
    <row r="17" spans="1:34" x14ac:dyDescent="0.3">
      <c r="A17" t="s">
        <v>1050</v>
      </c>
      <c r="B17" s="19" t="s">
        <v>1051</v>
      </c>
      <c r="C17" t="s">
        <v>1052</v>
      </c>
      <c r="D17" t="s">
        <v>1000</v>
      </c>
      <c r="E17" t="s">
        <v>1005</v>
      </c>
      <c r="F17" t="s">
        <v>1001</v>
      </c>
      <c r="J17" s="4">
        <f t="shared" si="3"/>
        <v>6.5616797900262466E-2</v>
      </c>
      <c r="K17" s="4">
        <f>CONVERT(30,"mm","ft")</f>
        <v>9.8425196850393706E-2</v>
      </c>
      <c r="L17" s="4">
        <f t="shared" si="16"/>
        <v>0.65616797900262469</v>
      </c>
      <c r="P17" s="4">
        <f t="shared" si="0"/>
        <v>4.0883495349599999</v>
      </c>
      <c r="Q17" s="4">
        <f>0.03*5.678263243</f>
        <v>0.17034789728999999</v>
      </c>
      <c r="R17" s="4">
        <f t="shared" si="17"/>
        <v>8.0063511726299996</v>
      </c>
      <c r="V17" s="4">
        <f t="shared" si="1"/>
        <v>109.99806728199999</v>
      </c>
      <c r="W17" s="20">
        <f>35*0.062427961</f>
        <v>2.1849786349999998</v>
      </c>
      <c r="X17" s="4">
        <f t="shared" ref="X17:X20" si="19">2349*0.062427961</f>
        <v>146.64328038899998</v>
      </c>
      <c r="AA17" t="s">
        <v>1050</v>
      </c>
      <c r="AB17" s="4">
        <f t="shared" si="2"/>
        <v>0.20076481824</v>
      </c>
      <c r="AC17" s="18">
        <f t="shared" si="18"/>
        <v>0.289913957768</v>
      </c>
      <c r="AD17" s="4">
        <f t="shared" si="15"/>
        <v>7.1701720799999993E-2</v>
      </c>
      <c r="AH17">
        <v>1</v>
      </c>
    </row>
    <row r="18" spans="1:34" x14ac:dyDescent="0.3">
      <c r="A18" t="s">
        <v>1053</v>
      </c>
      <c r="B18" s="19" t="s">
        <v>1054</v>
      </c>
      <c r="C18" t="s">
        <v>1055</v>
      </c>
      <c r="D18" t="s">
        <v>1000</v>
      </c>
      <c r="E18" t="s">
        <v>1005</v>
      </c>
      <c r="F18" t="s">
        <v>1001</v>
      </c>
      <c r="J18" s="4">
        <f t="shared" si="3"/>
        <v>6.5616797900262466E-2</v>
      </c>
      <c r="K18" s="4">
        <f>CONVERT(50,"mm","ft")</f>
        <v>0.16404199475065617</v>
      </c>
      <c r="L18" s="4">
        <f t="shared" si="16"/>
        <v>0.65616797900262469</v>
      </c>
      <c r="P18" s="4">
        <f t="shared" si="0"/>
        <v>4.0883495349599999</v>
      </c>
      <c r="Q18" s="4">
        <f t="shared" ref="Q18" si="20">0.03*5.678263243</f>
        <v>0.17034789728999999</v>
      </c>
      <c r="R18" s="4">
        <f t="shared" si="17"/>
        <v>8.0063511726299996</v>
      </c>
      <c r="V18" s="4">
        <f t="shared" si="1"/>
        <v>109.99806728199999</v>
      </c>
      <c r="W18" s="20">
        <f>35*0.062427961</f>
        <v>2.1849786349999998</v>
      </c>
      <c r="X18" s="4">
        <f t="shared" si="19"/>
        <v>146.64328038899998</v>
      </c>
      <c r="AA18" t="s">
        <v>1053</v>
      </c>
      <c r="AB18" s="4">
        <f t="shared" si="2"/>
        <v>0.20076481824</v>
      </c>
      <c r="AC18" s="18">
        <f t="shared" si="18"/>
        <v>0.289913957768</v>
      </c>
      <c r="AD18" s="4">
        <f t="shared" si="15"/>
        <v>7.1701720799999993E-2</v>
      </c>
      <c r="AH18">
        <v>1</v>
      </c>
    </row>
    <row r="19" spans="1:34" x14ac:dyDescent="0.3">
      <c r="A19" t="s">
        <v>1056</v>
      </c>
      <c r="B19" s="19" t="s">
        <v>1057</v>
      </c>
      <c r="C19" t="s">
        <v>1058</v>
      </c>
      <c r="D19" t="s">
        <v>1000</v>
      </c>
      <c r="E19" t="s">
        <v>1012</v>
      </c>
      <c r="F19" t="s">
        <v>1001</v>
      </c>
      <c r="J19" s="4">
        <f t="shared" si="3"/>
        <v>6.5616797900262466E-2</v>
      </c>
      <c r="K19" s="4">
        <f>CONVERT(30,"mm","ft")</f>
        <v>9.8425196850393706E-2</v>
      </c>
      <c r="L19" s="4">
        <f t="shared" si="16"/>
        <v>0.65616797900262469</v>
      </c>
      <c r="P19" s="4">
        <f t="shared" si="0"/>
        <v>4.0883495349599999</v>
      </c>
      <c r="Q19" s="4">
        <f>0.04*5.678263243</f>
        <v>0.22713052972</v>
      </c>
      <c r="R19" s="4">
        <f t="shared" si="17"/>
        <v>8.0063511726299996</v>
      </c>
      <c r="V19" s="4">
        <f t="shared" si="1"/>
        <v>109.99806728199999</v>
      </c>
      <c r="W19" s="20">
        <f>28*0.062427961</f>
        <v>1.747982908</v>
      </c>
      <c r="X19" s="4">
        <f t="shared" si="19"/>
        <v>146.64328038899998</v>
      </c>
      <c r="AA19" t="s">
        <v>1056</v>
      </c>
      <c r="AB19" s="4">
        <f t="shared" si="2"/>
        <v>0.20076481824</v>
      </c>
      <c r="AC19" s="18">
        <f t="shared" si="18"/>
        <v>0.289913957768</v>
      </c>
      <c r="AD19" s="4">
        <f t="shared" si="15"/>
        <v>7.1701720799999993E-2</v>
      </c>
      <c r="AH19">
        <v>1</v>
      </c>
    </row>
    <row r="20" spans="1:34" x14ac:dyDescent="0.3">
      <c r="A20" t="s">
        <v>1059</v>
      </c>
      <c r="B20" s="19" t="s">
        <v>1060</v>
      </c>
      <c r="C20" t="s">
        <v>1061</v>
      </c>
      <c r="D20" t="s">
        <v>1000</v>
      </c>
      <c r="E20" t="s">
        <v>1012</v>
      </c>
      <c r="F20" t="s">
        <v>1001</v>
      </c>
      <c r="J20" s="4">
        <f t="shared" si="3"/>
        <v>6.5616797900262466E-2</v>
      </c>
      <c r="K20" s="4">
        <f>CONVERT(50,"mm","ft")</f>
        <v>0.16404199475065617</v>
      </c>
      <c r="L20" s="4">
        <f t="shared" si="16"/>
        <v>0.65616797900262469</v>
      </c>
      <c r="P20" s="4">
        <f t="shared" si="0"/>
        <v>4.0883495349599999</v>
      </c>
      <c r="Q20" s="4">
        <f>0.04*5.678263243</f>
        <v>0.22713052972</v>
      </c>
      <c r="R20" s="4">
        <f t="shared" si="17"/>
        <v>8.0063511726299996</v>
      </c>
      <c r="V20" s="4">
        <f t="shared" si="1"/>
        <v>109.99806728199999</v>
      </c>
      <c r="W20" s="20">
        <f>28*0.062427961</f>
        <v>1.747982908</v>
      </c>
      <c r="X20" s="4">
        <f t="shared" si="19"/>
        <v>146.64328038899998</v>
      </c>
      <c r="AA20" t="s">
        <v>1059</v>
      </c>
      <c r="AB20" s="4">
        <f t="shared" si="2"/>
        <v>0.20076481824</v>
      </c>
      <c r="AC20" s="18">
        <f t="shared" si="18"/>
        <v>0.289913957768</v>
      </c>
      <c r="AD20" s="4">
        <f t="shared" si="15"/>
        <v>7.1701720799999993E-2</v>
      </c>
      <c r="AH20">
        <v>1</v>
      </c>
    </row>
    <row r="21" spans="1:34" x14ac:dyDescent="0.3">
      <c r="A21" t="s">
        <v>1062</v>
      </c>
      <c r="B21" s="19" t="s">
        <v>1063</v>
      </c>
      <c r="C21" t="s">
        <v>1064</v>
      </c>
      <c r="D21" t="s">
        <v>1000</v>
      </c>
      <c r="E21" t="s">
        <v>1065</v>
      </c>
      <c r="F21" t="s">
        <v>1000</v>
      </c>
      <c r="J21" s="4">
        <f t="shared" si="3"/>
        <v>6.5616797900262466E-2</v>
      </c>
      <c r="K21" s="4">
        <f>CONVERT(200,"mm","ft")</f>
        <v>0.65616797900262469</v>
      </c>
      <c r="L21" s="4">
        <f>CONVERT(20,"mm","ft")</f>
        <v>6.5616797900262466E-2</v>
      </c>
      <c r="P21" s="4">
        <f t="shared" si="0"/>
        <v>4.0883495349599999</v>
      </c>
      <c r="Q21" s="4">
        <f>1.58*5.678263243</f>
        <v>8.9716559239400002</v>
      </c>
      <c r="R21" s="4">
        <f>0.72*5.678263243</f>
        <v>4.0883495349599999</v>
      </c>
      <c r="V21" s="4">
        <f t="shared" si="1"/>
        <v>109.99806728199999</v>
      </c>
      <c r="W21" s="20">
        <f>2288*0.062427961</f>
        <v>142.835174768</v>
      </c>
      <c r="X21" s="4">
        <f>1762*0.062427961</f>
        <v>109.99806728199999</v>
      </c>
      <c r="AA21" t="s">
        <v>1062</v>
      </c>
      <c r="AB21" s="4">
        <f t="shared" si="2"/>
        <v>0.20076481824</v>
      </c>
      <c r="AC21" s="18">
        <f>880* 0.000239005736</f>
        <v>0.21032504767999999</v>
      </c>
      <c r="AD21" s="4">
        <f t="shared" si="14"/>
        <v>0.20076481824</v>
      </c>
      <c r="AH21">
        <v>1</v>
      </c>
    </row>
    <row r="23" spans="1:34" x14ac:dyDescent="0.3">
      <c r="K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C4FE-153F-450B-8B96-60EE246EB7D1}">
  <dimension ref="A1:AH23"/>
  <sheetViews>
    <sheetView tabSelected="1" workbookViewId="0">
      <selection activeCell="K10" sqref="K10"/>
    </sheetView>
  </sheetViews>
  <sheetFormatPr defaultRowHeight="14.4" x14ac:dyDescent="0.3"/>
  <cols>
    <col min="1" max="1" width="7" bestFit="1" customWidth="1"/>
    <col min="2" max="2" width="30.109375" bestFit="1" customWidth="1"/>
    <col min="3" max="3" width="18.33203125" bestFit="1" customWidth="1"/>
    <col min="4" max="4" width="6.6640625" bestFit="1" customWidth="1"/>
    <col min="5" max="6" width="7.88671875" bestFit="1" customWidth="1"/>
    <col min="7" max="9" width="6.33203125" bestFit="1" customWidth="1"/>
    <col min="10" max="15" width="14.88671875" bestFit="1" customWidth="1"/>
    <col min="16" max="21" width="17.44140625" bestFit="1" customWidth="1"/>
    <col min="22" max="27" width="13.44140625" bestFit="1" customWidth="1"/>
    <col min="28" max="33" width="14.21875" bestFit="1" customWidth="1"/>
    <col min="34" max="34" width="11.21875" bestFit="1" customWidth="1"/>
  </cols>
  <sheetData>
    <row r="1" spans="1:34" x14ac:dyDescent="0.3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  <c r="AE1" t="s">
        <v>993</v>
      </c>
      <c r="AF1" t="s">
        <v>994</v>
      </c>
      <c r="AG1" t="s">
        <v>995</v>
      </c>
      <c r="AH1" t="s">
        <v>996</v>
      </c>
    </row>
    <row r="2" spans="1:34" x14ac:dyDescent="0.3">
      <c r="A2" s="21" t="s">
        <v>1086</v>
      </c>
      <c r="B2" s="21" t="s">
        <v>1063</v>
      </c>
      <c r="C2" t="s">
        <v>1064</v>
      </c>
      <c r="D2" t="s">
        <v>1000</v>
      </c>
      <c r="E2" t="s">
        <v>1107</v>
      </c>
      <c r="F2" t="s">
        <v>1065</v>
      </c>
      <c r="J2" s="17">
        <f>CONVERT(20,"mm","ft")</f>
        <v>6.5616797900262466E-2</v>
      </c>
      <c r="K2" s="17">
        <f>CONVERT(80,"mm","ft")</f>
        <v>0.26246719160104987</v>
      </c>
      <c r="L2" s="17">
        <f>CONVERT(150,"mm","ft")</f>
        <v>0.49212598425196852</v>
      </c>
      <c r="P2" s="4">
        <f>0.72*5.678263243</f>
        <v>4.0883495349599999</v>
      </c>
      <c r="Q2" s="4">
        <f>0.8*5.678263243</f>
        <v>4.5426105944000001</v>
      </c>
      <c r="R2" s="4">
        <f>1.58*5.678263243</f>
        <v>8.9716559239400002</v>
      </c>
      <c r="V2" s="4">
        <f>1762*0.062427961</f>
        <v>109.99806728199999</v>
      </c>
      <c r="W2" s="4">
        <f>1892*0.062427961</f>
        <v>118.11370221199999</v>
      </c>
      <c r="X2" s="4">
        <f>2288*0.062427961</f>
        <v>142.835174768</v>
      </c>
      <c r="AA2" s="21" t="s">
        <v>1086</v>
      </c>
      <c r="AB2" s="4">
        <f>840* 0.000239005736</f>
        <v>0.20076481824</v>
      </c>
      <c r="AC2" s="18">
        <f>880* 0.000239005736</f>
        <v>0.21032504767999999</v>
      </c>
      <c r="AD2" s="4">
        <f>880* 0.000239005736</f>
        <v>0.21032504767999999</v>
      </c>
      <c r="AH2">
        <v>1</v>
      </c>
    </row>
    <row r="3" spans="1:34" x14ac:dyDescent="0.3">
      <c r="A3" s="22" t="s">
        <v>1087</v>
      </c>
      <c r="B3" s="22" t="s">
        <v>1066</v>
      </c>
      <c r="C3" t="s">
        <v>1064</v>
      </c>
      <c r="D3" t="s">
        <v>1000</v>
      </c>
      <c r="E3" t="s">
        <v>1107</v>
      </c>
      <c r="F3" t="s">
        <v>1108</v>
      </c>
      <c r="J3" s="4">
        <f>CONVERT(20,"mm","ft")</f>
        <v>6.5616797900262466E-2</v>
      </c>
      <c r="K3" s="17">
        <f t="shared" ref="K3:K22" si="0">CONVERT(80,"mm","ft")</f>
        <v>0.26246719160104987</v>
      </c>
      <c r="L3" s="4">
        <f>CONVERT(30,"mm","ft")</f>
        <v>9.8425196850393706E-2</v>
      </c>
      <c r="P3" s="4">
        <f t="shared" ref="P3:P22" si="1">0.72*5.678263243</f>
        <v>4.0883495349599999</v>
      </c>
      <c r="Q3" s="4">
        <f t="shared" ref="Q3:Q22" si="2">0.8*5.678263243</f>
        <v>4.5426105944000001</v>
      </c>
      <c r="R3" s="4">
        <f>0.03*5.678263243</f>
        <v>0.17034789728999999</v>
      </c>
      <c r="V3" s="4">
        <f t="shared" ref="V3:V22" si="3">1762*0.062427961</f>
        <v>109.99806728199999</v>
      </c>
      <c r="W3" s="4">
        <f t="shared" ref="W3:W22" si="4">1892*0.062427961</f>
        <v>118.11370221199999</v>
      </c>
      <c r="X3" s="4">
        <f>35*0.062427961</f>
        <v>2.1849786349999998</v>
      </c>
      <c r="AA3" s="22" t="s">
        <v>1087</v>
      </c>
      <c r="AB3" s="4">
        <f t="shared" ref="AB3:AB22" si="5">840* 0.000239005736</f>
        <v>0.20076481824</v>
      </c>
      <c r="AC3" s="18">
        <f t="shared" ref="AC3:AC22" si="6">880* 0.000239005736</f>
        <v>0.21032504767999999</v>
      </c>
      <c r="AD3" s="4">
        <f>1213* 0.000239005736</f>
        <v>0.289913957768</v>
      </c>
      <c r="AH3">
        <v>1</v>
      </c>
    </row>
    <row r="4" spans="1:34" x14ac:dyDescent="0.3">
      <c r="A4" s="22" t="s">
        <v>1088</v>
      </c>
      <c r="B4" s="22" t="s">
        <v>1067</v>
      </c>
      <c r="C4" t="s">
        <v>1064</v>
      </c>
      <c r="D4" t="s">
        <v>1000</v>
      </c>
      <c r="E4" t="s">
        <v>1107</v>
      </c>
      <c r="F4" t="s">
        <v>1108</v>
      </c>
      <c r="J4" s="4">
        <f t="shared" ref="J4:J22" si="7">CONVERT(20,"mm","ft")</f>
        <v>6.5616797900262466E-2</v>
      </c>
      <c r="K4" s="17">
        <f t="shared" si="0"/>
        <v>0.26246719160104987</v>
      </c>
      <c r="L4" s="4">
        <f>CONVERT(50,"mm","ft")</f>
        <v>0.16404199475065617</v>
      </c>
      <c r="P4" s="4">
        <f t="shared" si="1"/>
        <v>4.0883495349599999</v>
      </c>
      <c r="Q4" s="4">
        <f t="shared" si="2"/>
        <v>4.5426105944000001</v>
      </c>
      <c r="R4" s="4">
        <f t="shared" ref="R4:R10" si="8">0.03*5.678263243</f>
        <v>0.17034789728999999</v>
      </c>
      <c r="V4" s="4">
        <f t="shared" si="3"/>
        <v>109.99806728199999</v>
      </c>
      <c r="W4" s="4">
        <f t="shared" si="4"/>
        <v>118.11370221199999</v>
      </c>
      <c r="X4" s="4">
        <f t="shared" ref="X4:X6" si="9">35*0.062427961</f>
        <v>2.1849786349999998</v>
      </c>
      <c r="AA4" s="22" t="s">
        <v>1088</v>
      </c>
      <c r="AB4" s="4">
        <f t="shared" si="5"/>
        <v>0.20076481824</v>
      </c>
      <c r="AC4" s="18">
        <f t="shared" si="6"/>
        <v>0.21032504767999999</v>
      </c>
      <c r="AD4" s="4">
        <f t="shared" ref="AD4:AD6" si="10">1213* 0.000239005736</f>
        <v>0.289913957768</v>
      </c>
      <c r="AH4">
        <v>1</v>
      </c>
    </row>
    <row r="5" spans="1:34" x14ac:dyDescent="0.3">
      <c r="A5" s="22" t="s">
        <v>1089</v>
      </c>
      <c r="B5" s="22" t="s">
        <v>1068</v>
      </c>
      <c r="C5" t="s">
        <v>1064</v>
      </c>
      <c r="D5" t="s">
        <v>1000</v>
      </c>
      <c r="E5" t="s">
        <v>1107</v>
      </c>
      <c r="F5" t="s">
        <v>1108</v>
      </c>
      <c r="J5" s="4">
        <f t="shared" si="7"/>
        <v>6.5616797900262466E-2</v>
      </c>
      <c r="K5" s="17">
        <f t="shared" si="0"/>
        <v>0.26246719160104987</v>
      </c>
      <c r="L5" s="4">
        <f>CONVERT(80,"mm","ft")</f>
        <v>0.26246719160104987</v>
      </c>
      <c r="P5" s="4">
        <f t="shared" si="1"/>
        <v>4.0883495349599999</v>
      </c>
      <c r="Q5" s="4">
        <f t="shared" si="2"/>
        <v>4.5426105944000001</v>
      </c>
      <c r="R5" s="4">
        <f t="shared" si="8"/>
        <v>0.17034789728999999</v>
      </c>
      <c r="V5" s="4">
        <f t="shared" si="3"/>
        <v>109.99806728199999</v>
      </c>
      <c r="W5" s="4">
        <f t="shared" si="4"/>
        <v>118.11370221199999</v>
      </c>
      <c r="X5" s="4">
        <f t="shared" si="9"/>
        <v>2.1849786349999998</v>
      </c>
      <c r="AA5" s="22" t="s">
        <v>1089</v>
      </c>
      <c r="AB5" s="4">
        <f t="shared" si="5"/>
        <v>0.20076481824</v>
      </c>
      <c r="AC5" s="18">
        <f t="shared" si="6"/>
        <v>0.21032504767999999</v>
      </c>
      <c r="AD5" s="4">
        <f t="shared" si="10"/>
        <v>0.289913957768</v>
      </c>
      <c r="AH5">
        <v>1</v>
      </c>
    </row>
    <row r="6" spans="1:34" x14ac:dyDescent="0.3">
      <c r="A6" s="22" t="s">
        <v>1090</v>
      </c>
      <c r="B6" s="22" t="s">
        <v>1069</v>
      </c>
      <c r="C6" t="s">
        <v>1064</v>
      </c>
      <c r="D6" t="s">
        <v>1000</v>
      </c>
      <c r="E6" t="s">
        <v>1107</v>
      </c>
      <c r="F6" t="s">
        <v>1108</v>
      </c>
      <c r="J6" s="4">
        <f t="shared" si="7"/>
        <v>6.5616797900262466E-2</v>
      </c>
      <c r="K6" s="17">
        <f t="shared" si="0"/>
        <v>0.26246719160104987</v>
      </c>
      <c r="L6" s="4">
        <f>CONVERT(100,"mm","ft")</f>
        <v>0.32808398950131235</v>
      </c>
      <c r="P6" s="4">
        <f t="shared" si="1"/>
        <v>4.0883495349599999</v>
      </c>
      <c r="Q6" s="4">
        <f t="shared" si="2"/>
        <v>4.5426105944000001</v>
      </c>
      <c r="R6" s="4">
        <f t="shared" si="8"/>
        <v>0.17034789728999999</v>
      </c>
      <c r="V6" s="4">
        <f t="shared" si="3"/>
        <v>109.99806728199999</v>
      </c>
      <c r="W6" s="4">
        <f t="shared" si="4"/>
        <v>118.11370221199999</v>
      </c>
      <c r="X6" s="4">
        <f t="shared" si="9"/>
        <v>2.1849786349999998</v>
      </c>
      <c r="AA6" s="22" t="s">
        <v>1090</v>
      </c>
      <c r="AB6" s="4">
        <f t="shared" si="5"/>
        <v>0.20076481824</v>
      </c>
      <c r="AC6" s="18">
        <f t="shared" si="6"/>
        <v>0.21032504767999999</v>
      </c>
      <c r="AD6" s="4">
        <f t="shared" si="10"/>
        <v>0.289913957768</v>
      </c>
      <c r="AH6">
        <v>1</v>
      </c>
    </row>
    <row r="7" spans="1:34" x14ac:dyDescent="0.3">
      <c r="A7" s="22" t="s">
        <v>1091</v>
      </c>
      <c r="B7" s="22" t="s">
        <v>1070</v>
      </c>
      <c r="C7" t="s">
        <v>1064</v>
      </c>
      <c r="D7" t="s">
        <v>1000</v>
      </c>
      <c r="E7" t="s">
        <v>1107</v>
      </c>
      <c r="F7" t="s">
        <v>1029</v>
      </c>
      <c r="J7" s="4">
        <f t="shared" si="7"/>
        <v>6.5616797900262466E-2</v>
      </c>
      <c r="K7" s="17">
        <f t="shared" si="0"/>
        <v>0.26246719160104987</v>
      </c>
      <c r="L7" s="4">
        <f>CONVERT(30,"mm","ft")</f>
        <v>9.8425196850393706E-2</v>
      </c>
      <c r="P7" s="4">
        <f t="shared" si="1"/>
        <v>4.0883495349599999</v>
      </c>
      <c r="Q7" s="4">
        <f t="shared" si="2"/>
        <v>4.5426105944000001</v>
      </c>
      <c r="R7" s="4">
        <f t="shared" si="8"/>
        <v>0.17034789728999999</v>
      </c>
      <c r="V7" s="4">
        <f t="shared" si="3"/>
        <v>109.99806728199999</v>
      </c>
      <c r="W7" s="4">
        <f t="shared" si="4"/>
        <v>118.11370221199999</v>
      </c>
      <c r="X7" s="4">
        <f>40*0.062427961</f>
        <v>2.4971184399999999</v>
      </c>
      <c r="AA7" s="22" t="s">
        <v>1091</v>
      </c>
      <c r="AB7" s="4">
        <f t="shared" si="5"/>
        <v>0.20076481824</v>
      </c>
      <c r="AC7" s="18">
        <f t="shared" si="6"/>
        <v>0.21032504767999999</v>
      </c>
      <c r="AD7" s="4">
        <f>1590* 0.000239005736</f>
        <v>0.38001912024000001</v>
      </c>
      <c r="AH7">
        <v>1</v>
      </c>
    </row>
    <row r="8" spans="1:34" x14ac:dyDescent="0.3">
      <c r="A8" s="22" t="s">
        <v>1092</v>
      </c>
      <c r="B8" s="22" t="s">
        <v>1071</v>
      </c>
      <c r="C8" t="s">
        <v>1064</v>
      </c>
      <c r="D8" t="s">
        <v>1000</v>
      </c>
      <c r="E8" t="s">
        <v>1107</v>
      </c>
      <c r="F8" t="s">
        <v>1029</v>
      </c>
      <c r="J8" s="4">
        <f t="shared" si="7"/>
        <v>6.5616797900262466E-2</v>
      </c>
      <c r="K8" s="17">
        <f t="shared" si="0"/>
        <v>0.26246719160104987</v>
      </c>
      <c r="L8" s="4">
        <f>CONVERT(50,"mm","ft")</f>
        <v>0.16404199475065617</v>
      </c>
      <c r="P8" s="4">
        <f t="shared" si="1"/>
        <v>4.0883495349599999</v>
      </c>
      <c r="Q8" s="4">
        <f t="shared" si="2"/>
        <v>4.5426105944000001</v>
      </c>
      <c r="R8" s="4">
        <f t="shared" si="8"/>
        <v>0.17034789728999999</v>
      </c>
      <c r="V8" s="4">
        <f t="shared" si="3"/>
        <v>109.99806728199999</v>
      </c>
      <c r="W8" s="4">
        <f t="shared" si="4"/>
        <v>118.11370221199999</v>
      </c>
      <c r="X8" s="4">
        <f t="shared" ref="X8:X10" si="11">40*0.062427961</f>
        <v>2.4971184399999999</v>
      </c>
      <c r="AA8" s="22" t="s">
        <v>1092</v>
      </c>
      <c r="AB8" s="4">
        <f t="shared" si="5"/>
        <v>0.20076481824</v>
      </c>
      <c r="AC8" s="18">
        <f t="shared" si="6"/>
        <v>0.21032504767999999</v>
      </c>
      <c r="AD8" s="4">
        <f t="shared" ref="AD8:AD10" si="12">1590* 0.000239005736</f>
        <v>0.38001912024000001</v>
      </c>
      <c r="AH8">
        <v>1</v>
      </c>
    </row>
    <row r="9" spans="1:34" x14ac:dyDescent="0.3">
      <c r="A9" s="22" t="s">
        <v>1093</v>
      </c>
      <c r="B9" s="22" t="s">
        <v>1072</v>
      </c>
      <c r="C9" t="s">
        <v>1064</v>
      </c>
      <c r="D9" t="s">
        <v>1000</v>
      </c>
      <c r="E9" t="s">
        <v>1107</v>
      </c>
      <c r="F9" t="s">
        <v>1029</v>
      </c>
      <c r="J9" s="4">
        <f t="shared" si="7"/>
        <v>6.5616797900262466E-2</v>
      </c>
      <c r="K9" s="17">
        <f t="shared" si="0"/>
        <v>0.26246719160104987</v>
      </c>
      <c r="L9" s="4">
        <f>CONVERT(80,"mm","ft")</f>
        <v>0.26246719160104987</v>
      </c>
      <c r="P9" s="4">
        <f t="shared" si="1"/>
        <v>4.0883495349599999</v>
      </c>
      <c r="Q9" s="4">
        <f t="shared" si="2"/>
        <v>4.5426105944000001</v>
      </c>
      <c r="R9" s="4">
        <f t="shared" si="8"/>
        <v>0.17034789728999999</v>
      </c>
      <c r="V9" s="4">
        <f t="shared" si="3"/>
        <v>109.99806728199999</v>
      </c>
      <c r="W9" s="4">
        <f t="shared" si="4"/>
        <v>118.11370221199999</v>
      </c>
      <c r="X9" s="4">
        <f t="shared" si="11"/>
        <v>2.4971184399999999</v>
      </c>
      <c r="AA9" s="22" t="s">
        <v>1093</v>
      </c>
      <c r="AB9" s="4">
        <f t="shared" si="5"/>
        <v>0.20076481824</v>
      </c>
      <c r="AC9" s="18">
        <f t="shared" si="6"/>
        <v>0.21032504767999999</v>
      </c>
      <c r="AD9" s="4">
        <f t="shared" si="12"/>
        <v>0.38001912024000001</v>
      </c>
      <c r="AH9">
        <v>1</v>
      </c>
    </row>
    <row r="10" spans="1:34" x14ac:dyDescent="0.3">
      <c r="A10" s="22" t="s">
        <v>1094</v>
      </c>
      <c r="B10" s="22" t="s">
        <v>1073</v>
      </c>
      <c r="C10" t="s">
        <v>1064</v>
      </c>
      <c r="D10" t="s">
        <v>1000</v>
      </c>
      <c r="E10" t="s">
        <v>1107</v>
      </c>
      <c r="F10" t="s">
        <v>1029</v>
      </c>
      <c r="J10" s="4">
        <f t="shared" si="7"/>
        <v>6.5616797900262466E-2</v>
      </c>
      <c r="K10" s="17">
        <f t="shared" si="0"/>
        <v>0.26246719160104987</v>
      </c>
      <c r="L10" s="4">
        <f>CONVERT(100,"mm","ft")</f>
        <v>0.32808398950131235</v>
      </c>
      <c r="P10" s="4">
        <f t="shared" si="1"/>
        <v>4.0883495349599999</v>
      </c>
      <c r="Q10" s="4">
        <f t="shared" si="2"/>
        <v>4.5426105944000001</v>
      </c>
      <c r="R10" s="4">
        <f t="shared" si="8"/>
        <v>0.17034789728999999</v>
      </c>
      <c r="V10" s="4">
        <f t="shared" si="3"/>
        <v>109.99806728199999</v>
      </c>
      <c r="W10" s="4">
        <f t="shared" si="4"/>
        <v>118.11370221199999</v>
      </c>
      <c r="X10" s="4">
        <f t="shared" si="11"/>
        <v>2.4971184399999999</v>
      </c>
      <c r="AA10" s="22" t="s">
        <v>1094</v>
      </c>
      <c r="AB10" s="4">
        <f t="shared" si="5"/>
        <v>0.20076481824</v>
      </c>
      <c r="AC10" s="18">
        <f t="shared" si="6"/>
        <v>0.21032504767999999</v>
      </c>
      <c r="AD10" s="4">
        <f t="shared" si="12"/>
        <v>0.38001912024000001</v>
      </c>
      <c r="AH10">
        <v>1</v>
      </c>
    </row>
    <row r="11" spans="1:34" x14ac:dyDescent="0.3">
      <c r="A11" s="22" t="s">
        <v>1095</v>
      </c>
      <c r="B11" s="22" t="s">
        <v>1074</v>
      </c>
      <c r="C11" t="s">
        <v>1064</v>
      </c>
      <c r="D11" t="s">
        <v>1000</v>
      </c>
      <c r="E11" t="s">
        <v>1107</v>
      </c>
      <c r="F11" t="s">
        <v>1108</v>
      </c>
      <c r="J11" s="4">
        <f t="shared" si="7"/>
        <v>6.5616797900262466E-2</v>
      </c>
      <c r="K11" s="17">
        <f t="shared" si="0"/>
        <v>0.26246719160104987</v>
      </c>
      <c r="L11" s="4">
        <f>CONVERT(0,"mm","ft")</f>
        <v>0</v>
      </c>
      <c r="P11" s="4">
        <f t="shared" si="1"/>
        <v>4.0883495349599999</v>
      </c>
      <c r="Q11" s="4">
        <f t="shared" si="2"/>
        <v>4.5426105944000001</v>
      </c>
      <c r="R11" s="4">
        <f>0.04*5.678263243</f>
        <v>0.22713052972</v>
      </c>
      <c r="V11" s="4">
        <f t="shared" si="3"/>
        <v>109.99806728199999</v>
      </c>
      <c r="W11" s="4">
        <f t="shared" si="4"/>
        <v>118.11370221199999</v>
      </c>
      <c r="X11" s="4">
        <f>28*0.062427961</f>
        <v>1.747982908</v>
      </c>
      <c r="AA11" s="22" t="s">
        <v>1095</v>
      </c>
      <c r="AB11" s="4">
        <f t="shared" si="5"/>
        <v>0.20076481824</v>
      </c>
      <c r="AC11" s="18">
        <f t="shared" si="6"/>
        <v>0.21032504767999999</v>
      </c>
      <c r="AD11" s="4">
        <f>1213* 0.000239005736</f>
        <v>0.289913957768</v>
      </c>
      <c r="AH11">
        <v>1</v>
      </c>
    </row>
    <row r="12" spans="1:34" x14ac:dyDescent="0.3">
      <c r="A12" s="22" t="s">
        <v>1096</v>
      </c>
      <c r="B12" s="22" t="s">
        <v>1075</v>
      </c>
      <c r="C12" t="s">
        <v>1064</v>
      </c>
      <c r="D12" t="s">
        <v>1000</v>
      </c>
      <c r="E12" t="s">
        <v>1107</v>
      </c>
      <c r="F12" t="s">
        <v>1108</v>
      </c>
      <c r="J12" s="4">
        <f t="shared" si="7"/>
        <v>6.5616797900262466E-2</v>
      </c>
      <c r="K12" s="17">
        <f t="shared" si="0"/>
        <v>0.26246719160104987</v>
      </c>
      <c r="L12" s="4">
        <f>CONVERT(10,"mm","ft")</f>
        <v>3.2808398950131233E-2</v>
      </c>
      <c r="P12" s="4">
        <f t="shared" si="1"/>
        <v>4.0883495349599999</v>
      </c>
      <c r="Q12" s="4">
        <f t="shared" si="2"/>
        <v>4.5426105944000001</v>
      </c>
      <c r="R12" s="4">
        <f t="shared" ref="R12:R22" si="13">0.04*5.678263243</f>
        <v>0.22713052972</v>
      </c>
      <c r="V12" s="4">
        <f t="shared" si="3"/>
        <v>109.99806728199999</v>
      </c>
      <c r="W12" s="4">
        <f t="shared" si="4"/>
        <v>118.11370221199999</v>
      </c>
      <c r="X12" s="4">
        <f t="shared" ref="X12:X22" si="14">28*0.062427961</f>
        <v>1.747982908</v>
      </c>
      <c r="AA12" s="22" t="s">
        <v>1096</v>
      </c>
      <c r="AB12" s="4">
        <f t="shared" si="5"/>
        <v>0.20076481824</v>
      </c>
      <c r="AC12" s="18">
        <f t="shared" si="6"/>
        <v>0.21032504767999999</v>
      </c>
      <c r="AD12" s="4">
        <f t="shared" ref="AD12:AD22" si="15">1213* 0.000239005736</f>
        <v>0.289913957768</v>
      </c>
      <c r="AH12">
        <v>1</v>
      </c>
    </row>
    <row r="13" spans="1:34" x14ac:dyDescent="0.3">
      <c r="A13" s="22" t="s">
        <v>1097</v>
      </c>
      <c r="B13" s="22" t="s">
        <v>1076</v>
      </c>
      <c r="C13" t="s">
        <v>1064</v>
      </c>
      <c r="D13" t="s">
        <v>1000</v>
      </c>
      <c r="E13" t="s">
        <v>1107</v>
      </c>
      <c r="F13" t="s">
        <v>1108</v>
      </c>
      <c r="J13" s="4">
        <f t="shared" si="7"/>
        <v>6.5616797900262466E-2</v>
      </c>
      <c r="K13" s="17">
        <f t="shared" si="0"/>
        <v>0.26246719160104987</v>
      </c>
      <c r="L13" s="4">
        <f t="shared" ref="L13:L15" si="16">CONVERT(10,"mm","ft")</f>
        <v>3.2808398950131233E-2</v>
      </c>
      <c r="P13" s="4">
        <f t="shared" si="1"/>
        <v>4.0883495349599999</v>
      </c>
      <c r="Q13" s="4">
        <f t="shared" si="2"/>
        <v>4.5426105944000001</v>
      </c>
      <c r="R13" s="4">
        <f t="shared" si="13"/>
        <v>0.22713052972</v>
      </c>
      <c r="V13" s="4">
        <f t="shared" si="3"/>
        <v>109.99806728199999</v>
      </c>
      <c r="W13" s="4">
        <f t="shared" si="4"/>
        <v>118.11370221199999</v>
      </c>
      <c r="X13" s="4">
        <f t="shared" si="14"/>
        <v>1.747982908</v>
      </c>
      <c r="AA13" s="22" t="s">
        <v>1097</v>
      </c>
      <c r="AB13" s="4">
        <f t="shared" si="5"/>
        <v>0.20076481824</v>
      </c>
      <c r="AC13" s="18">
        <f t="shared" si="6"/>
        <v>0.21032504767999999</v>
      </c>
      <c r="AD13" s="4">
        <f t="shared" si="15"/>
        <v>0.289913957768</v>
      </c>
      <c r="AH13">
        <v>1</v>
      </c>
    </row>
    <row r="14" spans="1:34" x14ac:dyDescent="0.3">
      <c r="A14" s="22" t="s">
        <v>1098</v>
      </c>
      <c r="B14" s="22" t="s">
        <v>1077</v>
      </c>
      <c r="C14" t="s">
        <v>1064</v>
      </c>
      <c r="D14" t="s">
        <v>1000</v>
      </c>
      <c r="E14" t="s">
        <v>1107</v>
      </c>
      <c r="F14" t="s">
        <v>1108</v>
      </c>
      <c r="J14" s="4">
        <f t="shared" si="7"/>
        <v>6.5616797900262466E-2</v>
      </c>
      <c r="K14" s="17">
        <f t="shared" si="0"/>
        <v>0.26246719160104987</v>
      </c>
      <c r="L14" s="4">
        <f t="shared" si="16"/>
        <v>3.2808398950131233E-2</v>
      </c>
      <c r="P14" s="4">
        <f t="shared" si="1"/>
        <v>4.0883495349599999</v>
      </c>
      <c r="Q14" s="4">
        <f t="shared" si="2"/>
        <v>4.5426105944000001</v>
      </c>
      <c r="R14" s="4">
        <f t="shared" si="13"/>
        <v>0.22713052972</v>
      </c>
      <c r="V14" s="4">
        <f t="shared" si="3"/>
        <v>109.99806728199999</v>
      </c>
      <c r="W14" s="4">
        <f t="shared" si="4"/>
        <v>118.11370221199999</v>
      </c>
      <c r="X14" s="4">
        <f t="shared" si="14"/>
        <v>1.747982908</v>
      </c>
      <c r="AA14" s="22" t="s">
        <v>1098</v>
      </c>
      <c r="AB14" s="4">
        <f t="shared" si="5"/>
        <v>0.20076481824</v>
      </c>
      <c r="AC14" s="18">
        <f t="shared" si="6"/>
        <v>0.21032504767999999</v>
      </c>
      <c r="AD14" s="4">
        <f t="shared" si="15"/>
        <v>0.289913957768</v>
      </c>
      <c r="AH14">
        <v>1</v>
      </c>
    </row>
    <row r="15" spans="1:34" x14ac:dyDescent="0.3">
      <c r="A15" s="22" t="s">
        <v>1099</v>
      </c>
      <c r="B15" s="22" t="s">
        <v>1078</v>
      </c>
      <c r="C15" t="s">
        <v>1064</v>
      </c>
      <c r="D15" t="s">
        <v>1000</v>
      </c>
      <c r="E15" t="s">
        <v>1107</v>
      </c>
      <c r="F15" t="s">
        <v>1108</v>
      </c>
      <c r="J15" s="4">
        <f t="shared" si="7"/>
        <v>6.5616797900262466E-2</v>
      </c>
      <c r="K15" s="17">
        <f t="shared" si="0"/>
        <v>0.26246719160104987</v>
      </c>
      <c r="L15" s="4">
        <f t="shared" si="16"/>
        <v>3.2808398950131233E-2</v>
      </c>
      <c r="P15" s="4">
        <f t="shared" si="1"/>
        <v>4.0883495349599999</v>
      </c>
      <c r="Q15" s="4">
        <f t="shared" si="2"/>
        <v>4.5426105944000001</v>
      </c>
      <c r="R15" s="4">
        <f t="shared" si="13"/>
        <v>0.22713052972</v>
      </c>
      <c r="V15" s="4">
        <f t="shared" si="3"/>
        <v>109.99806728199999</v>
      </c>
      <c r="W15" s="4">
        <f t="shared" si="4"/>
        <v>118.11370221199999</v>
      </c>
      <c r="X15" s="4">
        <f t="shared" si="14"/>
        <v>1.747982908</v>
      </c>
      <c r="AA15" s="22" t="s">
        <v>1099</v>
      </c>
      <c r="AB15" s="4">
        <f t="shared" si="5"/>
        <v>0.20076481824</v>
      </c>
      <c r="AC15" s="18">
        <f t="shared" si="6"/>
        <v>0.21032504767999999</v>
      </c>
      <c r="AD15" s="4">
        <f t="shared" si="15"/>
        <v>0.289913957768</v>
      </c>
      <c r="AH15">
        <v>1</v>
      </c>
    </row>
    <row r="16" spans="1:34" x14ac:dyDescent="0.3">
      <c r="A16" s="22" t="s">
        <v>1100</v>
      </c>
      <c r="B16" s="22" t="s">
        <v>1079</v>
      </c>
      <c r="C16" t="s">
        <v>1064</v>
      </c>
      <c r="D16" t="s">
        <v>1000</v>
      </c>
      <c r="E16" t="s">
        <v>1107</v>
      </c>
      <c r="F16" t="s">
        <v>1108</v>
      </c>
      <c r="J16" s="4">
        <f t="shared" si="7"/>
        <v>6.5616797900262466E-2</v>
      </c>
      <c r="K16" s="17">
        <f t="shared" si="0"/>
        <v>0.26246719160104987</v>
      </c>
      <c r="L16" s="4">
        <f t="shared" ref="L16:L18" si="17">CONVERT(20,"mm","ft")</f>
        <v>6.5616797900262466E-2</v>
      </c>
      <c r="P16" s="4">
        <f t="shared" si="1"/>
        <v>4.0883495349599999</v>
      </c>
      <c r="Q16" s="4">
        <f t="shared" si="2"/>
        <v>4.5426105944000001</v>
      </c>
      <c r="R16" s="4">
        <f t="shared" si="13"/>
        <v>0.22713052972</v>
      </c>
      <c r="V16" s="4">
        <f t="shared" si="3"/>
        <v>109.99806728199999</v>
      </c>
      <c r="W16" s="4">
        <f t="shared" si="4"/>
        <v>118.11370221199999</v>
      </c>
      <c r="X16" s="4">
        <f t="shared" si="14"/>
        <v>1.747982908</v>
      </c>
      <c r="AA16" s="22" t="s">
        <v>1100</v>
      </c>
      <c r="AB16" s="4">
        <f t="shared" si="5"/>
        <v>0.20076481824</v>
      </c>
      <c r="AC16" s="18">
        <f t="shared" si="6"/>
        <v>0.21032504767999999</v>
      </c>
      <c r="AD16" s="4">
        <f t="shared" si="15"/>
        <v>0.289913957768</v>
      </c>
      <c r="AH16">
        <v>1</v>
      </c>
    </row>
    <row r="17" spans="1:34" x14ac:dyDescent="0.3">
      <c r="A17" s="22" t="s">
        <v>1101</v>
      </c>
      <c r="B17" s="22" t="s">
        <v>1080</v>
      </c>
      <c r="C17" t="s">
        <v>1064</v>
      </c>
      <c r="D17" t="s">
        <v>1000</v>
      </c>
      <c r="E17" t="s">
        <v>1107</v>
      </c>
      <c r="F17" t="s">
        <v>1108</v>
      </c>
      <c r="J17" s="4">
        <f t="shared" si="7"/>
        <v>6.5616797900262466E-2</v>
      </c>
      <c r="K17" s="17">
        <f t="shared" si="0"/>
        <v>0.26246719160104987</v>
      </c>
      <c r="L17" s="4">
        <f t="shared" si="17"/>
        <v>6.5616797900262466E-2</v>
      </c>
      <c r="P17" s="4">
        <f t="shared" si="1"/>
        <v>4.0883495349599999</v>
      </c>
      <c r="Q17" s="4">
        <f t="shared" si="2"/>
        <v>4.5426105944000001</v>
      </c>
      <c r="R17" s="4">
        <f t="shared" si="13"/>
        <v>0.22713052972</v>
      </c>
      <c r="V17" s="4">
        <f t="shared" si="3"/>
        <v>109.99806728199999</v>
      </c>
      <c r="W17" s="4">
        <f t="shared" si="4"/>
        <v>118.11370221199999</v>
      </c>
      <c r="X17" s="4">
        <f t="shared" si="14"/>
        <v>1.747982908</v>
      </c>
      <c r="AA17" s="22" t="s">
        <v>1101</v>
      </c>
      <c r="AB17" s="4">
        <f t="shared" si="5"/>
        <v>0.20076481824</v>
      </c>
      <c r="AC17" s="18">
        <f t="shared" si="6"/>
        <v>0.21032504767999999</v>
      </c>
      <c r="AD17" s="4">
        <f t="shared" si="15"/>
        <v>0.289913957768</v>
      </c>
      <c r="AH17">
        <v>1</v>
      </c>
    </row>
    <row r="18" spans="1:34" x14ac:dyDescent="0.3">
      <c r="A18" s="22" t="s">
        <v>1102</v>
      </c>
      <c r="B18" s="22" t="s">
        <v>1081</v>
      </c>
      <c r="C18" t="s">
        <v>1064</v>
      </c>
      <c r="D18" t="s">
        <v>1000</v>
      </c>
      <c r="E18" t="s">
        <v>1107</v>
      </c>
      <c r="F18" t="s">
        <v>1108</v>
      </c>
      <c r="J18" s="4">
        <f t="shared" si="7"/>
        <v>6.5616797900262466E-2</v>
      </c>
      <c r="K18" s="17">
        <f t="shared" si="0"/>
        <v>0.26246719160104987</v>
      </c>
      <c r="L18" s="4">
        <f t="shared" si="17"/>
        <v>6.5616797900262466E-2</v>
      </c>
      <c r="P18" s="4">
        <f t="shared" si="1"/>
        <v>4.0883495349599999</v>
      </c>
      <c r="Q18" s="4">
        <f t="shared" si="2"/>
        <v>4.5426105944000001</v>
      </c>
      <c r="R18" s="4">
        <f t="shared" si="13"/>
        <v>0.22713052972</v>
      </c>
      <c r="V18" s="4">
        <f t="shared" si="3"/>
        <v>109.99806728199999</v>
      </c>
      <c r="W18" s="4">
        <f t="shared" si="4"/>
        <v>118.11370221199999</v>
      </c>
      <c r="X18" s="4">
        <f t="shared" si="14"/>
        <v>1.747982908</v>
      </c>
      <c r="AA18" s="22" t="s">
        <v>1102</v>
      </c>
      <c r="AB18" s="4">
        <f t="shared" si="5"/>
        <v>0.20076481824</v>
      </c>
      <c r="AC18" s="18">
        <f t="shared" si="6"/>
        <v>0.21032504767999999</v>
      </c>
      <c r="AD18" s="4">
        <f t="shared" si="15"/>
        <v>0.289913957768</v>
      </c>
      <c r="AH18">
        <v>1</v>
      </c>
    </row>
    <row r="19" spans="1:34" x14ac:dyDescent="0.3">
      <c r="A19" s="22" t="s">
        <v>1103</v>
      </c>
      <c r="B19" s="22" t="s">
        <v>1082</v>
      </c>
      <c r="C19" t="s">
        <v>1064</v>
      </c>
      <c r="D19" t="s">
        <v>1000</v>
      </c>
      <c r="E19" t="s">
        <v>1107</v>
      </c>
      <c r="F19" t="s">
        <v>1108</v>
      </c>
      <c r="J19" s="4">
        <f t="shared" si="7"/>
        <v>6.5616797900262466E-2</v>
      </c>
      <c r="K19" s="17">
        <f t="shared" si="0"/>
        <v>0.26246719160104987</v>
      </c>
      <c r="L19" s="4">
        <f>CONVERT(30,"mm","ft")</f>
        <v>9.8425196850393706E-2</v>
      </c>
      <c r="P19" s="4">
        <f t="shared" si="1"/>
        <v>4.0883495349599999</v>
      </c>
      <c r="Q19" s="4">
        <f t="shared" si="2"/>
        <v>4.5426105944000001</v>
      </c>
      <c r="R19" s="4">
        <f t="shared" si="13"/>
        <v>0.22713052972</v>
      </c>
      <c r="V19" s="4">
        <f t="shared" si="3"/>
        <v>109.99806728199999</v>
      </c>
      <c r="W19" s="4">
        <f t="shared" si="4"/>
        <v>118.11370221199999</v>
      </c>
      <c r="X19" s="4">
        <f t="shared" si="14"/>
        <v>1.747982908</v>
      </c>
      <c r="AA19" s="22" t="s">
        <v>1103</v>
      </c>
      <c r="AB19" s="4">
        <f t="shared" si="5"/>
        <v>0.20076481824</v>
      </c>
      <c r="AC19" s="18">
        <f t="shared" si="6"/>
        <v>0.21032504767999999</v>
      </c>
      <c r="AD19" s="4">
        <f t="shared" si="15"/>
        <v>0.289913957768</v>
      </c>
      <c r="AH19">
        <v>1</v>
      </c>
    </row>
    <row r="20" spans="1:34" x14ac:dyDescent="0.3">
      <c r="A20" s="22" t="s">
        <v>1104</v>
      </c>
      <c r="B20" s="22" t="s">
        <v>1083</v>
      </c>
      <c r="C20" t="s">
        <v>1064</v>
      </c>
      <c r="D20" t="s">
        <v>1000</v>
      </c>
      <c r="E20" t="s">
        <v>1107</v>
      </c>
      <c r="F20" t="s">
        <v>1108</v>
      </c>
      <c r="J20" s="4">
        <f t="shared" si="7"/>
        <v>6.5616797900262466E-2</v>
      </c>
      <c r="K20" s="17">
        <f t="shared" si="0"/>
        <v>0.26246719160104987</v>
      </c>
      <c r="L20" s="4">
        <f>CONVERT(50,"mm","ft")</f>
        <v>0.16404199475065617</v>
      </c>
      <c r="P20" s="4">
        <f t="shared" si="1"/>
        <v>4.0883495349599999</v>
      </c>
      <c r="Q20" s="4">
        <f t="shared" si="2"/>
        <v>4.5426105944000001</v>
      </c>
      <c r="R20" s="4">
        <f t="shared" si="13"/>
        <v>0.22713052972</v>
      </c>
      <c r="V20" s="4">
        <f t="shared" si="3"/>
        <v>109.99806728199999</v>
      </c>
      <c r="W20" s="4">
        <f t="shared" si="4"/>
        <v>118.11370221199999</v>
      </c>
      <c r="X20" s="4">
        <f t="shared" si="14"/>
        <v>1.747982908</v>
      </c>
      <c r="AA20" s="22" t="s">
        <v>1104</v>
      </c>
      <c r="AB20" s="4">
        <f t="shared" si="5"/>
        <v>0.20076481824</v>
      </c>
      <c r="AC20" s="18">
        <f t="shared" si="6"/>
        <v>0.21032504767999999</v>
      </c>
      <c r="AD20" s="4">
        <f t="shared" si="15"/>
        <v>0.289913957768</v>
      </c>
      <c r="AH20">
        <v>1</v>
      </c>
    </row>
    <row r="21" spans="1:34" x14ac:dyDescent="0.3">
      <c r="A21" s="22" t="s">
        <v>1105</v>
      </c>
      <c r="B21" s="22" t="s">
        <v>1084</v>
      </c>
      <c r="C21" t="s">
        <v>1064</v>
      </c>
      <c r="D21" t="s">
        <v>1000</v>
      </c>
      <c r="E21" t="s">
        <v>1107</v>
      </c>
      <c r="F21" t="s">
        <v>1108</v>
      </c>
      <c r="J21" s="4">
        <f t="shared" si="7"/>
        <v>6.5616797900262466E-2</v>
      </c>
      <c r="K21" s="17">
        <f t="shared" si="0"/>
        <v>0.26246719160104987</v>
      </c>
      <c r="L21" s="4">
        <f>CONVERT(80,"mm","ft")</f>
        <v>0.26246719160104987</v>
      </c>
      <c r="P21" s="4">
        <f t="shared" si="1"/>
        <v>4.0883495349599999</v>
      </c>
      <c r="Q21" s="4">
        <f t="shared" si="2"/>
        <v>4.5426105944000001</v>
      </c>
      <c r="R21" s="4">
        <f t="shared" si="13"/>
        <v>0.22713052972</v>
      </c>
      <c r="V21" s="4">
        <f t="shared" si="3"/>
        <v>109.99806728199999</v>
      </c>
      <c r="W21" s="4">
        <f t="shared" si="4"/>
        <v>118.11370221199999</v>
      </c>
      <c r="X21" s="4">
        <f t="shared" si="14"/>
        <v>1.747982908</v>
      </c>
      <c r="AA21" s="22" t="s">
        <v>1105</v>
      </c>
      <c r="AB21" s="4">
        <f t="shared" si="5"/>
        <v>0.20076481824</v>
      </c>
      <c r="AC21" s="18">
        <f t="shared" si="6"/>
        <v>0.21032504767999999</v>
      </c>
      <c r="AD21" s="4">
        <f t="shared" si="15"/>
        <v>0.289913957768</v>
      </c>
      <c r="AH21">
        <v>1</v>
      </c>
    </row>
    <row r="22" spans="1:34" x14ac:dyDescent="0.3">
      <c r="A22" s="22" t="s">
        <v>1106</v>
      </c>
      <c r="B22" s="22" t="s">
        <v>1085</v>
      </c>
      <c r="C22" t="s">
        <v>1064</v>
      </c>
      <c r="D22" t="s">
        <v>1000</v>
      </c>
      <c r="E22" t="s">
        <v>1107</v>
      </c>
      <c r="F22" t="s">
        <v>1108</v>
      </c>
      <c r="J22" s="4">
        <f t="shared" si="7"/>
        <v>6.5616797900262466E-2</v>
      </c>
      <c r="K22" s="17">
        <f t="shared" si="0"/>
        <v>0.26246719160104987</v>
      </c>
      <c r="L22" s="4">
        <f>CONVERT(100,"mm","ft")</f>
        <v>0.32808398950131235</v>
      </c>
      <c r="P22" s="4">
        <f t="shared" si="1"/>
        <v>4.0883495349599999</v>
      </c>
      <c r="Q22" s="4">
        <f t="shared" si="2"/>
        <v>4.5426105944000001</v>
      </c>
      <c r="R22" s="4">
        <f t="shared" si="13"/>
        <v>0.22713052972</v>
      </c>
      <c r="V22" s="4">
        <f t="shared" si="3"/>
        <v>109.99806728199999</v>
      </c>
      <c r="W22" s="4">
        <f t="shared" si="4"/>
        <v>118.11370221199999</v>
      </c>
      <c r="X22" s="4">
        <f t="shared" si="14"/>
        <v>1.747982908</v>
      </c>
      <c r="AA22" s="22" t="s">
        <v>1106</v>
      </c>
      <c r="AB22" s="4">
        <f t="shared" si="5"/>
        <v>0.20076481824</v>
      </c>
      <c r="AC22" s="18">
        <f t="shared" si="6"/>
        <v>0.21032504767999999</v>
      </c>
      <c r="AD22" s="4">
        <f t="shared" si="15"/>
        <v>0.289913957768</v>
      </c>
      <c r="AH22">
        <v>2</v>
      </c>
    </row>
    <row r="23" spans="1:34" x14ac:dyDescent="0.3">
      <c r="K23" s="4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B1A1-D4AC-429A-BBEB-8A60D42B628B}">
  <dimension ref="A1:I35"/>
  <sheetViews>
    <sheetView zoomScaleNormal="100" workbookViewId="0">
      <selection activeCell="L9" sqref="L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27" customWidth="1"/>
    <col min="4" max="4" width="30.6640625" customWidth="1"/>
    <col min="5" max="5" width="9.5546875" bestFit="1" customWidth="1"/>
    <col min="6" max="6" width="13" bestFit="1" customWidth="1"/>
    <col min="7" max="7" width="16.109375" bestFit="1" customWidth="1"/>
    <col min="8" max="8" width="15.5546875" customWidth="1"/>
    <col min="9" max="9" width="26.5546875" bestFit="1" customWidth="1"/>
  </cols>
  <sheetData>
    <row r="1" spans="1:9" x14ac:dyDescent="0.3">
      <c r="A1" t="s">
        <v>220</v>
      </c>
      <c r="B1" t="s">
        <v>23</v>
      </c>
      <c r="C1" t="s">
        <v>961</v>
      </c>
      <c r="D1" t="s">
        <v>960</v>
      </c>
      <c r="E1" t="s">
        <v>1</v>
      </c>
      <c r="F1" t="s">
        <v>221</v>
      </c>
      <c r="G1" t="s">
        <v>959</v>
      </c>
      <c r="H1" t="s">
        <v>60</v>
      </c>
      <c r="I1" t="s">
        <v>962</v>
      </c>
    </row>
    <row r="2" spans="1:9" x14ac:dyDescent="0.3">
      <c r="A2" t="s">
        <v>24</v>
      </c>
      <c r="B2">
        <v>1</v>
      </c>
      <c r="C2">
        <v>0.5</v>
      </c>
      <c r="D2">
        <v>0.4</v>
      </c>
      <c r="E2" t="s">
        <v>4</v>
      </c>
      <c r="F2" s="15">
        <f>Table76[[#This Row],[U-value (COG)]]/5.67</f>
        <v>0.17636684303350969</v>
      </c>
      <c r="G2" s="15">
        <f>Table76[[#This Row],[GLASS-CONDUCT]]/0.87</f>
        <v>0.57471264367816088</v>
      </c>
      <c r="H2" t="str">
        <f>IF(Table76[[#This Row],[Glass Type]]="Double Glazed","DG","SG")</f>
        <v>DG</v>
      </c>
      <c r="I2" t="str">
        <f>CONCATENATE("ML_",Table76[[#This Row],[Glass]],"_",ROUND(Table76[[#This Row],[U-Value(IP)]],2),"_",ROUND(Table76[[#This Row],[SHADING-COEF]],2),"_",Table76[[#This Row],[VIS-TRANS]],"_",Table76[[#This Row],[Climate]])</f>
        <v>ML_DG_0.18_0.57_0.4_Cold</v>
      </c>
    </row>
    <row r="3" spans="1:9" x14ac:dyDescent="0.3">
      <c r="A3" t="s">
        <v>24</v>
      </c>
      <c r="B3">
        <v>1</v>
      </c>
      <c r="C3">
        <v>0.6</v>
      </c>
      <c r="D3">
        <v>0.4</v>
      </c>
      <c r="E3" t="s">
        <v>4</v>
      </c>
      <c r="F3" s="15">
        <f>Table76[[#This Row],[U-value (COG)]]/5.67</f>
        <v>0.17636684303350969</v>
      </c>
      <c r="G3" s="15">
        <f>Table76[[#This Row],[GLASS-CONDUCT]]/0.87</f>
        <v>0.68965517241379304</v>
      </c>
      <c r="H3" t="str">
        <f>IF(Table76[[#This Row],[Glass Type]]="Double Glazed","DG","SG")</f>
        <v>DG</v>
      </c>
      <c r="I3" t="str">
        <f>CONCATENATE("ML_",Table76[[#This Row],[Glass]],"_",ROUND(Table76[[#This Row],[U-Value(IP)]],2),"_",ROUND(Table76[[#This Row],[SHADING-COEF]],2),"_",Table76[[#This Row],[VIS-TRANS]],"_",Table76[[#This Row],[Climate]])</f>
        <v>ML_DG_0.18_0.69_0.4_Cold</v>
      </c>
    </row>
    <row r="4" spans="1:9" x14ac:dyDescent="0.3">
      <c r="A4" t="s">
        <v>24</v>
      </c>
      <c r="B4">
        <v>1</v>
      </c>
      <c r="C4">
        <v>0.7</v>
      </c>
      <c r="D4">
        <v>0.4</v>
      </c>
      <c r="E4" t="s">
        <v>4</v>
      </c>
      <c r="F4" s="15">
        <f>Table76[[#This Row],[U-value (COG)]]/5.67</f>
        <v>0.17636684303350969</v>
      </c>
      <c r="G4" s="15">
        <f>Table76[[#This Row],[GLASS-CONDUCT]]/0.87</f>
        <v>0.80459770114942519</v>
      </c>
      <c r="H4" t="str">
        <f>IF(Table76[[#This Row],[Glass Type]]="Double Glazed","DG","SG")</f>
        <v>DG</v>
      </c>
      <c r="I4" t="str">
        <f>CONCATENATE("ML_",Table76[[#This Row],[Glass]],"_",ROUND(Table76[[#This Row],[U-Value(IP)]],2),"_",ROUND(Table76[[#This Row],[SHADING-COEF]],2),"_",Table76[[#This Row],[VIS-TRANS]],"_",Table76[[#This Row],[Climate]])</f>
        <v>ML_DG_0.18_0.8_0.4_Cold</v>
      </c>
    </row>
    <row r="5" spans="1:9" x14ac:dyDescent="0.3">
      <c r="A5" t="s">
        <v>24</v>
      </c>
      <c r="B5">
        <v>1.5</v>
      </c>
      <c r="C5">
        <v>0.5</v>
      </c>
      <c r="D5">
        <v>0.4</v>
      </c>
      <c r="E5" t="s">
        <v>4</v>
      </c>
      <c r="F5" s="15">
        <f>Table76[[#This Row],[U-value (COG)]]/5.67</f>
        <v>0.26455026455026454</v>
      </c>
      <c r="G5" s="15">
        <f>Table76[[#This Row],[GLASS-CONDUCT]]/0.87</f>
        <v>0.57471264367816088</v>
      </c>
      <c r="H5" t="str">
        <f>IF(Table76[[#This Row],[Glass Type]]="Double Glazed","DG","SG")</f>
        <v>DG</v>
      </c>
      <c r="I5" t="str">
        <f>CONCATENATE("ML_",Table76[[#This Row],[Glass]],"_",ROUND(Table76[[#This Row],[U-Value(IP)]],2),"_",ROUND(Table76[[#This Row],[SHADING-COEF]],2),"_",Table76[[#This Row],[VIS-TRANS]],"_",Table76[[#This Row],[Climate]])</f>
        <v>ML_DG_0.26_0.57_0.4_Cold</v>
      </c>
    </row>
    <row r="6" spans="1:9" x14ac:dyDescent="0.3">
      <c r="A6" t="s">
        <v>24</v>
      </c>
      <c r="B6">
        <v>1.5</v>
      </c>
      <c r="C6">
        <v>0.6</v>
      </c>
      <c r="D6">
        <v>0.4</v>
      </c>
      <c r="E6" t="s">
        <v>4</v>
      </c>
      <c r="F6" s="15">
        <f>Table76[[#This Row],[U-value (COG)]]/5.67</f>
        <v>0.26455026455026454</v>
      </c>
      <c r="G6" s="15">
        <f>Table76[[#This Row],[GLASS-CONDUCT]]/0.87</f>
        <v>0.68965517241379304</v>
      </c>
      <c r="H6" t="str">
        <f>IF(Table76[[#This Row],[Glass Type]]="Double Glazed","DG","SG")</f>
        <v>DG</v>
      </c>
      <c r="I6" t="str">
        <f>CONCATENATE("ML_",Table76[[#This Row],[Glass]],"_",ROUND(Table76[[#This Row],[U-Value(IP)]],2),"_",ROUND(Table76[[#This Row],[SHADING-COEF]],2),"_",Table76[[#This Row],[VIS-TRANS]],"_",Table76[[#This Row],[Climate]])</f>
        <v>ML_DG_0.26_0.69_0.4_Cold</v>
      </c>
    </row>
    <row r="7" spans="1:9" x14ac:dyDescent="0.3">
      <c r="A7" t="s">
        <v>24</v>
      </c>
      <c r="B7">
        <v>1.5</v>
      </c>
      <c r="C7">
        <v>0.7</v>
      </c>
      <c r="D7">
        <v>0.4</v>
      </c>
      <c r="E7" t="s">
        <v>4</v>
      </c>
      <c r="F7" s="15">
        <f>Table76[[#This Row],[U-value (COG)]]/5.67</f>
        <v>0.26455026455026454</v>
      </c>
      <c r="G7" s="15">
        <f>Table76[[#This Row],[GLASS-CONDUCT]]/0.87</f>
        <v>0.80459770114942519</v>
      </c>
      <c r="H7" t="str">
        <f>IF(Table76[[#This Row],[Glass Type]]="Double Glazed","DG","SG")</f>
        <v>DG</v>
      </c>
      <c r="I7" t="str">
        <f>CONCATENATE("ML_",Table76[[#This Row],[Glass]],"_",ROUND(Table76[[#This Row],[U-Value(IP)]],2),"_",ROUND(Table76[[#This Row],[SHADING-COEF]],2),"_",Table76[[#This Row],[VIS-TRANS]],"_",Table76[[#This Row],[Climate]])</f>
        <v>ML_DG_0.26_0.8_0.4_Cold</v>
      </c>
    </row>
    <row r="8" spans="1:9" x14ac:dyDescent="0.3">
      <c r="A8" t="s">
        <v>24</v>
      </c>
      <c r="B8">
        <v>2.5</v>
      </c>
      <c r="C8">
        <v>0.5</v>
      </c>
      <c r="D8">
        <v>0.4</v>
      </c>
      <c r="E8" t="s">
        <v>4</v>
      </c>
      <c r="F8" s="15">
        <f>Table76[[#This Row],[U-value (COG)]]/5.67</f>
        <v>0.44091710758377428</v>
      </c>
      <c r="G8" s="15">
        <f>Table76[[#This Row],[GLASS-CONDUCT]]/0.87</f>
        <v>0.57471264367816088</v>
      </c>
      <c r="H8" t="str">
        <f>IF(Table76[[#This Row],[Glass Type]]="Double Glazed","DG","SG")</f>
        <v>DG</v>
      </c>
      <c r="I8" t="str">
        <f>CONCATENATE("ML_",Table76[[#This Row],[Glass]],"_",ROUND(Table76[[#This Row],[U-Value(IP)]],2),"_",ROUND(Table76[[#This Row],[SHADING-COEF]],2),"_",Table76[[#This Row],[VIS-TRANS]],"_",Table76[[#This Row],[Climate]])</f>
        <v>ML_DG_0.44_0.57_0.4_Cold</v>
      </c>
    </row>
    <row r="9" spans="1:9" x14ac:dyDescent="0.3">
      <c r="A9" t="s">
        <v>24</v>
      </c>
      <c r="B9">
        <v>2.5</v>
      </c>
      <c r="C9">
        <v>0.6</v>
      </c>
      <c r="D9">
        <v>0.4</v>
      </c>
      <c r="E9" t="s">
        <v>4</v>
      </c>
      <c r="F9" s="15">
        <f>Table76[[#This Row],[U-value (COG)]]/5.67</f>
        <v>0.44091710758377428</v>
      </c>
      <c r="G9" s="15">
        <f>Table76[[#This Row],[GLASS-CONDUCT]]/0.87</f>
        <v>0.68965517241379304</v>
      </c>
      <c r="H9" t="str">
        <f>IF(Table76[[#This Row],[Glass Type]]="Double Glazed","DG","SG")</f>
        <v>DG</v>
      </c>
      <c r="I9" t="str">
        <f>CONCATENATE("ML_",Table76[[#This Row],[Glass]],"_",ROUND(Table76[[#This Row],[U-Value(IP)]],2),"_",ROUND(Table76[[#This Row],[SHADING-COEF]],2),"_",Table76[[#This Row],[VIS-TRANS]],"_",Table76[[#This Row],[Climate]])</f>
        <v>ML_DG_0.44_0.69_0.4_Cold</v>
      </c>
    </row>
    <row r="10" spans="1:9" x14ac:dyDescent="0.3">
      <c r="A10" t="s">
        <v>24</v>
      </c>
      <c r="B10">
        <v>2.5</v>
      </c>
      <c r="C10">
        <v>0.7</v>
      </c>
      <c r="D10">
        <v>0.4</v>
      </c>
      <c r="E10" t="s">
        <v>4</v>
      </c>
      <c r="F10" s="15">
        <f>Table76[[#This Row],[U-value (COG)]]/5.67</f>
        <v>0.44091710758377428</v>
      </c>
      <c r="G10" s="15">
        <f>Table76[[#This Row],[GLASS-CONDUCT]]/0.87</f>
        <v>0.80459770114942519</v>
      </c>
      <c r="H10" t="str">
        <f>IF(Table76[[#This Row],[Glass Type]]="Double Glazed","DG","SG")</f>
        <v>DG</v>
      </c>
      <c r="I10" t="str">
        <f>CONCATENATE("ML_",Table76[[#This Row],[Glass]],"_",ROUND(Table76[[#This Row],[U-Value(IP)]],2),"_",ROUND(Table76[[#This Row],[SHADING-COEF]],2),"_",Table76[[#This Row],[VIS-TRANS]],"_",Table76[[#This Row],[Climate]])</f>
        <v>ML_DG_0.44_0.8_0.4_Cold</v>
      </c>
    </row>
    <row r="11" spans="1:9" x14ac:dyDescent="0.3">
      <c r="A11" t="s">
        <v>24</v>
      </c>
      <c r="B11">
        <v>3.6</v>
      </c>
      <c r="C11">
        <v>0.5</v>
      </c>
      <c r="D11">
        <v>0.4</v>
      </c>
      <c r="E11" t="s">
        <v>4</v>
      </c>
      <c r="F11" s="15">
        <f>Table76[[#This Row],[U-value (COG)]]/5.67</f>
        <v>0.634920634920635</v>
      </c>
      <c r="G11" s="15">
        <f>Table76[[#This Row],[GLASS-CONDUCT]]/0.87</f>
        <v>0.57471264367816088</v>
      </c>
      <c r="H11" t="str">
        <f>IF(Table76[[#This Row],[Glass Type]]="Double Glazed","DG","SG")</f>
        <v>DG</v>
      </c>
      <c r="I11" t="str">
        <f>CONCATENATE("ML_",Table76[[#This Row],[Glass]],"_",ROUND(Table76[[#This Row],[U-Value(IP)]],2),"_",ROUND(Table76[[#This Row],[SHADING-COEF]],2),"_",Table76[[#This Row],[VIS-TRANS]],"_",Table76[[#This Row],[Climate]])</f>
        <v>ML_DG_0.63_0.57_0.4_Cold</v>
      </c>
    </row>
    <row r="12" spans="1:9" x14ac:dyDescent="0.3">
      <c r="A12" t="s">
        <v>24</v>
      </c>
      <c r="B12">
        <v>3.6</v>
      </c>
      <c r="C12">
        <v>0.6</v>
      </c>
      <c r="D12">
        <v>0.4</v>
      </c>
      <c r="E12" t="s">
        <v>4</v>
      </c>
      <c r="F12" s="15">
        <f>Table76[[#This Row],[U-value (COG)]]/5.67</f>
        <v>0.634920634920635</v>
      </c>
      <c r="G12" s="15">
        <f>Table76[[#This Row],[GLASS-CONDUCT]]/0.87</f>
        <v>0.68965517241379304</v>
      </c>
      <c r="H12" t="str">
        <f>IF(Table76[[#This Row],[Glass Type]]="Double Glazed","DG","SG")</f>
        <v>DG</v>
      </c>
      <c r="I12" t="str">
        <f>CONCATENATE("ML_",Table76[[#This Row],[Glass]],"_",ROUND(Table76[[#This Row],[U-Value(IP)]],2),"_",ROUND(Table76[[#This Row],[SHADING-COEF]],2),"_",Table76[[#This Row],[VIS-TRANS]],"_",Table76[[#This Row],[Climate]])</f>
        <v>ML_DG_0.63_0.69_0.4_Cold</v>
      </c>
    </row>
    <row r="13" spans="1:9" x14ac:dyDescent="0.3">
      <c r="A13" t="s">
        <v>24</v>
      </c>
      <c r="B13">
        <v>3.6</v>
      </c>
      <c r="C13">
        <v>0.7</v>
      </c>
      <c r="D13">
        <v>0.4</v>
      </c>
      <c r="E13" t="s">
        <v>4</v>
      </c>
      <c r="F13" s="15">
        <f>Table76[[#This Row],[U-value (COG)]]/5.67</f>
        <v>0.634920634920635</v>
      </c>
      <c r="G13" s="15">
        <f>Table76[[#This Row],[GLASS-CONDUCT]]/0.87</f>
        <v>0.80459770114942519</v>
      </c>
      <c r="H13" t="str">
        <f>IF(Table76[[#This Row],[Glass Type]]="Double Glazed","DG","SG")</f>
        <v>DG</v>
      </c>
      <c r="I13" t="str">
        <f>CONCATENATE("ML_",Table76[[#This Row],[Glass]],"_",ROUND(Table76[[#This Row],[U-Value(IP)]],2),"_",ROUND(Table76[[#This Row],[SHADING-COEF]],2),"_",Table76[[#This Row],[VIS-TRANS]],"_",Table76[[#This Row],[Climate]])</f>
        <v>ML_DG_0.63_0.8_0.4_Cold</v>
      </c>
    </row>
    <row r="14" spans="1:9" x14ac:dyDescent="0.3">
      <c r="A14" t="s">
        <v>25</v>
      </c>
      <c r="B14">
        <v>4.8</v>
      </c>
      <c r="C14">
        <v>0.5</v>
      </c>
      <c r="D14">
        <v>0.4</v>
      </c>
      <c r="E14" t="s">
        <v>4</v>
      </c>
      <c r="F14" s="15">
        <f>Table76[[#This Row],[U-value (COG)]]/5.67</f>
        <v>0.84656084656084651</v>
      </c>
      <c r="G14" s="15">
        <f>Table76[[#This Row],[GLASS-CONDUCT]]/0.87</f>
        <v>0.57471264367816088</v>
      </c>
      <c r="H14" t="str">
        <f>IF(Table76[[#This Row],[Glass Type]]="Double Glazed","DG","SG")</f>
        <v>SG</v>
      </c>
      <c r="I14" t="str">
        <f>CONCATENATE("ML_",Table76[[#This Row],[Glass]],"_",ROUND(Table76[[#This Row],[U-Value(IP)]],2),"_",ROUND(Table76[[#This Row],[SHADING-COEF]],2),"_",Table76[[#This Row],[VIS-TRANS]],"_",Table76[[#This Row],[Climate]])</f>
        <v>ML_SG_0.85_0.57_0.4_Cold</v>
      </c>
    </row>
    <row r="15" spans="1:9" x14ac:dyDescent="0.3">
      <c r="A15" t="s">
        <v>25</v>
      </c>
      <c r="B15">
        <v>4.8</v>
      </c>
      <c r="C15">
        <v>0.6</v>
      </c>
      <c r="D15">
        <v>0.4</v>
      </c>
      <c r="E15" t="s">
        <v>4</v>
      </c>
      <c r="F15" s="15">
        <f>Table76[[#This Row],[U-value (COG)]]/5.67</f>
        <v>0.84656084656084651</v>
      </c>
      <c r="G15" s="15">
        <f>Table76[[#This Row],[GLASS-CONDUCT]]/0.87</f>
        <v>0.68965517241379304</v>
      </c>
      <c r="H15" t="str">
        <f>IF(Table76[[#This Row],[Glass Type]]="Double Glazed","DG","SG")</f>
        <v>SG</v>
      </c>
      <c r="I15" t="str">
        <f>CONCATENATE("ML_",Table76[[#This Row],[Glass]],"_",ROUND(Table76[[#This Row],[U-Value(IP)]],2),"_",ROUND(Table76[[#This Row],[SHADING-COEF]],2),"_",Table76[[#This Row],[VIS-TRANS]],"_",Table76[[#This Row],[Climate]])</f>
        <v>ML_SG_0.85_0.69_0.4_Cold</v>
      </c>
    </row>
    <row r="16" spans="1:9" x14ac:dyDescent="0.3">
      <c r="A16" t="s">
        <v>25</v>
      </c>
      <c r="B16">
        <v>4.8</v>
      </c>
      <c r="C16">
        <v>0.7</v>
      </c>
      <c r="D16">
        <v>0.4</v>
      </c>
      <c r="E16" t="s">
        <v>4</v>
      </c>
      <c r="F16" s="15">
        <f>Table76[[#This Row],[U-value (COG)]]/5.67</f>
        <v>0.84656084656084651</v>
      </c>
      <c r="G16" s="15">
        <f>Table76[[#This Row],[GLASS-CONDUCT]]/0.87</f>
        <v>0.80459770114942519</v>
      </c>
      <c r="H16" t="str">
        <f>IF(Table76[[#This Row],[Glass Type]]="Double Glazed","DG","SG")</f>
        <v>SG</v>
      </c>
      <c r="I16" t="str">
        <f>CONCATENATE("ML_",Table76[[#This Row],[Glass]],"_",ROUND(Table76[[#This Row],[U-Value(IP)]],2),"_",ROUND(Table76[[#This Row],[SHADING-COEF]],2),"_",Table76[[#This Row],[VIS-TRANS]],"_",Table76[[#This Row],[Climate]])</f>
        <v>ML_SG_0.85_0.8_0.4_Cold</v>
      </c>
    </row>
    <row r="17" spans="1:9" x14ac:dyDescent="0.3">
      <c r="A17" t="s">
        <v>25</v>
      </c>
      <c r="B17">
        <v>5.7</v>
      </c>
      <c r="C17">
        <v>0.5</v>
      </c>
      <c r="D17">
        <v>0.4</v>
      </c>
      <c r="E17" t="s">
        <v>4</v>
      </c>
      <c r="F17" s="15">
        <f>Table76[[#This Row],[U-value (COG)]]/5.67</f>
        <v>1.0052910052910053</v>
      </c>
      <c r="G17" s="15">
        <f>Table76[[#This Row],[GLASS-CONDUCT]]/0.87</f>
        <v>0.57471264367816088</v>
      </c>
      <c r="H17" t="str">
        <f>IF(Table76[[#This Row],[Glass Type]]="Double Glazed","DG","SG")</f>
        <v>SG</v>
      </c>
      <c r="I17" t="str">
        <f>CONCATENATE("ML_",Table76[[#This Row],[Glass]],"_",ROUND(Table76[[#This Row],[U-Value(IP)]],2),"_",ROUND(Table76[[#This Row],[SHADING-COEF]],2),"_",Table76[[#This Row],[VIS-TRANS]],"_",Table76[[#This Row],[Climate]])</f>
        <v>ML_SG_1.01_0.57_0.4_Cold</v>
      </c>
    </row>
    <row r="18" spans="1:9" x14ac:dyDescent="0.3">
      <c r="A18" t="s">
        <v>25</v>
      </c>
      <c r="B18">
        <v>5.7</v>
      </c>
      <c r="C18">
        <v>0.6</v>
      </c>
      <c r="D18">
        <v>0.4</v>
      </c>
      <c r="E18" t="s">
        <v>4</v>
      </c>
      <c r="F18" s="15">
        <f>Table76[[#This Row],[U-value (COG)]]/5.67</f>
        <v>1.0052910052910053</v>
      </c>
      <c r="G18" s="15">
        <f>Table76[[#This Row],[GLASS-CONDUCT]]/0.87</f>
        <v>0.68965517241379304</v>
      </c>
      <c r="H18" t="str">
        <f>IF(Table76[[#This Row],[Glass Type]]="Double Glazed","DG","SG")</f>
        <v>SG</v>
      </c>
      <c r="I18" t="str">
        <f>CONCATENATE("ML_",Table76[[#This Row],[Glass]],"_",ROUND(Table76[[#This Row],[U-Value(IP)]],2),"_",ROUND(Table76[[#This Row],[SHADING-COEF]],2),"_",Table76[[#This Row],[VIS-TRANS]],"_",Table76[[#This Row],[Climate]])</f>
        <v>ML_SG_1.01_0.69_0.4_Cold</v>
      </c>
    </row>
    <row r="19" spans="1:9" x14ac:dyDescent="0.3">
      <c r="A19" t="s">
        <v>25</v>
      </c>
      <c r="B19">
        <v>5.7</v>
      </c>
      <c r="C19">
        <v>0.7</v>
      </c>
      <c r="D19">
        <v>0.4</v>
      </c>
      <c r="E19" t="s">
        <v>4</v>
      </c>
      <c r="F19" s="15">
        <f>Table76[[#This Row],[U-value (COG)]]/5.67</f>
        <v>1.0052910052910053</v>
      </c>
      <c r="G19" s="15">
        <f>Table76[[#This Row],[GLASS-CONDUCT]]/0.87</f>
        <v>0.80459770114942519</v>
      </c>
      <c r="H19" t="str">
        <f>IF(Table76[[#This Row],[Glass Type]]="Double Glazed","DG","SG")</f>
        <v>SG</v>
      </c>
      <c r="I19" t="str">
        <f>CONCATENATE("ML_",Table76[[#This Row],[Glass]],"_",ROUND(Table76[[#This Row],[U-Value(IP)]],2),"_",ROUND(Table76[[#This Row],[SHADING-COEF]],2),"_",Table76[[#This Row],[VIS-TRANS]],"_",Table76[[#This Row],[Climate]])</f>
        <v>ML_SG_1.01_0.8_0.4_Cold</v>
      </c>
    </row>
    <row r="20" spans="1:9" x14ac:dyDescent="0.3">
      <c r="A20" t="s">
        <v>25</v>
      </c>
      <c r="B20">
        <v>3.8</v>
      </c>
      <c r="C20">
        <v>0.3</v>
      </c>
      <c r="D20">
        <v>0.4</v>
      </c>
      <c r="E20" t="s">
        <v>26</v>
      </c>
      <c r="F20" s="15">
        <f>Table76[[#This Row],[U-value (COG)]]/5.67</f>
        <v>0.67019400352733682</v>
      </c>
      <c r="G20" s="15">
        <f>Table76[[#This Row],[GLASS-CONDUCT]]/0.87</f>
        <v>0.34482758620689652</v>
      </c>
      <c r="H20" t="str">
        <f>IF(Table76[[#This Row],[Glass Type]]="Double Glazed","DG","SG")</f>
        <v>SG</v>
      </c>
      <c r="I20" t="str">
        <f>CONCATENATE("ML_",Table76[[#This Row],[Glass]],"_",ROUND(Table76[[#This Row],[U-Value(IP)]],2),"_",ROUND(Table76[[#This Row],[SHADING-COEF]],2),"_",Table76[[#This Row],[VIS-TRANS]],"_",Table76[[#This Row],[Climate]])</f>
        <v>ML_SG_0.67_0.34_0.4_Others</v>
      </c>
    </row>
    <row r="21" spans="1:9" x14ac:dyDescent="0.3">
      <c r="A21" t="s">
        <v>25</v>
      </c>
      <c r="B21">
        <v>4.8</v>
      </c>
      <c r="C21">
        <v>0.3</v>
      </c>
      <c r="D21">
        <v>0.4</v>
      </c>
      <c r="E21" t="s">
        <v>26</v>
      </c>
      <c r="F21" s="15">
        <f>Table76[[#This Row],[U-value (COG)]]/5.67</f>
        <v>0.84656084656084651</v>
      </c>
      <c r="G21" s="15">
        <f>Table76[[#This Row],[GLASS-CONDUCT]]/0.87</f>
        <v>0.34482758620689652</v>
      </c>
      <c r="H21" t="str">
        <f>IF(Table76[[#This Row],[Glass Type]]="Double Glazed","DG","SG")</f>
        <v>SG</v>
      </c>
      <c r="I21" t="str">
        <f>CONCATENATE("ML_",Table76[[#This Row],[Glass]],"_",ROUND(Table76[[#This Row],[U-Value(IP)]],2),"_",ROUND(Table76[[#This Row],[SHADING-COEF]],2),"_",Table76[[#This Row],[VIS-TRANS]],"_",Table76[[#This Row],[Climate]])</f>
        <v>ML_SG_0.85_0.34_0.4_Others</v>
      </c>
    </row>
    <row r="22" spans="1:9" x14ac:dyDescent="0.3">
      <c r="A22" t="s">
        <v>25</v>
      </c>
      <c r="B22">
        <v>4.8</v>
      </c>
      <c r="C22">
        <v>0.4</v>
      </c>
      <c r="D22">
        <v>0.4</v>
      </c>
      <c r="E22" t="s">
        <v>26</v>
      </c>
      <c r="F22" s="15">
        <f>Table76[[#This Row],[U-value (COG)]]/5.67</f>
        <v>0.84656084656084651</v>
      </c>
      <c r="G22" s="15">
        <f>Table76[[#This Row],[GLASS-CONDUCT]]/0.87</f>
        <v>0.45977011494252878</v>
      </c>
      <c r="H22" t="str">
        <f>IF(Table76[[#This Row],[Glass Type]]="Double Glazed","DG","SG")</f>
        <v>SG</v>
      </c>
      <c r="I22" t="str">
        <f>CONCATENATE("ML_",Table76[[#This Row],[Glass]],"_",ROUND(Table76[[#This Row],[U-Value(IP)]],2),"_",ROUND(Table76[[#This Row],[SHADING-COEF]],2),"_",Table76[[#This Row],[VIS-TRANS]],"_",Table76[[#This Row],[Climate]])</f>
        <v>ML_SG_0.85_0.46_0.4_Others</v>
      </c>
    </row>
    <row r="23" spans="1:9" x14ac:dyDescent="0.3">
      <c r="A23" t="s">
        <v>25</v>
      </c>
      <c r="B23">
        <v>4.8</v>
      </c>
      <c r="C23">
        <v>0.5</v>
      </c>
      <c r="D23">
        <v>0.4</v>
      </c>
      <c r="E23" t="s">
        <v>26</v>
      </c>
      <c r="F23" s="15">
        <f>Table76[[#This Row],[U-value (COG)]]/5.67</f>
        <v>0.84656084656084651</v>
      </c>
      <c r="G23" s="15">
        <f>Table76[[#This Row],[GLASS-CONDUCT]]/0.87</f>
        <v>0.57471264367816088</v>
      </c>
      <c r="H23" t="str">
        <f>IF(Table76[[#This Row],[Glass Type]]="Double Glazed","DG","SG")</f>
        <v>SG</v>
      </c>
      <c r="I23" t="str">
        <f>CONCATENATE("ML_",Table76[[#This Row],[Glass]],"_",ROUND(Table76[[#This Row],[U-Value(IP)]],2),"_",ROUND(Table76[[#This Row],[SHADING-COEF]],2),"_",Table76[[#This Row],[VIS-TRANS]],"_",Table76[[#This Row],[Climate]])</f>
        <v>ML_SG_0.85_0.57_0.4_Others</v>
      </c>
    </row>
    <row r="24" spans="1:9" x14ac:dyDescent="0.3">
      <c r="A24" t="s">
        <v>25</v>
      </c>
      <c r="B24">
        <v>4.8</v>
      </c>
      <c r="C24">
        <v>0.6</v>
      </c>
      <c r="D24">
        <v>0.4</v>
      </c>
      <c r="E24" t="s">
        <v>26</v>
      </c>
      <c r="F24" s="15">
        <f>Table76[[#This Row],[U-value (COG)]]/5.67</f>
        <v>0.84656084656084651</v>
      </c>
      <c r="G24" s="15">
        <f>Table76[[#This Row],[GLASS-CONDUCT]]/0.87</f>
        <v>0.68965517241379304</v>
      </c>
      <c r="H24" t="str">
        <f>IF(Table76[[#This Row],[Glass Type]]="Double Glazed","DG","SG")</f>
        <v>SG</v>
      </c>
      <c r="I24" t="str">
        <f>CONCATENATE("ML_",Table76[[#This Row],[Glass]],"_",ROUND(Table76[[#This Row],[U-Value(IP)]],2),"_",ROUND(Table76[[#This Row],[SHADING-COEF]],2),"_",Table76[[#This Row],[VIS-TRANS]],"_",Table76[[#This Row],[Climate]])</f>
        <v>ML_SG_0.85_0.69_0.4_Others</v>
      </c>
    </row>
    <row r="25" spans="1:9" x14ac:dyDescent="0.3">
      <c r="A25" t="s">
        <v>25</v>
      </c>
      <c r="B25">
        <v>4.8</v>
      </c>
      <c r="C25">
        <v>0.7</v>
      </c>
      <c r="D25">
        <v>0.4</v>
      </c>
      <c r="E25" t="s">
        <v>26</v>
      </c>
      <c r="F25" s="15">
        <f>Table76[[#This Row],[U-value (COG)]]/5.67</f>
        <v>0.84656084656084651</v>
      </c>
      <c r="G25" s="15">
        <f>Table76[[#This Row],[GLASS-CONDUCT]]/0.87</f>
        <v>0.80459770114942519</v>
      </c>
      <c r="H25" t="str">
        <f>IF(Table76[[#This Row],[Glass Type]]="Double Glazed","DG","SG")</f>
        <v>SG</v>
      </c>
      <c r="I25" t="str">
        <f>CONCATENATE("ML_",Table76[[#This Row],[Glass]],"_",ROUND(Table76[[#This Row],[U-Value(IP)]],2),"_",ROUND(Table76[[#This Row],[SHADING-COEF]],2),"_",Table76[[#This Row],[VIS-TRANS]],"_",Table76[[#This Row],[Climate]])</f>
        <v>ML_SG_0.85_0.8_0.4_Others</v>
      </c>
    </row>
    <row r="26" spans="1:9" x14ac:dyDescent="0.3">
      <c r="A26" t="s">
        <v>25</v>
      </c>
      <c r="B26">
        <v>5.7</v>
      </c>
      <c r="C26">
        <v>0.3</v>
      </c>
      <c r="D26">
        <v>0.4</v>
      </c>
      <c r="E26" t="s">
        <v>26</v>
      </c>
      <c r="F26" s="15">
        <f>Table76[[#This Row],[U-value (COG)]]/5.67</f>
        <v>1.0052910052910053</v>
      </c>
      <c r="G26" s="15">
        <f>Table76[[#This Row],[GLASS-CONDUCT]]/0.87</f>
        <v>0.34482758620689652</v>
      </c>
      <c r="H26" t="str">
        <f>IF(Table76[[#This Row],[Glass Type]]="Double Glazed","DG","SG")</f>
        <v>SG</v>
      </c>
      <c r="I26" t="str">
        <f>CONCATENATE("ML_",Table76[[#This Row],[Glass]],"_",ROUND(Table76[[#This Row],[U-Value(IP)]],2),"_",ROUND(Table76[[#This Row],[SHADING-COEF]],2),"_",Table76[[#This Row],[VIS-TRANS]],"_",Table76[[#This Row],[Climate]])</f>
        <v>ML_SG_1.01_0.34_0.4_Others</v>
      </c>
    </row>
    <row r="27" spans="1:9" x14ac:dyDescent="0.3">
      <c r="A27" t="s">
        <v>25</v>
      </c>
      <c r="B27">
        <v>5.7</v>
      </c>
      <c r="C27">
        <v>0.4</v>
      </c>
      <c r="D27">
        <v>0.4</v>
      </c>
      <c r="E27" t="s">
        <v>26</v>
      </c>
      <c r="F27" s="15">
        <f>Table76[[#This Row],[U-value (COG)]]/5.67</f>
        <v>1.0052910052910053</v>
      </c>
      <c r="G27" s="15">
        <f>Table76[[#This Row],[GLASS-CONDUCT]]/0.87</f>
        <v>0.45977011494252878</v>
      </c>
      <c r="H27" t="str">
        <f>IF(Table76[[#This Row],[Glass Type]]="Double Glazed","DG","SG")</f>
        <v>SG</v>
      </c>
      <c r="I27" t="str">
        <f>CONCATENATE("ML_",Table76[[#This Row],[Glass]],"_",ROUND(Table76[[#This Row],[U-Value(IP)]],2),"_",ROUND(Table76[[#This Row],[SHADING-COEF]],2),"_",Table76[[#This Row],[VIS-TRANS]],"_",Table76[[#This Row],[Climate]])</f>
        <v>ML_SG_1.01_0.46_0.4_Others</v>
      </c>
    </row>
    <row r="28" spans="1:9" x14ac:dyDescent="0.3">
      <c r="A28" t="s">
        <v>25</v>
      </c>
      <c r="B28">
        <v>5.7</v>
      </c>
      <c r="C28">
        <v>0.5</v>
      </c>
      <c r="D28">
        <v>0.4</v>
      </c>
      <c r="E28" t="s">
        <v>26</v>
      </c>
      <c r="F28" s="15">
        <f>Table76[[#This Row],[U-value (COG)]]/5.67</f>
        <v>1.0052910052910053</v>
      </c>
      <c r="G28" s="15">
        <f>Table76[[#This Row],[GLASS-CONDUCT]]/0.87</f>
        <v>0.57471264367816088</v>
      </c>
      <c r="H28" t="str">
        <f>IF(Table76[[#This Row],[Glass Type]]="Double Glazed","DG","SG")</f>
        <v>SG</v>
      </c>
      <c r="I28" t="str">
        <f>CONCATENATE("ML_",Table76[[#This Row],[Glass]],"_",ROUND(Table76[[#This Row],[U-Value(IP)]],2),"_",ROUND(Table76[[#This Row],[SHADING-COEF]],2),"_",Table76[[#This Row],[VIS-TRANS]],"_",Table76[[#This Row],[Climate]])</f>
        <v>ML_SG_1.01_0.57_0.4_Others</v>
      </c>
    </row>
    <row r="29" spans="1:9" x14ac:dyDescent="0.3">
      <c r="A29" t="s">
        <v>25</v>
      </c>
      <c r="B29">
        <v>5.7</v>
      </c>
      <c r="C29">
        <v>0.6</v>
      </c>
      <c r="D29">
        <v>0.4</v>
      </c>
      <c r="E29" t="s">
        <v>26</v>
      </c>
      <c r="F29" s="15">
        <f>Table76[[#This Row],[U-value (COG)]]/5.67</f>
        <v>1.0052910052910053</v>
      </c>
      <c r="G29" s="15">
        <f>Table76[[#This Row],[GLASS-CONDUCT]]/0.87</f>
        <v>0.68965517241379304</v>
      </c>
      <c r="H29" t="str">
        <f>IF(Table76[[#This Row],[Glass Type]]="Double Glazed","DG","SG")</f>
        <v>SG</v>
      </c>
      <c r="I29" t="str">
        <f>CONCATENATE("ML_",Table76[[#This Row],[Glass]],"_",ROUND(Table76[[#This Row],[U-Value(IP)]],2),"_",ROUND(Table76[[#This Row],[SHADING-COEF]],2),"_",Table76[[#This Row],[VIS-TRANS]],"_",Table76[[#This Row],[Climate]])</f>
        <v>ML_SG_1.01_0.69_0.4_Others</v>
      </c>
    </row>
    <row r="30" spans="1:9" x14ac:dyDescent="0.3">
      <c r="A30" s="3" t="s">
        <v>25</v>
      </c>
      <c r="B30" s="3">
        <v>5.7</v>
      </c>
      <c r="C30" s="3">
        <v>0.7</v>
      </c>
      <c r="D30">
        <v>0.4</v>
      </c>
      <c r="E30" t="s">
        <v>26</v>
      </c>
      <c r="F30" s="15">
        <f>Table76[[#This Row],[U-value (COG)]]/5.67</f>
        <v>1.0052910052910053</v>
      </c>
      <c r="G30" s="15">
        <f>Table76[[#This Row],[GLASS-CONDUCT]]/0.87</f>
        <v>0.80459770114942519</v>
      </c>
      <c r="H30" t="str">
        <f>IF(Table76[[#This Row],[Glass Type]]="Double Glazed","DG","SG")</f>
        <v>SG</v>
      </c>
      <c r="I30" t="str">
        <f>CONCATENATE("ML_",Table76[[#This Row],[Glass]],"_",ROUND(Table76[[#This Row],[U-Value(IP)]],2),"_",ROUND(Table76[[#This Row],[SHADING-COEF]],2),"_",Table76[[#This Row],[VIS-TRANS]],"_",Table76[[#This Row],[Climate]])</f>
        <v>ML_SG_1.01_0.8_0.4_Others</v>
      </c>
    </row>
    <row r="31" spans="1:9" x14ac:dyDescent="0.3">
      <c r="A31" t="s">
        <v>24</v>
      </c>
      <c r="B31">
        <v>2.8</v>
      </c>
      <c r="C31">
        <v>0.2</v>
      </c>
      <c r="D31">
        <v>0.4</v>
      </c>
      <c r="E31" t="s">
        <v>26</v>
      </c>
      <c r="F31" s="15">
        <f>Table76[[#This Row],[U-value (COG)]]/5.67</f>
        <v>0.49382716049382713</v>
      </c>
      <c r="G31" s="15">
        <f>Table76[[#This Row],[GLASS-CONDUCT]]/0.87</f>
        <v>0.22988505747126439</v>
      </c>
      <c r="H31" t="str">
        <f>IF(Table76[[#This Row],[Glass Type]]="Double Glazed","DG","SG")</f>
        <v>DG</v>
      </c>
      <c r="I31" t="str">
        <f>CONCATENATE("ML_",Table76[[#This Row],[Glass]],"_",ROUND(Table76[[#This Row],[U-Value(IP)]],2),"_",ROUND(Table76[[#This Row],[SHADING-COEF]],2),"_",Table76[[#This Row],[VIS-TRANS]],"_",Table76[[#This Row],[Climate]])</f>
        <v>ML_DG_0.49_0.23_0.4_Others</v>
      </c>
    </row>
    <row r="32" spans="1:9" x14ac:dyDescent="0.3">
      <c r="A32" t="s">
        <v>24</v>
      </c>
      <c r="B32">
        <v>2.8</v>
      </c>
      <c r="C32">
        <v>0.3</v>
      </c>
      <c r="D32">
        <v>0.4</v>
      </c>
      <c r="E32" t="s">
        <v>26</v>
      </c>
      <c r="F32" s="15">
        <f>Table76[[#This Row],[U-value (COG)]]/5.67</f>
        <v>0.49382716049382713</v>
      </c>
      <c r="G32" s="15">
        <f>Table76[[#This Row],[GLASS-CONDUCT]]/0.87</f>
        <v>0.34482758620689652</v>
      </c>
      <c r="H32" t="str">
        <f>IF(Table76[[#This Row],[Glass Type]]="Double Glazed","DG","SG")</f>
        <v>DG</v>
      </c>
      <c r="I32" t="str">
        <f>CONCATENATE("ML_",Table76[[#This Row],[Glass]],"_",ROUND(Table76[[#This Row],[U-Value(IP)]],2),"_",ROUND(Table76[[#This Row],[SHADING-COEF]],2),"_",Table76[[#This Row],[VIS-TRANS]],"_",Table76[[#This Row],[Climate]])</f>
        <v>ML_DG_0.49_0.34_0.4_Others</v>
      </c>
    </row>
    <row r="33" spans="1:9" x14ac:dyDescent="0.3">
      <c r="A33" t="s">
        <v>24</v>
      </c>
      <c r="B33">
        <v>2.8</v>
      </c>
      <c r="C33">
        <v>0.4</v>
      </c>
      <c r="D33">
        <v>0.4</v>
      </c>
      <c r="E33" t="s">
        <v>26</v>
      </c>
      <c r="F33" s="15">
        <f>Table76[[#This Row],[U-value (COG)]]/5.67</f>
        <v>0.49382716049382713</v>
      </c>
      <c r="G33" s="15">
        <f>Table76[[#This Row],[GLASS-CONDUCT]]/0.87</f>
        <v>0.45977011494252878</v>
      </c>
      <c r="H33" t="str">
        <f>IF(Table76[[#This Row],[Glass Type]]="Double Glazed","DG","SG")</f>
        <v>DG</v>
      </c>
      <c r="I33" t="str">
        <f>CONCATENATE("ML_",Table76[[#This Row],[Glass]],"_",ROUND(Table76[[#This Row],[U-Value(IP)]],2),"_",ROUND(Table76[[#This Row],[SHADING-COEF]],2),"_",Table76[[#This Row],[VIS-TRANS]],"_",Table76[[#This Row],[Climate]])</f>
        <v>ML_DG_0.49_0.46_0.4_Others</v>
      </c>
    </row>
    <row r="34" spans="1:9" x14ac:dyDescent="0.3">
      <c r="A34" t="s">
        <v>24</v>
      </c>
      <c r="B34">
        <v>2.8</v>
      </c>
      <c r="C34">
        <v>0.5</v>
      </c>
      <c r="D34">
        <v>0.4</v>
      </c>
      <c r="E34" t="s">
        <v>26</v>
      </c>
      <c r="F34" s="15">
        <f>Table76[[#This Row],[U-value (COG)]]/5.67</f>
        <v>0.49382716049382713</v>
      </c>
      <c r="G34" s="15">
        <f>Table76[[#This Row],[GLASS-CONDUCT]]/0.87</f>
        <v>0.57471264367816088</v>
      </c>
      <c r="H34" t="str">
        <f>IF(Table76[[#This Row],[Glass Type]]="Double Glazed","DG","SG")</f>
        <v>DG</v>
      </c>
      <c r="I34" t="str">
        <f>CONCATENATE("ML_",Table76[[#This Row],[Glass]],"_",ROUND(Table76[[#This Row],[U-Value(IP)]],2),"_",ROUND(Table76[[#This Row],[SHADING-COEF]],2),"_",Table76[[#This Row],[VIS-TRANS]],"_",Table76[[#This Row],[Climate]])</f>
        <v>ML_DG_0.49_0.57_0.4_Others</v>
      </c>
    </row>
    <row r="35" spans="1:9" x14ac:dyDescent="0.3">
      <c r="A35" t="s">
        <v>24</v>
      </c>
      <c r="B35">
        <v>2.8</v>
      </c>
      <c r="C35">
        <v>0.6</v>
      </c>
      <c r="D35">
        <v>0.4</v>
      </c>
      <c r="E35" t="s">
        <v>26</v>
      </c>
      <c r="F35" s="15">
        <f>Table76[[#This Row],[U-value (COG)]]/5.67</f>
        <v>0.49382716049382713</v>
      </c>
      <c r="G35" s="15">
        <f>Table76[[#This Row],[GLASS-CONDUCT]]/0.87</f>
        <v>0.68965517241379304</v>
      </c>
      <c r="H35" t="str">
        <f>IF(Table76[[#This Row],[Glass Type]]="Double Glazed","DG","SG")</f>
        <v>DG</v>
      </c>
      <c r="I35" t="str">
        <f>CONCATENATE("ML_",Table76[[#This Row],[Glass]],"_",ROUND(Table76[[#This Row],[U-Value(IP)]],2),"_",ROUND(Table76[[#This Row],[SHADING-COEF]],2),"_",Table76[[#This Row],[VIS-TRANS]],"_",Table76[[#This Row],[Climate]])</f>
        <v>ML_DG_0.49_0.69_0.4_Others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1C3C-5360-442F-8C17-A854A64A182F}">
  <dimension ref="A1:B739"/>
  <sheetViews>
    <sheetView topLeftCell="A715" workbookViewId="0">
      <selection activeCell="H735" sqref="H735"/>
    </sheetView>
  </sheetViews>
  <sheetFormatPr defaultRowHeight="14.4" x14ac:dyDescent="0.3"/>
  <cols>
    <col min="1" max="1" width="24.33203125" bestFit="1" customWidth="1"/>
    <col min="2" max="2" width="24" bestFit="1" customWidth="1"/>
  </cols>
  <sheetData>
    <row r="1" spans="1:2" x14ac:dyDescent="0.3">
      <c r="A1" t="s">
        <v>222</v>
      </c>
      <c r="B1" t="s">
        <v>1</v>
      </c>
    </row>
    <row r="2" spans="1:2" x14ac:dyDescent="0.3">
      <c r="A2" t="s">
        <v>223</v>
      </c>
      <c r="B2" t="s">
        <v>224</v>
      </c>
    </row>
    <row r="3" spans="1:2" x14ac:dyDescent="0.3">
      <c r="A3" t="s">
        <v>225</v>
      </c>
      <c r="B3" t="s">
        <v>224</v>
      </c>
    </row>
    <row r="4" spans="1:2" x14ac:dyDescent="0.3">
      <c r="A4" t="s">
        <v>226</v>
      </c>
      <c r="B4" t="s">
        <v>224</v>
      </c>
    </row>
    <row r="5" spans="1:2" x14ac:dyDescent="0.3">
      <c r="A5" t="s">
        <v>227</v>
      </c>
      <c r="B5" t="s">
        <v>224</v>
      </c>
    </row>
    <row r="6" spans="1:2" x14ac:dyDescent="0.3">
      <c r="A6" t="s">
        <v>228</v>
      </c>
      <c r="B6" t="s">
        <v>224</v>
      </c>
    </row>
    <row r="7" spans="1:2" x14ac:dyDescent="0.3">
      <c r="A7" t="s">
        <v>229</v>
      </c>
      <c r="B7" t="s">
        <v>224</v>
      </c>
    </row>
    <row r="8" spans="1:2" x14ac:dyDescent="0.3">
      <c r="A8" t="s">
        <v>230</v>
      </c>
      <c r="B8" t="s">
        <v>224</v>
      </c>
    </row>
    <row r="9" spans="1:2" x14ac:dyDescent="0.3">
      <c r="A9" t="s">
        <v>231</v>
      </c>
      <c r="B9" t="s">
        <v>224</v>
      </c>
    </row>
    <row r="10" spans="1:2" x14ac:dyDescent="0.3">
      <c r="A10" t="s">
        <v>232</v>
      </c>
      <c r="B10" t="s">
        <v>224</v>
      </c>
    </row>
    <row r="11" spans="1:2" x14ac:dyDescent="0.3">
      <c r="A11" t="s">
        <v>233</v>
      </c>
      <c r="B11" t="s">
        <v>224</v>
      </c>
    </row>
    <row r="12" spans="1:2" x14ac:dyDescent="0.3">
      <c r="A12" t="s">
        <v>234</v>
      </c>
      <c r="B12" t="s">
        <v>224</v>
      </c>
    </row>
    <row r="13" spans="1:2" x14ac:dyDescent="0.3">
      <c r="A13" t="s">
        <v>235</v>
      </c>
      <c r="B13" t="s">
        <v>224</v>
      </c>
    </row>
    <row r="14" spans="1:2" x14ac:dyDescent="0.3">
      <c r="A14" t="s">
        <v>236</v>
      </c>
      <c r="B14" t="s">
        <v>224</v>
      </c>
    </row>
    <row r="15" spans="1:2" x14ac:dyDescent="0.3">
      <c r="A15" t="s">
        <v>237</v>
      </c>
      <c r="B15" t="s">
        <v>224</v>
      </c>
    </row>
    <row r="16" spans="1:2" x14ac:dyDescent="0.3">
      <c r="A16" t="s">
        <v>238</v>
      </c>
      <c r="B16" t="s">
        <v>224</v>
      </c>
    </row>
    <row r="17" spans="1:2" x14ac:dyDescent="0.3">
      <c r="A17" t="s">
        <v>239</v>
      </c>
      <c r="B17" t="s">
        <v>224</v>
      </c>
    </row>
    <row r="18" spans="1:2" x14ac:dyDescent="0.3">
      <c r="A18" t="s">
        <v>240</v>
      </c>
      <c r="B18" t="s">
        <v>224</v>
      </c>
    </row>
    <row r="19" spans="1:2" x14ac:dyDescent="0.3">
      <c r="A19" t="s">
        <v>241</v>
      </c>
      <c r="B19" t="s">
        <v>242</v>
      </c>
    </row>
    <row r="20" spans="1:2" x14ac:dyDescent="0.3">
      <c r="A20" t="s">
        <v>243</v>
      </c>
      <c r="B20" t="s">
        <v>224</v>
      </c>
    </row>
    <row r="21" spans="1:2" x14ac:dyDescent="0.3">
      <c r="A21" t="s">
        <v>244</v>
      </c>
      <c r="B21" t="s">
        <v>224</v>
      </c>
    </row>
    <row r="22" spans="1:2" x14ac:dyDescent="0.3">
      <c r="A22" t="s">
        <v>245</v>
      </c>
      <c r="B22" t="s">
        <v>242</v>
      </c>
    </row>
    <row r="23" spans="1:2" x14ac:dyDescent="0.3">
      <c r="A23" t="s">
        <v>246</v>
      </c>
      <c r="B23" t="s">
        <v>224</v>
      </c>
    </row>
    <row r="24" spans="1:2" x14ac:dyDescent="0.3">
      <c r="A24" t="s">
        <v>247</v>
      </c>
    </row>
    <row r="25" spans="1:2" x14ac:dyDescent="0.3">
      <c r="A25" t="s">
        <v>248</v>
      </c>
      <c r="B25" t="s">
        <v>4</v>
      </c>
    </row>
    <row r="26" spans="1:2" x14ac:dyDescent="0.3">
      <c r="A26" t="s">
        <v>249</v>
      </c>
      <c r="B26" t="s">
        <v>4</v>
      </c>
    </row>
    <row r="27" spans="1:2" x14ac:dyDescent="0.3">
      <c r="A27" t="s">
        <v>250</v>
      </c>
    </row>
    <row r="28" spans="1:2" x14ac:dyDescent="0.3">
      <c r="A28" t="s">
        <v>251</v>
      </c>
      <c r="B28" t="s">
        <v>224</v>
      </c>
    </row>
    <row r="29" spans="1:2" x14ac:dyDescent="0.3">
      <c r="A29" t="s">
        <v>252</v>
      </c>
      <c r="B29" t="s">
        <v>224</v>
      </c>
    </row>
    <row r="30" spans="1:2" x14ac:dyDescent="0.3">
      <c r="A30" t="s">
        <v>253</v>
      </c>
      <c r="B30" t="s">
        <v>224</v>
      </c>
    </row>
    <row r="31" spans="1:2" x14ac:dyDescent="0.3">
      <c r="A31" t="s">
        <v>254</v>
      </c>
      <c r="B31" t="s">
        <v>224</v>
      </c>
    </row>
    <row r="32" spans="1:2" x14ac:dyDescent="0.3">
      <c r="A32" t="s">
        <v>255</v>
      </c>
      <c r="B32" t="s">
        <v>224</v>
      </c>
    </row>
    <row r="33" spans="1:2" x14ac:dyDescent="0.3">
      <c r="A33" t="s">
        <v>256</v>
      </c>
      <c r="B33" t="s">
        <v>224</v>
      </c>
    </row>
    <row r="34" spans="1:2" x14ac:dyDescent="0.3">
      <c r="A34" t="s">
        <v>257</v>
      </c>
    </row>
    <row r="35" spans="1:2" x14ac:dyDescent="0.3">
      <c r="A35" t="s">
        <v>258</v>
      </c>
      <c r="B35" t="s">
        <v>224</v>
      </c>
    </row>
    <row r="36" spans="1:2" x14ac:dyDescent="0.3">
      <c r="A36" t="s">
        <v>259</v>
      </c>
    </row>
    <row r="37" spans="1:2" x14ac:dyDescent="0.3">
      <c r="A37" t="s">
        <v>260</v>
      </c>
      <c r="B37" t="s">
        <v>4</v>
      </c>
    </row>
    <row r="38" spans="1:2" x14ac:dyDescent="0.3">
      <c r="A38" t="s">
        <v>261</v>
      </c>
      <c r="B38" t="s">
        <v>224</v>
      </c>
    </row>
    <row r="39" spans="1:2" x14ac:dyDescent="0.3">
      <c r="A39" t="s">
        <v>262</v>
      </c>
      <c r="B39" t="s">
        <v>4</v>
      </c>
    </row>
    <row r="40" spans="1:2" x14ac:dyDescent="0.3">
      <c r="A40" t="s">
        <v>263</v>
      </c>
      <c r="B40" t="s">
        <v>4</v>
      </c>
    </row>
    <row r="41" spans="1:2" x14ac:dyDescent="0.3">
      <c r="A41" t="s">
        <v>264</v>
      </c>
      <c r="B41" t="s">
        <v>242</v>
      </c>
    </row>
    <row r="42" spans="1:2" x14ac:dyDescent="0.3">
      <c r="A42" t="s">
        <v>265</v>
      </c>
      <c r="B42" t="s">
        <v>4</v>
      </c>
    </row>
    <row r="43" spans="1:2" x14ac:dyDescent="0.3">
      <c r="A43" t="s">
        <v>266</v>
      </c>
      <c r="B43" t="s">
        <v>224</v>
      </c>
    </row>
    <row r="44" spans="1:2" x14ac:dyDescent="0.3">
      <c r="A44" t="s">
        <v>267</v>
      </c>
      <c r="B44" t="s">
        <v>224</v>
      </c>
    </row>
    <row r="45" spans="1:2" x14ac:dyDescent="0.3">
      <c r="A45" t="s">
        <v>268</v>
      </c>
      <c r="B45" t="s">
        <v>224</v>
      </c>
    </row>
    <row r="46" spans="1:2" x14ac:dyDescent="0.3">
      <c r="A46" t="s">
        <v>269</v>
      </c>
      <c r="B46" t="s">
        <v>224</v>
      </c>
    </row>
    <row r="47" spans="1:2" x14ac:dyDescent="0.3">
      <c r="A47" t="s">
        <v>270</v>
      </c>
      <c r="B47" t="s">
        <v>224</v>
      </c>
    </row>
    <row r="48" spans="1:2" x14ac:dyDescent="0.3">
      <c r="A48" t="s">
        <v>271</v>
      </c>
      <c r="B48" t="s">
        <v>224</v>
      </c>
    </row>
    <row r="49" spans="1:2" x14ac:dyDescent="0.3">
      <c r="A49" t="s">
        <v>272</v>
      </c>
      <c r="B49" t="s">
        <v>224</v>
      </c>
    </row>
    <row r="50" spans="1:2" x14ac:dyDescent="0.3">
      <c r="A50" t="s">
        <v>273</v>
      </c>
      <c r="B50" t="s">
        <v>4</v>
      </c>
    </row>
    <row r="51" spans="1:2" x14ac:dyDescent="0.3">
      <c r="A51" t="s">
        <v>274</v>
      </c>
      <c r="B51" t="s">
        <v>224</v>
      </c>
    </row>
    <row r="52" spans="1:2" x14ac:dyDescent="0.3">
      <c r="A52" t="s">
        <v>275</v>
      </c>
      <c r="B52" t="s">
        <v>224</v>
      </c>
    </row>
    <row r="53" spans="1:2" x14ac:dyDescent="0.3">
      <c r="A53" t="s">
        <v>276</v>
      </c>
      <c r="B53" t="s">
        <v>224</v>
      </c>
    </row>
    <row r="54" spans="1:2" x14ac:dyDescent="0.3">
      <c r="A54" t="s">
        <v>277</v>
      </c>
      <c r="B54" t="s">
        <v>224</v>
      </c>
    </row>
    <row r="55" spans="1:2" x14ac:dyDescent="0.3">
      <c r="A55" t="s">
        <v>278</v>
      </c>
      <c r="B55" t="s">
        <v>224</v>
      </c>
    </row>
    <row r="56" spans="1:2" x14ac:dyDescent="0.3">
      <c r="A56" t="s">
        <v>279</v>
      </c>
      <c r="B56" t="s">
        <v>224</v>
      </c>
    </row>
    <row r="57" spans="1:2" x14ac:dyDescent="0.3">
      <c r="A57" t="s">
        <v>280</v>
      </c>
      <c r="B57" t="s">
        <v>224</v>
      </c>
    </row>
    <row r="58" spans="1:2" x14ac:dyDescent="0.3">
      <c r="A58" t="s">
        <v>281</v>
      </c>
      <c r="B58" t="s">
        <v>224</v>
      </c>
    </row>
    <row r="59" spans="1:2" x14ac:dyDescent="0.3">
      <c r="A59" t="s">
        <v>282</v>
      </c>
      <c r="B59" t="s">
        <v>224</v>
      </c>
    </row>
    <row r="60" spans="1:2" x14ac:dyDescent="0.3">
      <c r="A60" t="s">
        <v>283</v>
      </c>
      <c r="B60" t="s">
        <v>224</v>
      </c>
    </row>
    <row r="61" spans="1:2" x14ac:dyDescent="0.3">
      <c r="A61" t="s">
        <v>284</v>
      </c>
      <c r="B61" t="s">
        <v>4</v>
      </c>
    </row>
    <row r="62" spans="1:2" x14ac:dyDescent="0.3">
      <c r="A62" t="s">
        <v>285</v>
      </c>
      <c r="B62" t="s">
        <v>224</v>
      </c>
    </row>
    <row r="63" spans="1:2" x14ac:dyDescent="0.3">
      <c r="A63" t="s">
        <v>286</v>
      </c>
      <c r="B63" t="s">
        <v>224</v>
      </c>
    </row>
    <row r="64" spans="1:2" x14ac:dyDescent="0.3">
      <c r="A64" t="s">
        <v>287</v>
      </c>
      <c r="B64" t="s">
        <v>224</v>
      </c>
    </row>
    <row r="65" spans="1:2" x14ac:dyDescent="0.3">
      <c r="A65" t="s">
        <v>288</v>
      </c>
      <c r="B65" t="s">
        <v>224</v>
      </c>
    </row>
    <row r="66" spans="1:2" x14ac:dyDescent="0.3">
      <c r="A66" t="s">
        <v>289</v>
      </c>
      <c r="B66" t="s">
        <v>224</v>
      </c>
    </row>
    <row r="67" spans="1:2" x14ac:dyDescent="0.3">
      <c r="A67" t="s">
        <v>290</v>
      </c>
      <c r="B67" t="s">
        <v>4</v>
      </c>
    </row>
    <row r="68" spans="1:2" x14ac:dyDescent="0.3">
      <c r="A68" t="s">
        <v>291</v>
      </c>
      <c r="B68" t="s">
        <v>224</v>
      </c>
    </row>
    <row r="69" spans="1:2" x14ac:dyDescent="0.3">
      <c r="A69" t="s">
        <v>292</v>
      </c>
      <c r="B69" t="s">
        <v>224</v>
      </c>
    </row>
    <row r="70" spans="1:2" x14ac:dyDescent="0.3">
      <c r="A70" t="s">
        <v>293</v>
      </c>
      <c r="B70" t="s">
        <v>224</v>
      </c>
    </row>
    <row r="71" spans="1:2" x14ac:dyDescent="0.3">
      <c r="A71" t="s">
        <v>294</v>
      </c>
      <c r="B71" t="s">
        <v>224</v>
      </c>
    </row>
    <row r="72" spans="1:2" x14ac:dyDescent="0.3">
      <c r="A72" t="s">
        <v>295</v>
      </c>
      <c r="B72" t="s">
        <v>224</v>
      </c>
    </row>
    <row r="73" spans="1:2" x14ac:dyDescent="0.3">
      <c r="A73" t="s">
        <v>296</v>
      </c>
      <c r="B73" t="s">
        <v>224</v>
      </c>
    </row>
    <row r="74" spans="1:2" x14ac:dyDescent="0.3">
      <c r="A74" t="s">
        <v>297</v>
      </c>
      <c r="B74" t="s">
        <v>224</v>
      </c>
    </row>
    <row r="75" spans="1:2" x14ac:dyDescent="0.3">
      <c r="A75" t="s">
        <v>298</v>
      </c>
      <c r="B75" t="s">
        <v>4</v>
      </c>
    </row>
    <row r="76" spans="1:2" x14ac:dyDescent="0.3">
      <c r="A76" t="s">
        <v>299</v>
      </c>
      <c r="B76" t="s">
        <v>224</v>
      </c>
    </row>
    <row r="77" spans="1:2" x14ac:dyDescent="0.3">
      <c r="A77" t="s">
        <v>300</v>
      </c>
      <c r="B77" t="s">
        <v>5</v>
      </c>
    </row>
    <row r="78" spans="1:2" x14ac:dyDescent="0.3">
      <c r="A78" t="s">
        <v>301</v>
      </c>
      <c r="B78" t="s">
        <v>5</v>
      </c>
    </row>
    <row r="79" spans="1:2" x14ac:dyDescent="0.3">
      <c r="A79" t="s">
        <v>302</v>
      </c>
      <c r="B79" t="s">
        <v>303</v>
      </c>
    </row>
    <row r="80" spans="1:2" x14ac:dyDescent="0.3">
      <c r="A80" t="s">
        <v>304</v>
      </c>
      <c r="B80" t="s">
        <v>5</v>
      </c>
    </row>
    <row r="81" spans="1:2" x14ac:dyDescent="0.3">
      <c r="A81" t="s">
        <v>305</v>
      </c>
      <c r="B81" t="s">
        <v>224</v>
      </c>
    </row>
    <row r="82" spans="1:2" x14ac:dyDescent="0.3">
      <c r="A82" t="s">
        <v>306</v>
      </c>
      <c r="B82" t="s">
        <v>5</v>
      </c>
    </row>
    <row r="83" spans="1:2" x14ac:dyDescent="0.3">
      <c r="A83" t="s">
        <v>307</v>
      </c>
      <c r="B83" t="s">
        <v>5</v>
      </c>
    </row>
    <row r="84" spans="1:2" x14ac:dyDescent="0.3">
      <c r="A84" t="s">
        <v>308</v>
      </c>
      <c r="B84" t="s">
        <v>224</v>
      </c>
    </row>
    <row r="85" spans="1:2" x14ac:dyDescent="0.3">
      <c r="A85" t="s">
        <v>309</v>
      </c>
      <c r="B85" t="s">
        <v>224</v>
      </c>
    </row>
    <row r="86" spans="1:2" x14ac:dyDescent="0.3">
      <c r="A86" t="s">
        <v>310</v>
      </c>
      <c r="B86" t="s">
        <v>5</v>
      </c>
    </row>
    <row r="87" spans="1:2" x14ac:dyDescent="0.3">
      <c r="A87" t="s">
        <v>311</v>
      </c>
      <c r="B87" t="s">
        <v>5</v>
      </c>
    </row>
    <row r="88" spans="1:2" x14ac:dyDescent="0.3">
      <c r="A88" t="s">
        <v>312</v>
      </c>
      <c r="B88" t="s">
        <v>5</v>
      </c>
    </row>
    <row r="89" spans="1:2" x14ac:dyDescent="0.3">
      <c r="A89" t="s">
        <v>313</v>
      </c>
      <c r="B89" t="s">
        <v>5</v>
      </c>
    </row>
    <row r="90" spans="1:2" x14ac:dyDescent="0.3">
      <c r="A90" t="s">
        <v>314</v>
      </c>
      <c r="B90" t="s">
        <v>5</v>
      </c>
    </row>
    <row r="91" spans="1:2" x14ac:dyDescent="0.3">
      <c r="A91" t="s">
        <v>315</v>
      </c>
      <c r="B91" t="s">
        <v>224</v>
      </c>
    </row>
    <row r="92" spans="1:2" x14ac:dyDescent="0.3">
      <c r="A92" t="s">
        <v>316</v>
      </c>
      <c r="B92" t="s">
        <v>303</v>
      </c>
    </row>
    <row r="93" spans="1:2" x14ac:dyDescent="0.3">
      <c r="A93" t="s">
        <v>317</v>
      </c>
      <c r="B93" t="s">
        <v>224</v>
      </c>
    </row>
    <row r="94" spans="1:2" x14ac:dyDescent="0.3">
      <c r="A94" t="s">
        <v>318</v>
      </c>
      <c r="B94" t="s">
        <v>5</v>
      </c>
    </row>
    <row r="95" spans="1:2" x14ac:dyDescent="0.3">
      <c r="A95" t="s">
        <v>319</v>
      </c>
      <c r="B95" t="s">
        <v>224</v>
      </c>
    </row>
    <row r="96" spans="1:2" x14ac:dyDescent="0.3">
      <c r="A96" t="s">
        <v>320</v>
      </c>
      <c r="B96" t="s">
        <v>224</v>
      </c>
    </row>
    <row r="97" spans="1:2" x14ac:dyDescent="0.3">
      <c r="A97" t="s">
        <v>321</v>
      </c>
      <c r="B97" t="s">
        <v>5</v>
      </c>
    </row>
    <row r="98" spans="1:2" x14ac:dyDescent="0.3">
      <c r="A98" t="s">
        <v>322</v>
      </c>
      <c r="B98" t="s">
        <v>303</v>
      </c>
    </row>
    <row r="99" spans="1:2" x14ac:dyDescent="0.3">
      <c r="A99" t="s">
        <v>323</v>
      </c>
      <c r="B99" t="s">
        <v>5</v>
      </c>
    </row>
    <row r="100" spans="1:2" x14ac:dyDescent="0.3">
      <c r="A100" t="s">
        <v>324</v>
      </c>
      <c r="B100" t="s">
        <v>5</v>
      </c>
    </row>
    <row r="101" spans="1:2" x14ac:dyDescent="0.3">
      <c r="A101" t="s">
        <v>325</v>
      </c>
      <c r="B101" t="s">
        <v>5</v>
      </c>
    </row>
    <row r="102" spans="1:2" x14ac:dyDescent="0.3">
      <c r="A102" t="s">
        <v>326</v>
      </c>
      <c r="B102" t="s">
        <v>224</v>
      </c>
    </row>
    <row r="103" spans="1:2" x14ac:dyDescent="0.3">
      <c r="A103" t="s">
        <v>327</v>
      </c>
      <c r="B103" t="s">
        <v>5</v>
      </c>
    </row>
    <row r="104" spans="1:2" x14ac:dyDescent="0.3">
      <c r="A104" t="s">
        <v>328</v>
      </c>
      <c r="B104" t="s">
        <v>224</v>
      </c>
    </row>
    <row r="105" spans="1:2" x14ac:dyDescent="0.3">
      <c r="A105" t="s">
        <v>329</v>
      </c>
      <c r="B105" t="s">
        <v>5</v>
      </c>
    </row>
    <row r="106" spans="1:2" x14ac:dyDescent="0.3">
      <c r="A106" t="s">
        <v>330</v>
      </c>
      <c r="B106" t="s">
        <v>5</v>
      </c>
    </row>
    <row r="107" spans="1:2" x14ac:dyDescent="0.3">
      <c r="A107" t="s">
        <v>331</v>
      </c>
      <c r="B107" t="s">
        <v>5</v>
      </c>
    </row>
    <row r="108" spans="1:2" x14ac:dyDescent="0.3">
      <c r="A108" t="s">
        <v>332</v>
      </c>
      <c r="B108" t="s">
        <v>224</v>
      </c>
    </row>
    <row r="109" spans="1:2" x14ac:dyDescent="0.3">
      <c r="A109" t="s">
        <v>333</v>
      </c>
      <c r="B109" t="s">
        <v>224</v>
      </c>
    </row>
    <row r="110" spans="1:2" x14ac:dyDescent="0.3">
      <c r="A110" t="s">
        <v>334</v>
      </c>
      <c r="B110" t="s">
        <v>5</v>
      </c>
    </row>
    <row r="111" spans="1:2" x14ac:dyDescent="0.3">
      <c r="A111" t="s">
        <v>335</v>
      </c>
      <c r="B111" t="s">
        <v>224</v>
      </c>
    </row>
    <row r="112" spans="1:2" x14ac:dyDescent="0.3">
      <c r="A112" t="s">
        <v>336</v>
      </c>
      <c r="B112" t="s">
        <v>5</v>
      </c>
    </row>
    <row r="113" spans="1:2" x14ac:dyDescent="0.3">
      <c r="A113" t="s">
        <v>337</v>
      </c>
      <c r="B113" t="s">
        <v>5</v>
      </c>
    </row>
    <row r="114" spans="1:2" x14ac:dyDescent="0.3">
      <c r="A114" t="s">
        <v>338</v>
      </c>
      <c r="B114" t="s">
        <v>5</v>
      </c>
    </row>
    <row r="115" spans="1:2" x14ac:dyDescent="0.3">
      <c r="A115" t="s">
        <v>339</v>
      </c>
      <c r="B115" t="s">
        <v>5</v>
      </c>
    </row>
    <row r="116" spans="1:2" x14ac:dyDescent="0.3">
      <c r="A116" t="s">
        <v>340</v>
      </c>
      <c r="B116" t="s">
        <v>5</v>
      </c>
    </row>
    <row r="117" spans="1:2" x14ac:dyDescent="0.3">
      <c r="A117" t="s">
        <v>341</v>
      </c>
      <c r="B117" t="s">
        <v>5</v>
      </c>
    </row>
    <row r="118" spans="1:2" x14ac:dyDescent="0.3">
      <c r="A118" t="s">
        <v>342</v>
      </c>
      <c r="B118" t="s">
        <v>5</v>
      </c>
    </row>
    <row r="119" spans="1:2" x14ac:dyDescent="0.3">
      <c r="A119" t="s">
        <v>343</v>
      </c>
      <c r="B119" t="s">
        <v>5</v>
      </c>
    </row>
    <row r="120" spans="1:2" x14ac:dyDescent="0.3">
      <c r="A120" t="s">
        <v>344</v>
      </c>
      <c r="B120" t="s">
        <v>5</v>
      </c>
    </row>
    <row r="121" spans="1:2" x14ac:dyDescent="0.3">
      <c r="A121" t="s">
        <v>345</v>
      </c>
      <c r="B121" t="s">
        <v>5</v>
      </c>
    </row>
    <row r="122" spans="1:2" x14ac:dyDescent="0.3">
      <c r="A122" t="s">
        <v>346</v>
      </c>
      <c r="B122" t="s">
        <v>224</v>
      </c>
    </row>
    <row r="123" spans="1:2" x14ac:dyDescent="0.3">
      <c r="A123" t="s">
        <v>347</v>
      </c>
      <c r="B123" t="s">
        <v>5</v>
      </c>
    </row>
    <row r="124" spans="1:2" x14ac:dyDescent="0.3">
      <c r="A124" t="s">
        <v>348</v>
      </c>
      <c r="B124" t="s">
        <v>5</v>
      </c>
    </row>
    <row r="125" spans="1:2" x14ac:dyDescent="0.3">
      <c r="A125" t="s">
        <v>349</v>
      </c>
      <c r="B125" t="s">
        <v>5</v>
      </c>
    </row>
    <row r="126" spans="1:2" x14ac:dyDescent="0.3">
      <c r="A126" t="s">
        <v>350</v>
      </c>
      <c r="B126" t="s">
        <v>5</v>
      </c>
    </row>
    <row r="127" spans="1:2" x14ac:dyDescent="0.3">
      <c r="A127" t="s">
        <v>351</v>
      </c>
      <c r="B127" t="s">
        <v>5</v>
      </c>
    </row>
    <row r="128" spans="1:2" x14ac:dyDescent="0.3">
      <c r="A128" t="s">
        <v>352</v>
      </c>
      <c r="B128" t="s">
        <v>5</v>
      </c>
    </row>
    <row r="129" spans="1:2" x14ac:dyDescent="0.3">
      <c r="A129" t="s">
        <v>353</v>
      </c>
      <c r="B129" t="s">
        <v>5</v>
      </c>
    </row>
    <row r="130" spans="1:2" x14ac:dyDescent="0.3">
      <c r="A130" t="s">
        <v>354</v>
      </c>
      <c r="B130" t="s">
        <v>5</v>
      </c>
    </row>
    <row r="131" spans="1:2" x14ac:dyDescent="0.3">
      <c r="A131" t="s">
        <v>355</v>
      </c>
      <c r="B131" t="s">
        <v>5</v>
      </c>
    </row>
    <row r="132" spans="1:2" x14ac:dyDescent="0.3">
      <c r="A132" t="s">
        <v>356</v>
      </c>
      <c r="B132" t="s">
        <v>5</v>
      </c>
    </row>
    <row r="133" spans="1:2" x14ac:dyDescent="0.3">
      <c r="A133" t="s">
        <v>357</v>
      </c>
      <c r="B133" t="s">
        <v>5</v>
      </c>
    </row>
    <row r="134" spans="1:2" x14ac:dyDescent="0.3">
      <c r="A134" t="s">
        <v>358</v>
      </c>
      <c r="B134" t="s">
        <v>5</v>
      </c>
    </row>
    <row r="135" spans="1:2" x14ac:dyDescent="0.3">
      <c r="A135" t="s">
        <v>359</v>
      </c>
      <c r="B135" t="s">
        <v>5</v>
      </c>
    </row>
    <row r="136" spans="1:2" x14ac:dyDescent="0.3">
      <c r="A136" t="s">
        <v>360</v>
      </c>
      <c r="B136" t="s">
        <v>5</v>
      </c>
    </row>
    <row r="137" spans="1:2" x14ac:dyDescent="0.3">
      <c r="A137" t="s">
        <v>361</v>
      </c>
      <c r="B137" t="s">
        <v>5</v>
      </c>
    </row>
    <row r="138" spans="1:2" x14ac:dyDescent="0.3">
      <c r="A138" t="s">
        <v>362</v>
      </c>
      <c r="B138" t="s">
        <v>5</v>
      </c>
    </row>
    <row r="139" spans="1:2" x14ac:dyDescent="0.3">
      <c r="A139" t="s">
        <v>363</v>
      </c>
      <c r="B139" t="s">
        <v>5</v>
      </c>
    </row>
    <row r="140" spans="1:2" x14ac:dyDescent="0.3">
      <c r="A140" t="s">
        <v>364</v>
      </c>
      <c r="B140" t="s">
        <v>5</v>
      </c>
    </row>
    <row r="141" spans="1:2" x14ac:dyDescent="0.3">
      <c r="A141" t="s">
        <v>365</v>
      </c>
      <c r="B141" t="s">
        <v>5</v>
      </c>
    </row>
    <row r="142" spans="1:2" x14ac:dyDescent="0.3">
      <c r="A142" t="s">
        <v>366</v>
      </c>
      <c r="B142" t="s">
        <v>224</v>
      </c>
    </row>
    <row r="143" spans="1:2" x14ac:dyDescent="0.3">
      <c r="A143" t="s">
        <v>367</v>
      </c>
      <c r="B143" t="s">
        <v>224</v>
      </c>
    </row>
    <row r="144" spans="1:2" x14ac:dyDescent="0.3">
      <c r="A144" t="s">
        <v>368</v>
      </c>
      <c r="B144" t="s">
        <v>224</v>
      </c>
    </row>
    <row r="145" spans="1:2" x14ac:dyDescent="0.3">
      <c r="A145" t="s">
        <v>369</v>
      </c>
      <c r="B145" t="s">
        <v>5</v>
      </c>
    </row>
    <row r="146" spans="1:2" x14ac:dyDescent="0.3">
      <c r="A146" t="s">
        <v>370</v>
      </c>
      <c r="B146" t="s">
        <v>5</v>
      </c>
    </row>
    <row r="147" spans="1:2" x14ac:dyDescent="0.3">
      <c r="A147" t="s">
        <v>371</v>
      </c>
      <c r="B147" t="s">
        <v>5</v>
      </c>
    </row>
    <row r="148" spans="1:2" x14ac:dyDescent="0.3">
      <c r="A148" t="s">
        <v>953</v>
      </c>
      <c r="B148" t="s">
        <v>5</v>
      </c>
    </row>
    <row r="149" spans="1:2" x14ac:dyDescent="0.3">
      <c r="A149" t="s">
        <v>372</v>
      </c>
      <c r="B149" t="s">
        <v>5</v>
      </c>
    </row>
    <row r="150" spans="1:2" x14ac:dyDescent="0.3">
      <c r="A150" t="s">
        <v>373</v>
      </c>
      <c r="B150" t="s">
        <v>5</v>
      </c>
    </row>
    <row r="151" spans="1:2" x14ac:dyDescent="0.3">
      <c r="A151" t="s">
        <v>374</v>
      </c>
      <c r="B151" t="s">
        <v>5</v>
      </c>
    </row>
    <row r="152" spans="1:2" x14ac:dyDescent="0.3">
      <c r="A152" t="s">
        <v>375</v>
      </c>
      <c r="B152" t="s">
        <v>5</v>
      </c>
    </row>
    <row r="153" spans="1:2" x14ac:dyDescent="0.3">
      <c r="A153" t="s">
        <v>376</v>
      </c>
      <c r="B153" t="s">
        <v>5</v>
      </c>
    </row>
    <row r="154" spans="1:2" x14ac:dyDescent="0.3">
      <c r="A154" t="s">
        <v>377</v>
      </c>
      <c r="B154" t="s">
        <v>5</v>
      </c>
    </row>
    <row r="155" spans="1:2" x14ac:dyDescent="0.3">
      <c r="A155" t="s">
        <v>378</v>
      </c>
      <c r="B155" t="s">
        <v>5</v>
      </c>
    </row>
    <row r="156" spans="1:2" x14ac:dyDescent="0.3">
      <c r="A156" t="s">
        <v>379</v>
      </c>
      <c r="B156" t="s">
        <v>5</v>
      </c>
    </row>
    <row r="157" spans="1:2" x14ac:dyDescent="0.3">
      <c r="A157" t="s">
        <v>380</v>
      </c>
      <c r="B157" t="s">
        <v>224</v>
      </c>
    </row>
    <row r="158" spans="1:2" x14ac:dyDescent="0.3">
      <c r="A158" t="s">
        <v>381</v>
      </c>
      <c r="B158" t="s">
        <v>224</v>
      </c>
    </row>
    <row r="159" spans="1:2" x14ac:dyDescent="0.3">
      <c r="A159" t="s">
        <v>217</v>
      </c>
      <c r="B159" t="s">
        <v>382</v>
      </c>
    </row>
    <row r="160" spans="1:2" x14ac:dyDescent="0.3">
      <c r="A160" t="s">
        <v>383</v>
      </c>
      <c r="B160" t="s">
        <v>5</v>
      </c>
    </row>
    <row r="161" spans="1:2" x14ac:dyDescent="0.3">
      <c r="A161" t="s">
        <v>384</v>
      </c>
      <c r="B161" t="s">
        <v>224</v>
      </c>
    </row>
    <row r="162" spans="1:2" x14ac:dyDescent="0.3">
      <c r="A162" t="s">
        <v>385</v>
      </c>
      <c r="B162" t="s">
        <v>224</v>
      </c>
    </row>
    <row r="163" spans="1:2" x14ac:dyDescent="0.3">
      <c r="A163" t="s">
        <v>386</v>
      </c>
      <c r="B163" t="s">
        <v>224</v>
      </c>
    </row>
    <row r="164" spans="1:2" x14ac:dyDescent="0.3">
      <c r="A164" t="s">
        <v>387</v>
      </c>
      <c r="B164" t="s">
        <v>224</v>
      </c>
    </row>
    <row r="165" spans="1:2" x14ac:dyDescent="0.3">
      <c r="A165" t="s">
        <v>388</v>
      </c>
      <c r="B165" t="s">
        <v>5</v>
      </c>
    </row>
    <row r="166" spans="1:2" x14ac:dyDescent="0.3">
      <c r="A166" t="s">
        <v>389</v>
      </c>
      <c r="B166" t="s">
        <v>224</v>
      </c>
    </row>
    <row r="167" spans="1:2" x14ac:dyDescent="0.3">
      <c r="A167" t="s">
        <v>390</v>
      </c>
      <c r="B167" t="s">
        <v>224</v>
      </c>
    </row>
    <row r="168" spans="1:2" x14ac:dyDescent="0.3">
      <c r="A168" t="s">
        <v>391</v>
      </c>
      <c r="B168" t="s">
        <v>224</v>
      </c>
    </row>
    <row r="169" spans="1:2" x14ac:dyDescent="0.3">
      <c r="A169" t="s">
        <v>392</v>
      </c>
      <c r="B169" t="s">
        <v>224</v>
      </c>
    </row>
    <row r="170" spans="1:2" x14ac:dyDescent="0.3">
      <c r="A170" t="s">
        <v>393</v>
      </c>
      <c r="B170" t="s">
        <v>224</v>
      </c>
    </row>
    <row r="171" spans="1:2" x14ac:dyDescent="0.3">
      <c r="A171" t="s">
        <v>394</v>
      </c>
      <c r="B171" t="s">
        <v>224</v>
      </c>
    </row>
    <row r="172" spans="1:2" x14ac:dyDescent="0.3">
      <c r="A172" t="s">
        <v>395</v>
      </c>
      <c r="B172" t="s">
        <v>224</v>
      </c>
    </row>
    <row r="173" spans="1:2" x14ac:dyDescent="0.3">
      <c r="A173" t="s">
        <v>396</v>
      </c>
      <c r="B173" t="s">
        <v>224</v>
      </c>
    </row>
    <row r="174" spans="1:2" x14ac:dyDescent="0.3">
      <c r="A174" t="s">
        <v>397</v>
      </c>
      <c r="B174" t="s">
        <v>224</v>
      </c>
    </row>
    <row r="175" spans="1:2" x14ac:dyDescent="0.3">
      <c r="A175" t="s">
        <v>398</v>
      </c>
      <c r="B175" t="s">
        <v>224</v>
      </c>
    </row>
    <row r="176" spans="1:2" x14ac:dyDescent="0.3">
      <c r="A176" t="s">
        <v>399</v>
      </c>
      <c r="B176" t="s">
        <v>400</v>
      </c>
    </row>
    <row r="177" spans="1:2" x14ac:dyDescent="0.3">
      <c r="A177" t="s">
        <v>401</v>
      </c>
      <c r="B177" t="s">
        <v>382</v>
      </c>
    </row>
    <row r="178" spans="1:2" x14ac:dyDescent="0.3">
      <c r="A178" t="s">
        <v>402</v>
      </c>
      <c r="B178" t="s">
        <v>382</v>
      </c>
    </row>
    <row r="179" spans="1:2" x14ac:dyDescent="0.3">
      <c r="A179" t="s">
        <v>403</v>
      </c>
      <c r="B179" t="s">
        <v>5</v>
      </c>
    </row>
    <row r="180" spans="1:2" x14ac:dyDescent="0.3">
      <c r="A180" t="s">
        <v>404</v>
      </c>
      <c r="B180" t="s">
        <v>382</v>
      </c>
    </row>
    <row r="181" spans="1:2" x14ac:dyDescent="0.3">
      <c r="A181" t="s">
        <v>405</v>
      </c>
      <c r="B181" t="s">
        <v>382</v>
      </c>
    </row>
    <row r="182" spans="1:2" x14ac:dyDescent="0.3">
      <c r="A182" t="s">
        <v>406</v>
      </c>
      <c r="B182" t="s">
        <v>382</v>
      </c>
    </row>
    <row r="183" spans="1:2" x14ac:dyDescent="0.3">
      <c r="A183" t="s">
        <v>407</v>
      </c>
      <c r="B183" t="s">
        <v>382</v>
      </c>
    </row>
    <row r="184" spans="1:2" x14ac:dyDescent="0.3">
      <c r="A184" t="s">
        <v>408</v>
      </c>
      <c r="B184" t="s">
        <v>224</v>
      </c>
    </row>
    <row r="185" spans="1:2" x14ac:dyDescent="0.3">
      <c r="A185" t="s">
        <v>409</v>
      </c>
      <c r="B185" t="s">
        <v>5</v>
      </c>
    </row>
    <row r="186" spans="1:2" x14ac:dyDescent="0.3">
      <c r="A186" t="s">
        <v>410</v>
      </c>
      <c r="B186" t="s">
        <v>382</v>
      </c>
    </row>
    <row r="187" spans="1:2" x14ac:dyDescent="0.3">
      <c r="A187" t="s">
        <v>411</v>
      </c>
      <c r="B187" t="s">
        <v>382</v>
      </c>
    </row>
    <row r="188" spans="1:2" x14ac:dyDescent="0.3">
      <c r="A188" t="s">
        <v>412</v>
      </c>
      <c r="B188" t="s">
        <v>382</v>
      </c>
    </row>
    <row r="189" spans="1:2" x14ac:dyDescent="0.3">
      <c r="A189" t="s">
        <v>413</v>
      </c>
      <c r="B189" t="s">
        <v>382</v>
      </c>
    </row>
    <row r="190" spans="1:2" x14ac:dyDescent="0.3">
      <c r="A190" t="s">
        <v>414</v>
      </c>
      <c r="B190" t="s">
        <v>382</v>
      </c>
    </row>
    <row r="191" spans="1:2" x14ac:dyDescent="0.3">
      <c r="A191" t="s">
        <v>415</v>
      </c>
      <c r="B191" t="s">
        <v>382</v>
      </c>
    </row>
    <row r="192" spans="1:2" x14ac:dyDescent="0.3">
      <c r="A192" t="s">
        <v>416</v>
      </c>
      <c r="B192" t="s">
        <v>5</v>
      </c>
    </row>
    <row r="193" spans="1:2" x14ac:dyDescent="0.3">
      <c r="A193" t="s">
        <v>417</v>
      </c>
      <c r="B193" t="s">
        <v>5</v>
      </c>
    </row>
    <row r="194" spans="1:2" x14ac:dyDescent="0.3">
      <c r="A194" t="s">
        <v>418</v>
      </c>
      <c r="B194" t="s">
        <v>5</v>
      </c>
    </row>
    <row r="195" spans="1:2" x14ac:dyDescent="0.3">
      <c r="A195" t="s">
        <v>419</v>
      </c>
      <c r="B195" t="s">
        <v>5</v>
      </c>
    </row>
    <row r="196" spans="1:2" x14ac:dyDescent="0.3">
      <c r="A196" t="s">
        <v>420</v>
      </c>
      <c r="B196" t="s">
        <v>5</v>
      </c>
    </row>
    <row r="197" spans="1:2" x14ac:dyDescent="0.3">
      <c r="A197" t="s">
        <v>421</v>
      </c>
      <c r="B197" t="s">
        <v>5</v>
      </c>
    </row>
    <row r="198" spans="1:2" x14ac:dyDescent="0.3">
      <c r="A198" t="s">
        <v>422</v>
      </c>
      <c r="B198" t="s">
        <v>5</v>
      </c>
    </row>
    <row r="199" spans="1:2" x14ac:dyDescent="0.3">
      <c r="A199" t="s">
        <v>423</v>
      </c>
      <c r="B199" t="s">
        <v>5</v>
      </c>
    </row>
    <row r="200" spans="1:2" x14ac:dyDescent="0.3">
      <c r="A200" t="s">
        <v>424</v>
      </c>
      <c r="B200" t="s">
        <v>5</v>
      </c>
    </row>
    <row r="201" spans="1:2" x14ac:dyDescent="0.3">
      <c r="A201" t="s">
        <v>425</v>
      </c>
      <c r="B201" t="s">
        <v>5</v>
      </c>
    </row>
    <row r="202" spans="1:2" x14ac:dyDescent="0.3">
      <c r="A202" t="s">
        <v>426</v>
      </c>
      <c r="B202" t="s">
        <v>5</v>
      </c>
    </row>
    <row r="203" spans="1:2" x14ac:dyDescent="0.3">
      <c r="A203" t="s">
        <v>427</v>
      </c>
      <c r="B203" t="s">
        <v>5</v>
      </c>
    </row>
    <row r="204" spans="1:2" x14ac:dyDescent="0.3">
      <c r="A204" t="s">
        <v>428</v>
      </c>
      <c r="B204" t="s">
        <v>5</v>
      </c>
    </row>
    <row r="205" spans="1:2" x14ac:dyDescent="0.3">
      <c r="A205" t="s">
        <v>429</v>
      </c>
      <c r="B205" t="s">
        <v>5</v>
      </c>
    </row>
    <row r="206" spans="1:2" x14ac:dyDescent="0.3">
      <c r="A206" t="s">
        <v>430</v>
      </c>
      <c r="B206" t="s">
        <v>5</v>
      </c>
    </row>
    <row r="207" spans="1:2" x14ac:dyDescent="0.3">
      <c r="A207" t="s">
        <v>431</v>
      </c>
      <c r="B207" t="s">
        <v>5</v>
      </c>
    </row>
    <row r="208" spans="1:2" x14ac:dyDescent="0.3">
      <c r="A208" t="s">
        <v>432</v>
      </c>
      <c r="B208" t="s">
        <v>5</v>
      </c>
    </row>
    <row r="209" spans="1:2" x14ac:dyDescent="0.3">
      <c r="A209" t="s">
        <v>433</v>
      </c>
      <c r="B209" t="s">
        <v>5</v>
      </c>
    </row>
    <row r="210" spans="1:2" x14ac:dyDescent="0.3">
      <c r="A210" t="s">
        <v>434</v>
      </c>
      <c r="B210" t="s">
        <v>5</v>
      </c>
    </row>
    <row r="211" spans="1:2" x14ac:dyDescent="0.3">
      <c r="A211" t="s">
        <v>435</v>
      </c>
      <c r="B211" t="s">
        <v>5</v>
      </c>
    </row>
    <row r="212" spans="1:2" x14ac:dyDescent="0.3">
      <c r="A212" t="s">
        <v>436</v>
      </c>
      <c r="B212" t="s">
        <v>5</v>
      </c>
    </row>
    <row r="213" spans="1:2" x14ac:dyDescent="0.3">
      <c r="A213" t="s">
        <v>437</v>
      </c>
      <c r="B213" t="s">
        <v>5</v>
      </c>
    </row>
    <row r="214" spans="1:2" x14ac:dyDescent="0.3">
      <c r="A214" t="s">
        <v>345</v>
      </c>
      <c r="B214" t="s">
        <v>5</v>
      </c>
    </row>
    <row r="215" spans="1:2" x14ac:dyDescent="0.3">
      <c r="A215" t="s">
        <v>438</v>
      </c>
      <c r="B215" t="s">
        <v>4</v>
      </c>
    </row>
    <row r="216" spans="1:2" x14ac:dyDescent="0.3">
      <c r="A216" t="s">
        <v>439</v>
      </c>
      <c r="B216" t="s">
        <v>5</v>
      </c>
    </row>
    <row r="217" spans="1:2" x14ac:dyDescent="0.3">
      <c r="A217" t="s">
        <v>440</v>
      </c>
      <c r="B217" t="s">
        <v>5</v>
      </c>
    </row>
    <row r="218" spans="1:2" x14ac:dyDescent="0.3">
      <c r="A218" t="s">
        <v>441</v>
      </c>
      <c r="B218" t="s">
        <v>4</v>
      </c>
    </row>
    <row r="219" spans="1:2" x14ac:dyDescent="0.3">
      <c r="A219" t="s">
        <v>442</v>
      </c>
      <c r="B219" t="s">
        <v>4</v>
      </c>
    </row>
    <row r="220" spans="1:2" x14ac:dyDescent="0.3">
      <c r="A220" t="s">
        <v>443</v>
      </c>
      <c r="B220" t="s">
        <v>4</v>
      </c>
    </row>
    <row r="221" spans="1:2" x14ac:dyDescent="0.3">
      <c r="A221" t="s">
        <v>444</v>
      </c>
      <c r="B221" t="s">
        <v>5</v>
      </c>
    </row>
    <row r="222" spans="1:2" x14ac:dyDescent="0.3">
      <c r="A222" t="s">
        <v>445</v>
      </c>
      <c r="B222" t="s">
        <v>4</v>
      </c>
    </row>
    <row r="223" spans="1:2" x14ac:dyDescent="0.3">
      <c r="A223" t="s">
        <v>446</v>
      </c>
      <c r="B223" t="s">
        <v>5</v>
      </c>
    </row>
    <row r="224" spans="1:2" x14ac:dyDescent="0.3">
      <c r="A224" t="s">
        <v>447</v>
      </c>
      <c r="B224" t="s">
        <v>5</v>
      </c>
    </row>
    <row r="225" spans="1:2" x14ac:dyDescent="0.3">
      <c r="A225" t="s">
        <v>448</v>
      </c>
      <c r="B225" t="s">
        <v>5</v>
      </c>
    </row>
    <row r="226" spans="1:2" x14ac:dyDescent="0.3">
      <c r="A226" t="s">
        <v>449</v>
      </c>
      <c r="B226" t="s">
        <v>4</v>
      </c>
    </row>
    <row r="227" spans="1:2" x14ac:dyDescent="0.3">
      <c r="A227" t="s">
        <v>450</v>
      </c>
      <c r="B227" t="s">
        <v>4</v>
      </c>
    </row>
    <row r="228" spans="1:2" x14ac:dyDescent="0.3">
      <c r="A228" t="s">
        <v>451</v>
      </c>
      <c r="B228" t="s">
        <v>4</v>
      </c>
    </row>
    <row r="229" spans="1:2" x14ac:dyDescent="0.3">
      <c r="A229" t="s">
        <v>452</v>
      </c>
      <c r="B229" t="s">
        <v>4</v>
      </c>
    </row>
    <row r="230" spans="1:2" x14ac:dyDescent="0.3">
      <c r="A230" t="s">
        <v>453</v>
      </c>
      <c r="B230" t="s">
        <v>4</v>
      </c>
    </row>
    <row r="231" spans="1:2" x14ac:dyDescent="0.3">
      <c r="A231" t="s">
        <v>454</v>
      </c>
      <c r="B231" t="s">
        <v>4</v>
      </c>
    </row>
    <row r="232" spans="1:2" x14ac:dyDescent="0.3">
      <c r="A232" t="s">
        <v>455</v>
      </c>
      <c r="B232" t="s">
        <v>4</v>
      </c>
    </row>
    <row r="233" spans="1:2" x14ac:dyDescent="0.3">
      <c r="A233" t="s">
        <v>456</v>
      </c>
      <c r="B233" t="s">
        <v>4</v>
      </c>
    </row>
    <row r="234" spans="1:2" x14ac:dyDescent="0.3">
      <c r="A234" t="s">
        <v>457</v>
      </c>
      <c r="B234" t="s">
        <v>4</v>
      </c>
    </row>
    <row r="235" spans="1:2" x14ac:dyDescent="0.3">
      <c r="A235" t="s">
        <v>458</v>
      </c>
      <c r="B235" t="s">
        <v>4</v>
      </c>
    </row>
    <row r="236" spans="1:2" x14ac:dyDescent="0.3">
      <c r="A236" t="s">
        <v>459</v>
      </c>
      <c r="B236" t="s">
        <v>4</v>
      </c>
    </row>
    <row r="237" spans="1:2" x14ac:dyDescent="0.3">
      <c r="A237" t="s">
        <v>460</v>
      </c>
      <c r="B237" t="s">
        <v>4</v>
      </c>
    </row>
    <row r="238" spans="1:2" x14ac:dyDescent="0.3">
      <c r="A238" t="s">
        <v>461</v>
      </c>
      <c r="B238" t="s">
        <v>4</v>
      </c>
    </row>
    <row r="239" spans="1:2" x14ac:dyDescent="0.3">
      <c r="A239" t="s">
        <v>462</v>
      </c>
      <c r="B239" t="s">
        <v>4</v>
      </c>
    </row>
    <row r="240" spans="1:2" x14ac:dyDescent="0.3">
      <c r="A240" t="s">
        <v>463</v>
      </c>
      <c r="B240" t="s">
        <v>4</v>
      </c>
    </row>
    <row r="241" spans="1:2" x14ac:dyDescent="0.3">
      <c r="A241" t="s">
        <v>464</v>
      </c>
      <c r="B241" t="s">
        <v>4</v>
      </c>
    </row>
    <row r="242" spans="1:2" x14ac:dyDescent="0.3">
      <c r="A242" t="s">
        <v>465</v>
      </c>
      <c r="B242" t="s">
        <v>4</v>
      </c>
    </row>
    <row r="243" spans="1:2" x14ac:dyDescent="0.3">
      <c r="A243" t="s">
        <v>466</v>
      </c>
      <c r="B243" t="s">
        <v>4</v>
      </c>
    </row>
    <row r="244" spans="1:2" x14ac:dyDescent="0.3">
      <c r="A244" t="s">
        <v>8</v>
      </c>
      <c r="B244" t="s">
        <v>4</v>
      </c>
    </row>
    <row r="245" spans="1:2" x14ac:dyDescent="0.3">
      <c r="A245" t="s">
        <v>467</v>
      </c>
      <c r="B245" t="s">
        <v>4</v>
      </c>
    </row>
    <row r="246" spans="1:2" x14ac:dyDescent="0.3">
      <c r="A246" t="s">
        <v>468</v>
      </c>
      <c r="B246" t="s">
        <v>5</v>
      </c>
    </row>
    <row r="247" spans="1:2" x14ac:dyDescent="0.3">
      <c r="A247" t="s">
        <v>469</v>
      </c>
      <c r="B247" t="s">
        <v>5</v>
      </c>
    </row>
    <row r="248" spans="1:2" x14ac:dyDescent="0.3">
      <c r="A248" t="s">
        <v>470</v>
      </c>
      <c r="B248" t="s">
        <v>5</v>
      </c>
    </row>
    <row r="249" spans="1:2" x14ac:dyDescent="0.3">
      <c r="A249" t="s">
        <v>471</v>
      </c>
      <c r="B249" t="s">
        <v>5</v>
      </c>
    </row>
    <row r="250" spans="1:2" x14ac:dyDescent="0.3">
      <c r="A250" t="s">
        <v>472</v>
      </c>
      <c r="B250" t="s">
        <v>224</v>
      </c>
    </row>
    <row r="251" spans="1:2" x14ac:dyDescent="0.3">
      <c r="A251" t="s">
        <v>473</v>
      </c>
      <c r="B251" t="s">
        <v>224</v>
      </c>
    </row>
    <row r="252" spans="1:2" x14ac:dyDescent="0.3">
      <c r="A252" t="s">
        <v>474</v>
      </c>
      <c r="B252" t="s">
        <v>5</v>
      </c>
    </row>
    <row r="253" spans="1:2" x14ac:dyDescent="0.3">
      <c r="A253" t="s">
        <v>475</v>
      </c>
      <c r="B253" t="s">
        <v>5</v>
      </c>
    </row>
    <row r="254" spans="1:2" x14ac:dyDescent="0.3">
      <c r="A254" t="s">
        <v>476</v>
      </c>
      <c r="B254" t="s">
        <v>224</v>
      </c>
    </row>
    <row r="255" spans="1:2" x14ac:dyDescent="0.3">
      <c r="A255" t="s">
        <v>477</v>
      </c>
      <c r="B255" t="s">
        <v>478</v>
      </c>
    </row>
    <row r="256" spans="1:2" x14ac:dyDescent="0.3">
      <c r="A256" t="s">
        <v>479</v>
      </c>
      <c r="B256" t="s">
        <v>5</v>
      </c>
    </row>
    <row r="257" spans="1:2" x14ac:dyDescent="0.3">
      <c r="A257" t="s">
        <v>480</v>
      </c>
      <c r="B257" t="s">
        <v>478</v>
      </c>
    </row>
    <row r="258" spans="1:2" x14ac:dyDescent="0.3">
      <c r="A258" t="s">
        <v>481</v>
      </c>
      <c r="B258" t="s">
        <v>5</v>
      </c>
    </row>
    <row r="259" spans="1:2" x14ac:dyDescent="0.3">
      <c r="A259" t="s">
        <v>482</v>
      </c>
      <c r="B259" t="s">
        <v>5</v>
      </c>
    </row>
    <row r="260" spans="1:2" x14ac:dyDescent="0.3">
      <c r="A260" t="s">
        <v>483</v>
      </c>
      <c r="B260" t="s">
        <v>5</v>
      </c>
    </row>
    <row r="261" spans="1:2" x14ac:dyDescent="0.3">
      <c r="A261" t="s">
        <v>484</v>
      </c>
      <c r="B261" t="s">
        <v>5</v>
      </c>
    </row>
    <row r="262" spans="1:2" x14ac:dyDescent="0.3">
      <c r="A262" t="s">
        <v>485</v>
      </c>
      <c r="B262" t="s">
        <v>224</v>
      </c>
    </row>
    <row r="263" spans="1:2" x14ac:dyDescent="0.3">
      <c r="A263" t="s">
        <v>486</v>
      </c>
      <c r="B263" t="s">
        <v>5</v>
      </c>
    </row>
    <row r="264" spans="1:2" x14ac:dyDescent="0.3">
      <c r="A264" t="s">
        <v>487</v>
      </c>
      <c r="B264" t="s">
        <v>5</v>
      </c>
    </row>
    <row r="265" spans="1:2" x14ac:dyDescent="0.3">
      <c r="A265" t="s">
        <v>488</v>
      </c>
      <c r="B265" t="s">
        <v>5</v>
      </c>
    </row>
    <row r="266" spans="1:2" x14ac:dyDescent="0.3">
      <c r="A266" t="s">
        <v>489</v>
      </c>
      <c r="B266" t="s">
        <v>224</v>
      </c>
    </row>
    <row r="267" spans="1:2" x14ac:dyDescent="0.3">
      <c r="A267" t="s">
        <v>490</v>
      </c>
      <c r="B267" t="s">
        <v>5</v>
      </c>
    </row>
    <row r="268" spans="1:2" x14ac:dyDescent="0.3">
      <c r="A268" t="s">
        <v>491</v>
      </c>
      <c r="B268" t="s">
        <v>224</v>
      </c>
    </row>
    <row r="269" spans="1:2" x14ac:dyDescent="0.3">
      <c r="A269" t="s">
        <v>492</v>
      </c>
      <c r="B269" t="s">
        <v>224</v>
      </c>
    </row>
    <row r="270" spans="1:2" x14ac:dyDescent="0.3">
      <c r="A270" t="s">
        <v>493</v>
      </c>
      <c r="B270" t="s">
        <v>224</v>
      </c>
    </row>
    <row r="271" spans="1:2" x14ac:dyDescent="0.3">
      <c r="A271" t="s">
        <v>494</v>
      </c>
      <c r="B271" t="s">
        <v>15</v>
      </c>
    </row>
    <row r="272" spans="1:2" x14ac:dyDescent="0.3">
      <c r="A272" t="s">
        <v>495</v>
      </c>
      <c r="B272" t="s">
        <v>15</v>
      </c>
    </row>
    <row r="273" spans="1:2" x14ac:dyDescent="0.3">
      <c r="A273" t="s">
        <v>494</v>
      </c>
      <c r="B273" t="s">
        <v>15</v>
      </c>
    </row>
    <row r="274" spans="1:2" x14ac:dyDescent="0.3">
      <c r="A274" t="s">
        <v>496</v>
      </c>
      <c r="B274" t="s">
        <v>224</v>
      </c>
    </row>
    <row r="275" spans="1:2" x14ac:dyDescent="0.3">
      <c r="A275" t="s">
        <v>497</v>
      </c>
      <c r="B275" t="s">
        <v>224</v>
      </c>
    </row>
    <row r="276" spans="1:2" x14ac:dyDescent="0.3">
      <c r="A276" t="s">
        <v>498</v>
      </c>
      <c r="B276" t="s">
        <v>224</v>
      </c>
    </row>
    <row r="277" spans="1:2" x14ac:dyDescent="0.3">
      <c r="A277" t="s">
        <v>499</v>
      </c>
      <c r="B277" t="s">
        <v>224</v>
      </c>
    </row>
    <row r="278" spans="1:2" x14ac:dyDescent="0.3">
      <c r="A278" t="s">
        <v>500</v>
      </c>
      <c r="B278" t="s">
        <v>15</v>
      </c>
    </row>
    <row r="279" spans="1:2" x14ac:dyDescent="0.3">
      <c r="A279" t="s">
        <v>501</v>
      </c>
      <c r="B279" t="s">
        <v>224</v>
      </c>
    </row>
    <row r="280" spans="1:2" x14ac:dyDescent="0.3">
      <c r="A280" t="s">
        <v>502</v>
      </c>
      <c r="B280" t="s">
        <v>224</v>
      </c>
    </row>
    <row r="281" spans="1:2" x14ac:dyDescent="0.3">
      <c r="A281" t="s">
        <v>503</v>
      </c>
      <c r="B281" t="s">
        <v>224</v>
      </c>
    </row>
    <row r="282" spans="1:2" x14ac:dyDescent="0.3">
      <c r="A282" t="s">
        <v>504</v>
      </c>
      <c r="B282" t="s">
        <v>224</v>
      </c>
    </row>
    <row r="283" spans="1:2" x14ac:dyDescent="0.3">
      <c r="A283" t="s">
        <v>505</v>
      </c>
      <c r="B283" t="s">
        <v>224</v>
      </c>
    </row>
    <row r="284" spans="1:2" x14ac:dyDescent="0.3">
      <c r="A284" t="s">
        <v>506</v>
      </c>
      <c r="B284" t="s">
        <v>224</v>
      </c>
    </row>
    <row r="285" spans="1:2" x14ac:dyDescent="0.3">
      <c r="A285" t="s">
        <v>507</v>
      </c>
      <c r="B285" t="s">
        <v>224</v>
      </c>
    </row>
    <row r="286" spans="1:2" x14ac:dyDescent="0.3">
      <c r="A286" t="s">
        <v>508</v>
      </c>
      <c r="B286" t="s">
        <v>224</v>
      </c>
    </row>
    <row r="287" spans="1:2" x14ac:dyDescent="0.3">
      <c r="A287" t="s">
        <v>509</v>
      </c>
      <c r="B287" t="s">
        <v>224</v>
      </c>
    </row>
    <row r="288" spans="1:2" x14ac:dyDescent="0.3">
      <c r="A288" t="s">
        <v>510</v>
      </c>
      <c r="B288" t="s">
        <v>4</v>
      </c>
    </row>
    <row r="289" spans="1:2" x14ac:dyDescent="0.3">
      <c r="A289" t="s">
        <v>511</v>
      </c>
      <c r="B289" t="s">
        <v>224</v>
      </c>
    </row>
    <row r="290" spans="1:2" x14ac:dyDescent="0.3">
      <c r="A290" t="s">
        <v>512</v>
      </c>
      <c r="B290" t="s">
        <v>224</v>
      </c>
    </row>
    <row r="291" spans="1:2" x14ac:dyDescent="0.3">
      <c r="A291" t="s">
        <v>513</v>
      </c>
      <c r="B291" t="s">
        <v>514</v>
      </c>
    </row>
    <row r="292" spans="1:2" x14ac:dyDescent="0.3">
      <c r="A292" t="s">
        <v>515</v>
      </c>
      <c r="B292" t="s">
        <v>224</v>
      </c>
    </row>
    <row r="293" spans="1:2" x14ac:dyDescent="0.3">
      <c r="A293" t="s">
        <v>516</v>
      </c>
      <c r="B293" t="s">
        <v>224</v>
      </c>
    </row>
    <row r="294" spans="1:2" x14ac:dyDescent="0.3">
      <c r="A294" t="s">
        <v>517</v>
      </c>
      <c r="B294" t="s">
        <v>224</v>
      </c>
    </row>
    <row r="295" spans="1:2" x14ac:dyDescent="0.3">
      <c r="A295" t="s">
        <v>518</v>
      </c>
      <c r="B295" t="s">
        <v>224</v>
      </c>
    </row>
    <row r="296" spans="1:2" x14ac:dyDescent="0.3">
      <c r="A296" t="s">
        <v>519</v>
      </c>
      <c r="B296" t="s">
        <v>224</v>
      </c>
    </row>
    <row r="297" spans="1:2" x14ac:dyDescent="0.3">
      <c r="A297" t="s">
        <v>520</v>
      </c>
      <c r="B297" t="s">
        <v>224</v>
      </c>
    </row>
    <row r="298" spans="1:2" x14ac:dyDescent="0.3">
      <c r="A298" t="s">
        <v>521</v>
      </c>
      <c r="B298" t="s">
        <v>224</v>
      </c>
    </row>
    <row r="299" spans="1:2" x14ac:dyDescent="0.3">
      <c r="A299" t="s">
        <v>522</v>
      </c>
      <c r="B299" t="s">
        <v>224</v>
      </c>
    </row>
    <row r="300" spans="1:2" x14ac:dyDescent="0.3">
      <c r="A300" t="s">
        <v>523</v>
      </c>
      <c r="B300" t="s">
        <v>224</v>
      </c>
    </row>
    <row r="301" spans="1:2" x14ac:dyDescent="0.3">
      <c r="A301" t="s">
        <v>524</v>
      </c>
      <c r="B301" t="s">
        <v>224</v>
      </c>
    </row>
    <row r="302" spans="1:2" x14ac:dyDescent="0.3">
      <c r="A302" t="s">
        <v>525</v>
      </c>
      <c r="B302" t="s">
        <v>224</v>
      </c>
    </row>
    <row r="303" spans="1:2" x14ac:dyDescent="0.3">
      <c r="A303" t="s">
        <v>526</v>
      </c>
      <c r="B303" t="s">
        <v>224</v>
      </c>
    </row>
    <row r="304" spans="1:2" x14ac:dyDescent="0.3">
      <c r="A304" t="s">
        <v>527</v>
      </c>
      <c r="B304" t="s">
        <v>224</v>
      </c>
    </row>
    <row r="305" spans="1:2" x14ac:dyDescent="0.3">
      <c r="A305" t="s">
        <v>528</v>
      </c>
      <c r="B305" t="s">
        <v>224</v>
      </c>
    </row>
    <row r="306" spans="1:2" x14ac:dyDescent="0.3">
      <c r="A306" t="s">
        <v>529</v>
      </c>
      <c r="B306" t="s">
        <v>224</v>
      </c>
    </row>
    <row r="307" spans="1:2" x14ac:dyDescent="0.3">
      <c r="A307" t="s">
        <v>530</v>
      </c>
      <c r="B307" t="s">
        <v>224</v>
      </c>
    </row>
    <row r="308" spans="1:2" x14ac:dyDescent="0.3">
      <c r="A308" t="s">
        <v>531</v>
      </c>
      <c r="B308" t="s">
        <v>224</v>
      </c>
    </row>
    <row r="309" spans="1:2" x14ac:dyDescent="0.3">
      <c r="A309" t="s">
        <v>532</v>
      </c>
      <c r="B309" t="s">
        <v>224</v>
      </c>
    </row>
    <row r="310" spans="1:2" x14ac:dyDescent="0.3">
      <c r="A310" t="s">
        <v>533</v>
      </c>
      <c r="B310" t="s">
        <v>224</v>
      </c>
    </row>
    <row r="311" spans="1:2" x14ac:dyDescent="0.3">
      <c r="A311" t="s">
        <v>534</v>
      </c>
      <c r="B311" t="s">
        <v>224</v>
      </c>
    </row>
    <row r="312" spans="1:2" x14ac:dyDescent="0.3">
      <c r="A312" t="s">
        <v>535</v>
      </c>
      <c r="B312" t="s">
        <v>224</v>
      </c>
    </row>
    <row r="313" spans="1:2" x14ac:dyDescent="0.3">
      <c r="A313" t="s">
        <v>536</v>
      </c>
      <c r="B313" t="s">
        <v>224</v>
      </c>
    </row>
    <row r="314" spans="1:2" x14ac:dyDescent="0.3">
      <c r="A314" t="s">
        <v>537</v>
      </c>
      <c r="B314" t="s">
        <v>224</v>
      </c>
    </row>
    <row r="315" spans="1:2" x14ac:dyDescent="0.3">
      <c r="A315" t="s">
        <v>538</v>
      </c>
      <c r="B315" t="s">
        <v>4</v>
      </c>
    </row>
    <row r="316" spans="1:2" x14ac:dyDescent="0.3">
      <c r="A316" t="s">
        <v>539</v>
      </c>
      <c r="B316" t="s">
        <v>4</v>
      </c>
    </row>
    <row r="317" spans="1:2" x14ac:dyDescent="0.3">
      <c r="A317" t="s">
        <v>540</v>
      </c>
      <c r="B317" t="s">
        <v>224</v>
      </c>
    </row>
    <row r="318" spans="1:2" x14ac:dyDescent="0.3">
      <c r="A318" t="s">
        <v>541</v>
      </c>
      <c r="B318" t="s">
        <v>382</v>
      </c>
    </row>
    <row r="319" spans="1:2" x14ac:dyDescent="0.3">
      <c r="A319" t="s">
        <v>542</v>
      </c>
      <c r="B319" t="s">
        <v>382</v>
      </c>
    </row>
    <row r="320" spans="1:2" x14ac:dyDescent="0.3">
      <c r="A320" t="s">
        <v>543</v>
      </c>
      <c r="B320" t="s">
        <v>5</v>
      </c>
    </row>
    <row r="321" spans="1:2" x14ac:dyDescent="0.3">
      <c r="A321" t="s">
        <v>544</v>
      </c>
      <c r="B321" t="s">
        <v>5</v>
      </c>
    </row>
    <row r="322" spans="1:2" x14ac:dyDescent="0.3">
      <c r="A322" t="s">
        <v>545</v>
      </c>
      <c r="B322" t="s">
        <v>5</v>
      </c>
    </row>
    <row r="323" spans="1:2" x14ac:dyDescent="0.3">
      <c r="A323" t="s">
        <v>546</v>
      </c>
      <c r="B323" t="s">
        <v>382</v>
      </c>
    </row>
    <row r="324" spans="1:2" x14ac:dyDescent="0.3">
      <c r="A324" t="s">
        <v>547</v>
      </c>
      <c r="B324" t="s">
        <v>5</v>
      </c>
    </row>
    <row r="325" spans="1:2" x14ac:dyDescent="0.3">
      <c r="A325" t="s">
        <v>548</v>
      </c>
      <c r="B325" t="s">
        <v>5</v>
      </c>
    </row>
    <row r="326" spans="1:2" x14ac:dyDescent="0.3">
      <c r="A326" t="s">
        <v>549</v>
      </c>
      <c r="B326" t="s">
        <v>5</v>
      </c>
    </row>
    <row r="327" spans="1:2" x14ac:dyDescent="0.3">
      <c r="A327" t="s">
        <v>550</v>
      </c>
      <c r="B327" t="s">
        <v>382</v>
      </c>
    </row>
    <row r="328" spans="1:2" x14ac:dyDescent="0.3">
      <c r="A328" t="s">
        <v>551</v>
      </c>
      <c r="B328" t="s">
        <v>5</v>
      </c>
    </row>
    <row r="329" spans="1:2" x14ac:dyDescent="0.3">
      <c r="A329" t="s">
        <v>552</v>
      </c>
      <c r="B329" t="s">
        <v>5</v>
      </c>
    </row>
    <row r="330" spans="1:2" x14ac:dyDescent="0.3">
      <c r="A330" t="s">
        <v>553</v>
      </c>
      <c r="B330" t="s">
        <v>5</v>
      </c>
    </row>
    <row r="331" spans="1:2" x14ac:dyDescent="0.3">
      <c r="A331" t="s">
        <v>554</v>
      </c>
      <c r="B331" t="s">
        <v>5</v>
      </c>
    </row>
    <row r="332" spans="1:2" x14ac:dyDescent="0.3">
      <c r="A332" t="s">
        <v>555</v>
      </c>
      <c r="B332" t="s">
        <v>5</v>
      </c>
    </row>
    <row r="333" spans="1:2" x14ac:dyDescent="0.3">
      <c r="A333" t="s">
        <v>556</v>
      </c>
      <c r="B333" t="s">
        <v>557</v>
      </c>
    </row>
    <row r="334" spans="1:2" x14ac:dyDescent="0.3">
      <c r="A334" t="s">
        <v>558</v>
      </c>
      <c r="B334" t="s">
        <v>5</v>
      </c>
    </row>
    <row r="335" spans="1:2" x14ac:dyDescent="0.3">
      <c r="A335" t="s">
        <v>559</v>
      </c>
      <c r="B335" t="s">
        <v>382</v>
      </c>
    </row>
    <row r="336" spans="1:2" x14ac:dyDescent="0.3">
      <c r="A336" t="s">
        <v>560</v>
      </c>
      <c r="B336" t="s">
        <v>5</v>
      </c>
    </row>
    <row r="337" spans="1:2" x14ac:dyDescent="0.3">
      <c r="A337" t="s">
        <v>561</v>
      </c>
      <c r="B337" t="s">
        <v>5</v>
      </c>
    </row>
    <row r="338" spans="1:2" x14ac:dyDescent="0.3">
      <c r="A338" t="s">
        <v>562</v>
      </c>
      <c r="B338" t="s">
        <v>5</v>
      </c>
    </row>
    <row r="339" spans="1:2" x14ac:dyDescent="0.3">
      <c r="A339" t="s">
        <v>563</v>
      </c>
      <c r="B339" t="s">
        <v>5</v>
      </c>
    </row>
    <row r="340" spans="1:2" x14ac:dyDescent="0.3">
      <c r="A340" t="s">
        <v>564</v>
      </c>
      <c r="B340" t="s">
        <v>5</v>
      </c>
    </row>
    <row r="341" spans="1:2" x14ac:dyDescent="0.3">
      <c r="A341" t="s">
        <v>565</v>
      </c>
      <c r="B341" t="s">
        <v>382</v>
      </c>
    </row>
    <row r="342" spans="1:2" x14ac:dyDescent="0.3">
      <c r="A342" t="s">
        <v>566</v>
      </c>
      <c r="B342" t="s">
        <v>5</v>
      </c>
    </row>
    <row r="343" spans="1:2" x14ac:dyDescent="0.3">
      <c r="A343" t="s">
        <v>567</v>
      </c>
      <c r="B343" t="s">
        <v>5</v>
      </c>
    </row>
    <row r="344" spans="1:2" x14ac:dyDescent="0.3">
      <c r="A344" t="s">
        <v>568</v>
      </c>
      <c r="B344" t="s">
        <v>569</v>
      </c>
    </row>
    <row r="345" spans="1:2" x14ac:dyDescent="0.3">
      <c r="A345" t="s">
        <v>570</v>
      </c>
      <c r="B345" t="s">
        <v>5</v>
      </c>
    </row>
    <row r="346" spans="1:2" x14ac:dyDescent="0.3">
      <c r="A346" t="s">
        <v>571</v>
      </c>
      <c r="B346" t="s">
        <v>382</v>
      </c>
    </row>
    <row r="347" spans="1:2" x14ac:dyDescent="0.3">
      <c r="A347" t="s">
        <v>572</v>
      </c>
      <c r="B347" t="s">
        <v>5</v>
      </c>
    </row>
    <row r="348" spans="1:2" x14ac:dyDescent="0.3">
      <c r="A348" t="s">
        <v>573</v>
      </c>
      <c r="B348" t="s">
        <v>5</v>
      </c>
    </row>
    <row r="349" spans="1:2" x14ac:dyDescent="0.3">
      <c r="A349" t="s">
        <v>574</v>
      </c>
      <c r="B349" t="s">
        <v>382</v>
      </c>
    </row>
    <row r="350" spans="1:2" x14ac:dyDescent="0.3">
      <c r="A350" t="s">
        <v>575</v>
      </c>
      <c r="B350" t="s">
        <v>5</v>
      </c>
    </row>
    <row r="351" spans="1:2" x14ac:dyDescent="0.3">
      <c r="A351" t="s">
        <v>576</v>
      </c>
      <c r="B351" t="s">
        <v>5</v>
      </c>
    </row>
    <row r="352" spans="1:2" x14ac:dyDescent="0.3">
      <c r="A352" t="s">
        <v>577</v>
      </c>
      <c r="B352" t="s">
        <v>5</v>
      </c>
    </row>
    <row r="353" spans="1:2" x14ac:dyDescent="0.3">
      <c r="A353" t="s">
        <v>578</v>
      </c>
      <c r="B353" t="s">
        <v>5</v>
      </c>
    </row>
    <row r="354" spans="1:2" x14ac:dyDescent="0.3">
      <c r="A354" t="s">
        <v>579</v>
      </c>
      <c r="B354" t="s">
        <v>382</v>
      </c>
    </row>
    <row r="355" spans="1:2" x14ac:dyDescent="0.3">
      <c r="A355" t="s">
        <v>580</v>
      </c>
      <c r="B355" t="s">
        <v>5</v>
      </c>
    </row>
    <row r="356" spans="1:2" x14ac:dyDescent="0.3">
      <c r="A356" t="s">
        <v>581</v>
      </c>
      <c r="B356" t="s">
        <v>5</v>
      </c>
    </row>
    <row r="357" spans="1:2" x14ac:dyDescent="0.3">
      <c r="A357" t="s">
        <v>582</v>
      </c>
      <c r="B357" t="s">
        <v>5</v>
      </c>
    </row>
    <row r="358" spans="1:2" x14ac:dyDescent="0.3">
      <c r="A358" t="s">
        <v>583</v>
      </c>
      <c r="B358" t="s">
        <v>5</v>
      </c>
    </row>
    <row r="359" spans="1:2" x14ac:dyDescent="0.3">
      <c r="A359" t="s">
        <v>584</v>
      </c>
      <c r="B359" t="s">
        <v>5</v>
      </c>
    </row>
    <row r="360" spans="1:2" x14ac:dyDescent="0.3">
      <c r="A360" t="s">
        <v>585</v>
      </c>
      <c r="B360" t="s">
        <v>5</v>
      </c>
    </row>
    <row r="361" spans="1:2" x14ac:dyDescent="0.3">
      <c r="A361" t="s">
        <v>586</v>
      </c>
      <c r="B361" t="s">
        <v>5</v>
      </c>
    </row>
    <row r="362" spans="1:2" x14ac:dyDescent="0.3">
      <c r="A362" t="s">
        <v>587</v>
      </c>
      <c r="B362" t="s">
        <v>5</v>
      </c>
    </row>
    <row r="363" spans="1:2" x14ac:dyDescent="0.3">
      <c r="A363" t="s">
        <v>588</v>
      </c>
      <c r="B363" t="s">
        <v>5</v>
      </c>
    </row>
    <row r="364" spans="1:2" x14ac:dyDescent="0.3">
      <c r="A364" t="s">
        <v>589</v>
      </c>
      <c r="B364" t="s">
        <v>5</v>
      </c>
    </row>
    <row r="365" spans="1:2" x14ac:dyDescent="0.3">
      <c r="A365" t="s">
        <v>590</v>
      </c>
      <c r="B365" t="s">
        <v>5</v>
      </c>
    </row>
    <row r="366" spans="1:2" x14ac:dyDescent="0.3">
      <c r="A366" t="s">
        <v>591</v>
      </c>
      <c r="B366" t="s">
        <v>5</v>
      </c>
    </row>
    <row r="367" spans="1:2" x14ac:dyDescent="0.3">
      <c r="A367" t="s">
        <v>592</v>
      </c>
      <c r="B367" t="s">
        <v>5</v>
      </c>
    </row>
    <row r="368" spans="1:2" x14ac:dyDescent="0.3">
      <c r="A368" t="s">
        <v>593</v>
      </c>
      <c r="B368" t="s">
        <v>5</v>
      </c>
    </row>
    <row r="369" spans="1:2" x14ac:dyDescent="0.3">
      <c r="A369" t="s">
        <v>594</v>
      </c>
      <c r="B369" t="s">
        <v>5</v>
      </c>
    </row>
    <row r="370" spans="1:2" x14ac:dyDescent="0.3">
      <c r="A370" t="s">
        <v>595</v>
      </c>
      <c r="B370" t="s">
        <v>382</v>
      </c>
    </row>
    <row r="371" spans="1:2" x14ac:dyDescent="0.3">
      <c r="A371" t="s">
        <v>596</v>
      </c>
      <c r="B371" t="s">
        <v>382</v>
      </c>
    </row>
    <row r="372" spans="1:2" x14ac:dyDescent="0.3">
      <c r="A372" t="s">
        <v>597</v>
      </c>
      <c r="B372" t="s">
        <v>382</v>
      </c>
    </row>
    <row r="373" spans="1:2" x14ac:dyDescent="0.3">
      <c r="A373" t="s">
        <v>301</v>
      </c>
      <c r="B373" t="s">
        <v>382</v>
      </c>
    </row>
    <row r="374" spans="1:2" x14ac:dyDescent="0.3">
      <c r="A374" t="s">
        <v>598</v>
      </c>
      <c r="B374" t="s">
        <v>382</v>
      </c>
    </row>
    <row r="375" spans="1:2" x14ac:dyDescent="0.3">
      <c r="A375" t="s">
        <v>599</v>
      </c>
      <c r="B375" t="s">
        <v>303</v>
      </c>
    </row>
    <row r="376" spans="1:2" x14ac:dyDescent="0.3">
      <c r="A376" t="s">
        <v>600</v>
      </c>
      <c r="B376" t="s">
        <v>382</v>
      </c>
    </row>
    <row r="377" spans="1:2" x14ac:dyDescent="0.3">
      <c r="A377" t="s">
        <v>601</v>
      </c>
      <c r="B377" t="s">
        <v>224</v>
      </c>
    </row>
    <row r="378" spans="1:2" x14ac:dyDescent="0.3">
      <c r="A378" t="s">
        <v>602</v>
      </c>
      <c r="B378" t="s">
        <v>382</v>
      </c>
    </row>
    <row r="379" spans="1:2" x14ac:dyDescent="0.3">
      <c r="A379" t="s">
        <v>603</v>
      </c>
      <c r="B379" t="s">
        <v>224</v>
      </c>
    </row>
    <row r="380" spans="1:2" x14ac:dyDescent="0.3">
      <c r="A380" t="s">
        <v>604</v>
      </c>
      <c r="B380" t="s">
        <v>5</v>
      </c>
    </row>
    <row r="381" spans="1:2" x14ac:dyDescent="0.3">
      <c r="A381" t="s">
        <v>605</v>
      </c>
      <c r="B381" t="s">
        <v>382</v>
      </c>
    </row>
    <row r="382" spans="1:2" x14ac:dyDescent="0.3">
      <c r="A382" t="s">
        <v>606</v>
      </c>
      <c r="B382" t="s">
        <v>382</v>
      </c>
    </row>
    <row r="383" spans="1:2" x14ac:dyDescent="0.3">
      <c r="A383" t="s">
        <v>607</v>
      </c>
      <c r="B383" t="s">
        <v>382</v>
      </c>
    </row>
    <row r="384" spans="1:2" x14ac:dyDescent="0.3">
      <c r="A384" t="s">
        <v>608</v>
      </c>
      <c r="B384" t="s">
        <v>224</v>
      </c>
    </row>
    <row r="385" spans="1:2" x14ac:dyDescent="0.3">
      <c r="A385" t="s">
        <v>609</v>
      </c>
      <c r="B385" t="s">
        <v>382</v>
      </c>
    </row>
    <row r="386" spans="1:2" x14ac:dyDescent="0.3">
      <c r="A386" t="s">
        <v>214</v>
      </c>
      <c r="B386" t="s">
        <v>224</v>
      </c>
    </row>
    <row r="387" spans="1:2" x14ac:dyDescent="0.3">
      <c r="A387" t="s">
        <v>610</v>
      </c>
      <c r="B387" t="s">
        <v>224</v>
      </c>
    </row>
    <row r="388" spans="1:2" x14ac:dyDescent="0.3">
      <c r="A388" t="s">
        <v>611</v>
      </c>
      <c r="B388" t="s">
        <v>5</v>
      </c>
    </row>
    <row r="389" spans="1:2" x14ac:dyDescent="0.3">
      <c r="A389" t="s">
        <v>612</v>
      </c>
      <c r="B389" t="s">
        <v>382</v>
      </c>
    </row>
    <row r="390" spans="1:2" x14ac:dyDescent="0.3">
      <c r="A390" t="s">
        <v>613</v>
      </c>
      <c r="B390" t="s">
        <v>382</v>
      </c>
    </row>
    <row r="391" spans="1:2" x14ac:dyDescent="0.3">
      <c r="A391" t="s">
        <v>614</v>
      </c>
      <c r="B391" t="s">
        <v>382</v>
      </c>
    </row>
    <row r="392" spans="1:2" x14ac:dyDescent="0.3">
      <c r="A392" t="s">
        <v>615</v>
      </c>
      <c r="B392" t="s">
        <v>382</v>
      </c>
    </row>
    <row r="393" spans="1:2" x14ac:dyDescent="0.3">
      <c r="A393" t="s">
        <v>616</v>
      </c>
      <c r="B393" t="s">
        <v>5</v>
      </c>
    </row>
    <row r="394" spans="1:2" x14ac:dyDescent="0.3">
      <c r="A394" t="s">
        <v>617</v>
      </c>
      <c r="B394" t="s">
        <v>382</v>
      </c>
    </row>
    <row r="395" spans="1:2" x14ac:dyDescent="0.3">
      <c r="A395" t="s">
        <v>215</v>
      </c>
      <c r="B395" t="s">
        <v>224</v>
      </c>
    </row>
    <row r="396" spans="1:2" x14ac:dyDescent="0.3">
      <c r="A396" t="s">
        <v>618</v>
      </c>
      <c r="B396" t="s">
        <v>224</v>
      </c>
    </row>
    <row r="397" spans="1:2" x14ac:dyDescent="0.3">
      <c r="A397" t="s">
        <v>619</v>
      </c>
      <c r="B397" t="s">
        <v>224</v>
      </c>
    </row>
    <row r="398" spans="1:2" x14ac:dyDescent="0.3">
      <c r="A398" t="s">
        <v>620</v>
      </c>
      <c r="B398" t="s">
        <v>224</v>
      </c>
    </row>
    <row r="399" spans="1:2" x14ac:dyDescent="0.3">
      <c r="A399" t="s">
        <v>621</v>
      </c>
      <c r="B399" t="s">
        <v>622</v>
      </c>
    </row>
    <row r="400" spans="1:2" x14ac:dyDescent="0.3">
      <c r="A400" t="s">
        <v>623</v>
      </c>
      <c r="B400" t="s">
        <v>224</v>
      </c>
    </row>
    <row r="401" spans="1:2" x14ac:dyDescent="0.3">
      <c r="A401" t="s">
        <v>14</v>
      </c>
      <c r="B401" t="s">
        <v>382</v>
      </c>
    </row>
    <row r="402" spans="1:2" x14ac:dyDescent="0.3">
      <c r="A402" t="s">
        <v>624</v>
      </c>
      <c r="B402" t="s">
        <v>224</v>
      </c>
    </row>
    <row r="403" spans="1:2" x14ac:dyDescent="0.3">
      <c r="A403" t="s">
        <v>625</v>
      </c>
      <c r="B403" t="s">
        <v>382</v>
      </c>
    </row>
    <row r="404" spans="1:2" x14ac:dyDescent="0.3">
      <c r="A404" t="s">
        <v>626</v>
      </c>
      <c r="B404" t="s">
        <v>382</v>
      </c>
    </row>
    <row r="405" spans="1:2" x14ac:dyDescent="0.3">
      <c r="A405" t="s">
        <v>627</v>
      </c>
      <c r="B405" t="s">
        <v>5</v>
      </c>
    </row>
    <row r="406" spans="1:2" x14ac:dyDescent="0.3">
      <c r="A406" t="s">
        <v>628</v>
      </c>
      <c r="B406" t="s">
        <v>224</v>
      </c>
    </row>
    <row r="407" spans="1:2" x14ac:dyDescent="0.3">
      <c r="A407" t="s">
        <v>629</v>
      </c>
      <c r="B407" t="s">
        <v>224</v>
      </c>
    </row>
    <row r="408" spans="1:2" x14ac:dyDescent="0.3">
      <c r="A408" t="s">
        <v>630</v>
      </c>
      <c r="B408" t="s">
        <v>224</v>
      </c>
    </row>
    <row r="409" spans="1:2" x14ac:dyDescent="0.3">
      <c r="A409" t="s">
        <v>631</v>
      </c>
      <c r="B409" t="s">
        <v>224</v>
      </c>
    </row>
    <row r="410" spans="1:2" x14ac:dyDescent="0.3">
      <c r="A410" t="s">
        <v>632</v>
      </c>
      <c r="B410" t="s">
        <v>224</v>
      </c>
    </row>
    <row r="411" spans="1:2" x14ac:dyDescent="0.3">
      <c r="A411" t="s">
        <v>633</v>
      </c>
      <c r="B411" t="s">
        <v>224</v>
      </c>
    </row>
    <row r="412" spans="1:2" x14ac:dyDescent="0.3">
      <c r="A412" t="s">
        <v>634</v>
      </c>
      <c r="B412" t="s">
        <v>224</v>
      </c>
    </row>
    <row r="413" spans="1:2" x14ac:dyDescent="0.3">
      <c r="A413" t="s">
        <v>635</v>
      </c>
      <c r="B413" t="s">
        <v>224</v>
      </c>
    </row>
    <row r="414" spans="1:2" x14ac:dyDescent="0.3">
      <c r="A414" t="s">
        <v>636</v>
      </c>
      <c r="B414" t="s">
        <v>224</v>
      </c>
    </row>
    <row r="415" spans="1:2" x14ac:dyDescent="0.3">
      <c r="A415" t="s">
        <v>637</v>
      </c>
      <c r="B415" t="s">
        <v>224</v>
      </c>
    </row>
    <row r="416" spans="1:2" x14ac:dyDescent="0.3">
      <c r="A416" t="s">
        <v>638</v>
      </c>
      <c r="B416" t="s">
        <v>224</v>
      </c>
    </row>
    <row r="417" spans="1:2" x14ac:dyDescent="0.3">
      <c r="A417" t="s">
        <v>639</v>
      </c>
      <c r="B417" t="s">
        <v>224</v>
      </c>
    </row>
    <row r="418" spans="1:2" x14ac:dyDescent="0.3">
      <c r="A418" t="s">
        <v>640</v>
      </c>
      <c r="B418" t="s">
        <v>224</v>
      </c>
    </row>
    <row r="419" spans="1:2" x14ac:dyDescent="0.3">
      <c r="A419" t="s">
        <v>641</v>
      </c>
      <c r="B419" t="s">
        <v>224</v>
      </c>
    </row>
    <row r="420" spans="1:2" x14ac:dyDescent="0.3">
      <c r="A420" t="s">
        <v>642</v>
      </c>
      <c r="B420" t="s">
        <v>224</v>
      </c>
    </row>
    <row r="421" spans="1:2" x14ac:dyDescent="0.3">
      <c r="A421" t="s">
        <v>643</v>
      </c>
      <c r="B421" t="s">
        <v>224</v>
      </c>
    </row>
    <row r="422" spans="1:2" x14ac:dyDescent="0.3">
      <c r="A422" t="s">
        <v>644</v>
      </c>
      <c r="B422" t="s">
        <v>224</v>
      </c>
    </row>
    <row r="423" spans="1:2" x14ac:dyDescent="0.3">
      <c r="A423" t="s">
        <v>645</v>
      </c>
      <c r="B423" t="s">
        <v>224</v>
      </c>
    </row>
    <row r="424" spans="1:2" x14ac:dyDescent="0.3">
      <c r="A424" t="s">
        <v>646</v>
      </c>
      <c r="B424" t="s">
        <v>224</v>
      </c>
    </row>
    <row r="425" spans="1:2" x14ac:dyDescent="0.3">
      <c r="A425" t="s">
        <v>647</v>
      </c>
      <c r="B425" t="s">
        <v>224</v>
      </c>
    </row>
    <row r="426" spans="1:2" x14ac:dyDescent="0.3">
      <c r="A426" t="s">
        <v>648</v>
      </c>
      <c r="B426" t="s">
        <v>4</v>
      </c>
    </row>
    <row r="427" spans="1:2" x14ac:dyDescent="0.3">
      <c r="A427" t="s">
        <v>649</v>
      </c>
      <c r="B427" t="s">
        <v>224</v>
      </c>
    </row>
    <row r="428" spans="1:2" x14ac:dyDescent="0.3">
      <c r="A428" t="s">
        <v>650</v>
      </c>
      <c r="B428" t="s">
        <v>224</v>
      </c>
    </row>
    <row r="429" spans="1:2" x14ac:dyDescent="0.3">
      <c r="A429" t="s">
        <v>651</v>
      </c>
      <c r="B429" t="s">
        <v>224</v>
      </c>
    </row>
    <row r="430" spans="1:2" x14ac:dyDescent="0.3">
      <c r="A430" t="s">
        <v>652</v>
      </c>
      <c r="B430" t="s">
        <v>224</v>
      </c>
    </row>
    <row r="431" spans="1:2" x14ac:dyDescent="0.3">
      <c r="A431" t="s">
        <v>653</v>
      </c>
      <c r="B431" t="s">
        <v>224</v>
      </c>
    </row>
    <row r="432" spans="1:2" x14ac:dyDescent="0.3">
      <c r="A432" t="s">
        <v>654</v>
      </c>
      <c r="B432" t="s">
        <v>224</v>
      </c>
    </row>
    <row r="433" spans="1:2" x14ac:dyDescent="0.3">
      <c r="A433" t="s">
        <v>655</v>
      </c>
      <c r="B433" t="s">
        <v>224</v>
      </c>
    </row>
    <row r="434" spans="1:2" x14ac:dyDescent="0.3">
      <c r="A434" t="s">
        <v>656</v>
      </c>
      <c r="B434" t="s">
        <v>224</v>
      </c>
    </row>
    <row r="435" spans="1:2" x14ac:dyDescent="0.3">
      <c r="A435" t="s">
        <v>657</v>
      </c>
      <c r="B435" t="s">
        <v>224</v>
      </c>
    </row>
    <row r="436" spans="1:2" x14ac:dyDescent="0.3">
      <c r="A436" t="s">
        <v>658</v>
      </c>
      <c r="B436" t="s">
        <v>224</v>
      </c>
    </row>
    <row r="437" spans="1:2" x14ac:dyDescent="0.3">
      <c r="A437" t="s">
        <v>659</v>
      </c>
      <c r="B437" t="s">
        <v>224</v>
      </c>
    </row>
    <row r="438" spans="1:2" x14ac:dyDescent="0.3">
      <c r="A438" t="s">
        <v>660</v>
      </c>
      <c r="B438" t="s">
        <v>224</v>
      </c>
    </row>
    <row r="439" spans="1:2" x14ac:dyDescent="0.3">
      <c r="A439" t="s">
        <v>661</v>
      </c>
      <c r="B439" t="s">
        <v>224</v>
      </c>
    </row>
    <row r="440" spans="1:2" x14ac:dyDescent="0.3">
      <c r="A440" t="s">
        <v>662</v>
      </c>
      <c r="B440" t="s">
        <v>224</v>
      </c>
    </row>
    <row r="441" spans="1:2" x14ac:dyDescent="0.3">
      <c r="A441" t="s">
        <v>663</v>
      </c>
      <c r="B441" t="s">
        <v>224</v>
      </c>
    </row>
    <row r="442" spans="1:2" x14ac:dyDescent="0.3">
      <c r="A442" t="s">
        <v>664</v>
      </c>
      <c r="B442" t="s">
        <v>224</v>
      </c>
    </row>
    <row r="443" spans="1:2" x14ac:dyDescent="0.3">
      <c r="A443" t="s">
        <v>665</v>
      </c>
      <c r="B443" t="s">
        <v>224</v>
      </c>
    </row>
    <row r="444" spans="1:2" x14ac:dyDescent="0.3">
      <c r="A444" t="s">
        <v>666</v>
      </c>
      <c r="B444" t="s">
        <v>4</v>
      </c>
    </row>
    <row r="445" spans="1:2" x14ac:dyDescent="0.3">
      <c r="A445" t="s">
        <v>667</v>
      </c>
      <c r="B445" t="s">
        <v>4</v>
      </c>
    </row>
    <row r="446" spans="1:2" x14ac:dyDescent="0.3">
      <c r="A446" t="s">
        <v>668</v>
      </c>
      <c r="B446" t="s">
        <v>669</v>
      </c>
    </row>
    <row r="447" spans="1:2" x14ac:dyDescent="0.3">
      <c r="A447" t="s">
        <v>670</v>
      </c>
      <c r="B447" t="s">
        <v>224</v>
      </c>
    </row>
    <row r="448" spans="1:2" x14ac:dyDescent="0.3">
      <c r="A448" t="s">
        <v>671</v>
      </c>
      <c r="B448" t="s">
        <v>224</v>
      </c>
    </row>
    <row r="449" spans="1:2" x14ac:dyDescent="0.3">
      <c r="A449" t="s">
        <v>672</v>
      </c>
      <c r="B449" t="s">
        <v>224</v>
      </c>
    </row>
    <row r="450" spans="1:2" x14ac:dyDescent="0.3">
      <c r="A450" t="s">
        <v>673</v>
      </c>
      <c r="B450" t="s">
        <v>224</v>
      </c>
    </row>
    <row r="451" spans="1:2" x14ac:dyDescent="0.3">
      <c r="A451" t="s">
        <v>674</v>
      </c>
      <c r="B451" t="s">
        <v>224</v>
      </c>
    </row>
    <row r="452" spans="1:2" x14ac:dyDescent="0.3">
      <c r="A452" t="s">
        <v>675</v>
      </c>
      <c r="B452" t="s">
        <v>224</v>
      </c>
    </row>
    <row r="453" spans="1:2" x14ac:dyDescent="0.3">
      <c r="A453" t="s">
        <v>676</v>
      </c>
      <c r="B453" t="s">
        <v>224</v>
      </c>
    </row>
    <row r="454" spans="1:2" x14ac:dyDescent="0.3">
      <c r="A454" t="s">
        <v>677</v>
      </c>
      <c r="B454" t="s">
        <v>224</v>
      </c>
    </row>
    <row r="455" spans="1:2" x14ac:dyDescent="0.3">
      <c r="A455" t="s">
        <v>678</v>
      </c>
      <c r="B455" t="s">
        <v>224</v>
      </c>
    </row>
    <row r="456" spans="1:2" x14ac:dyDescent="0.3">
      <c r="A456" t="s">
        <v>679</v>
      </c>
      <c r="B456" t="s">
        <v>5</v>
      </c>
    </row>
    <row r="457" spans="1:2" x14ac:dyDescent="0.3">
      <c r="A457" t="s">
        <v>680</v>
      </c>
      <c r="B457" t="s">
        <v>224</v>
      </c>
    </row>
    <row r="458" spans="1:2" x14ac:dyDescent="0.3">
      <c r="A458" t="s">
        <v>681</v>
      </c>
      <c r="B458" t="s">
        <v>224</v>
      </c>
    </row>
    <row r="459" spans="1:2" x14ac:dyDescent="0.3">
      <c r="A459" t="s">
        <v>682</v>
      </c>
      <c r="B459" t="s">
        <v>224</v>
      </c>
    </row>
    <row r="460" spans="1:2" x14ac:dyDescent="0.3">
      <c r="A460" t="s">
        <v>683</v>
      </c>
      <c r="B460" t="s">
        <v>224</v>
      </c>
    </row>
    <row r="461" spans="1:2" x14ac:dyDescent="0.3">
      <c r="A461" t="s">
        <v>684</v>
      </c>
      <c r="B461" t="s">
        <v>224</v>
      </c>
    </row>
    <row r="462" spans="1:2" x14ac:dyDescent="0.3">
      <c r="A462" t="s">
        <v>685</v>
      </c>
      <c r="B462" t="s">
        <v>224</v>
      </c>
    </row>
    <row r="463" spans="1:2" x14ac:dyDescent="0.3">
      <c r="A463" t="s">
        <v>686</v>
      </c>
      <c r="B463" t="s">
        <v>224</v>
      </c>
    </row>
    <row r="464" spans="1:2" x14ac:dyDescent="0.3">
      <c r="A464" t="s">
        <v>687</v>
      </c>
      <c r="B464" t="s">
        <v>224</v>
      </c>
    </row>
    <row r="465" spans="1:2" x14ac:dyDescent="0.3">
      <c r="A465" t="s">
        <v>688</v>
      </c>
      <c r="B465" t="s">
        <v>224</v>
      </c>
    </row>
    <row r="466" spans="1:2" x14ac:dyDescent="0.3">
      <c r="A466" t="s">
        <v>689</v>
      </c>
      <c r="B466" t="s">
        <v>5</v>
      </c>
    </row>
    <row r="467" spans="1:2" x14ac:dyDescent="0.3">
      <c r="A467" t="s">
        <v>690</v>
      </c>
      <c r="B467" t="s">
        <v>224</v>
      </c>
    </row>
    <row r="468" spans="1:2" x14ac:dyDescent="0.3">
      <c r="A468" t="s">
        <v>691</v>
      </c>
      <c r="B468" t="s">
        <v>224</v>
      </c>
    </row>
    <row r="469" spans="1:2" x14ac:dyDescent="0.3">
      <c r="A469" t="s">
        <v>692</v>
      </c>
      <c r="B469" t="s">
        <v>224</v>
      </c>
    </row>
    <row r="470" spans="1:2" x14ac:dyDescent="0.3">
      <c r="A470" t="s">
        <v>693</v>
      </c>
      <c r="B470" t="s">
        <v>224</v>
      </c>
    </row>
    <row r="471" spans="1:2" x14ac:dyDescent="0.3">
      <c r="A471" t="s">
        <v>694</v>
      </c>
      <c r="B471" t="s">
        <v>224</v>
      </c>
    </row>
    <row r="472" spans="1:2" x14ac:dyDescent="0.3">
      <c r="A472" t="s">
        <v>695</v>
      </c>
      <c r="B472" t="s">
        <v>224</v>
      </c>
    </row>
    <row r="473" spans="1:2" x14ac:dyDescent="0.3">
      <c r="A473" t="s">
        <v>696</v>
      </c>
      <c r="B473" t="s">
        <v>224</v>
      </c>
    </row>
    <row r="474" spans="1:2" x14ac:dyDescent="0.3">
      <c r="A474" t="s">
        <v>697</v>
      </c>
      <c r="B474" t="s">
        <v>224</v>
      </c>
    </row>
    <row r="475" spans="1:2" x14ac:dyDescent="0.3">
      <c r="A475" t="s">
        <v>698</v>
      </c>
      <c r="B475" t="s">
        <v>224</v>
      </c>
    </row>
    <row r="476" spans="1:2" x14ac:dyDescent="0.3">
      <c r="A476" t="s">
        <v>699</v>
      </c>
      <c r="B476" t="s">
        <v>224</v>
      </c>
    </row>
    <row r="477" spans="1:2" x14ac:dyDescent="0.3">
      <c r="A477" t="s">
        <v>700</v>
      </c>
      <c r="B477" t="s">
        <v>5</v>
      </c>
    </row>
    <row r="478" spans="1:2" x14ac:dyDescent="0.3">
      <c r="A478" t="s">
        <v>701</v>
      </c>
      <c r="B478" t="s">
        <v>224</v>
      </c>
    </row>
    <row r="479" spans="1:2" x14ac:dyDescent="0.3">
      <c r="A479" t="s">
        <v>702</v>
      </c>
      <c r="B479" t="s">
        <v>224</v>
      </c>
    </row>
    <row r="480" spans="1:2" x14ac:dyDescent="0.3">
      <c r="A480" t="s">
        <v>703</v>
      </c>
      <c r="B480" t="s">
        <v>224</v>
      </c>
    </row>
    <row r="481" spans="1:2" x14ac:dyDescent="0.3">
      <c r="A481" t="s">
        <v>704</v>
      </c>
      <c r="B481" t="s">
        <v>224</v>
      </c>
    </row>
    <row r="482" spans="1:2" x14ac:dyDescent="0.3">
      <c r="A482" t="s">
        <v>705</v>
      </c>
      <c r="B482" t="s">
        <v>224</v>
      </c>
    </row>
    <row r="483" spans="1:2" x14ac:dyDescent="0.3">
      <c r="A483" t="s">
        <v>706</v>
      </c>
      <c r="B483" t="s">
        <v>224</v>
      </c>
    </row>
    <row r="484" spans="1:2" x14ac:dyDescent="0.3">
      <c r="A484" t="s">
        <v>707</v>
      </c>
      <c r="B484" t="s">
        <v>224</v>
      </c>
    </row>
    <row r="485" spans="1:2" x14ac:dyDescent="0.3">
      <c r="A485" t="s">
        <v>708</v>
      </c>
      <c r="B485" t="s">
        <v>224</v>
      </c>
    </row>
    <row r="486" spans="1:2" x14ac:dyDescent="0.3">
      <c r="A486" t="s">
        <v>709</v>
      </c>
      <c r="B486" t="s">
        <v>224</v>
      </c>
    </row>
    <row r="487" spans="1:2" x14ac:dyDescent="0.3">
      <c r="A487" t="s">
        <v>710</v>
      </c>
      <c r="B487" t="s">
        <v>5</v>
      </c>
    </row>
    <row r="488" spans="1:2" x14ac:dyDescent="0.3">
      <c r="A488" t="s">
        <v>711</v>
      </c>
      <c r="B488" t="s">
        <v>5</v>
      </c>
    </row>
    <row r="489" spans="1:2" x14ac:dyDescent="0.3">
      <c r="A489" t="s">
        <v>712</v>
      </c>
      <c r="B489" t="s">
        <v>5</v>
      </c>
    </row>
    <row r="490" spans="1:2" x14ac:dyDescent="0.3">
      <c r="A490" t="s">
        <v>713</v>
      </c>
      <c r="B490" t="s">
        <v>5</v>
      </c>
    </row>
    <row r="491" spans="1:2" x14ac:dyDescent="0.3">
      <c r="A491" t="s">
        <v>714</v>
      </c>
      <c r="B491" t="s">
        <v>5</v>
      </c>
    </row>
    <row r="492" spans="1:2" x14ac:dyDescent="0.3">
      <c r="A492" t="s">
        <v>715</v>
      </c>
      <c r="B492" t="s">
        <v>5</v>
      </c>
    </row>
    <row r="493" spans="1:2" x14ac:dyDescent="0.3">
      <c r="A493" t="s">
        <v>716</v>
      </c>
      <c r="B493" t="s">
        <v>5</v>
      </c>
    </row>
    <row r="494" spans="1:2" x14ac:dyDescent="0.3">
      <c r="A494" t="s">
        <v>717</v>
      </c>
      <c r="B494" t="s">
        <v>5</v>
      </c>
    </row>
    <row r="495" spans="1:2" x14ac:dyDescent="0.3">
      <c r="A495" t="s">
        <v>718</v>
      </c>
      <c r="B495" t="s">
        <v>5</v>
      </c>
    </row>
    <row r="496" spans="1:2" x14ac:dyDescent="0.3">
      <c r="A496" t="s">
        <v>719</v>
      </c>
      <c r="B496" t="s">
        <v>5</v>
      </c>
    </row>
    <row r="497" spans="1:2" x14ac:dyDescent="0.3">
      <c r="A497" t="s">
        <v>720</v>
      </c>
      <c r="B497" t="s">
        <v>5</v>
      </c>
    </row>
    <row r="498" spans="1:2" x14ac:dyDescent="0.3">
      <c r="A498" t="s">
        <v>721</v>
      </c>
      <c r="B498" t="s">
        <v>5</v>
      </c>
    </row>
    <row r="499" spans="1:2" x14ac:dyDescent="0.3">
      <c r="A499" t="s">
        <v>722</v>
      </c>
      <c r="B499" t="s">
        <v>5</v>
      </c>
    </row>
    <row r="500" spans="1:2" x14ac:dyDescent="0.3">
      <c r="A500" t="s">
        <v>723</v>
      </c>
      <c r="B500" t="s">
        <v>5</v>
      </c>
    </row>
    <row r="501" spans="1:2" x14ac:dyDescent="0.3">
      <c r="A501" t="s">
        <v>724</v>
      </c>
      <c r="B501" t="s">
        <v>5</v>
      </c>
    </row>
    <row r="502" spans="1:2" x14ac:dyDescent="0.3">
      <c r="A502" t="s">
        <v>725</v>
      </c>
      <c r="B502" t="s">
        <v>5</v>
      </c>
    </row>
    <row r="503" spans="1:2" x14ac:dyDescent="0.3">
      <c r="A503" t="s">
        <v>726</v>
      </c>
      <c r="B503" t="s">
        <v>5</v>
      </c>
    </row>
    <row r="504" spans="1:2" x14ac:dyDescent="0.3">
      <c r="A504" t="s">
        <v>727</v>
      </c>
      <c r="B504" t="s">
        <v>5</v>
      </c>
    </row>
    <row r="505" spans="1:2" x14ac:dyDescent="0.3">
      <c r="A505" t="s">
        <v>728</v>
      </c>
      <c r="B505" t="s">
        <v>5</v>
      </c>
    </row>
    <row r="506" spans="1:2" x14ac:dyDescent="0.3">
      <c r="A506" t="s">
        <v>729</v>
      </c>
      <c r="B506" t="s">
        <v>5</v>
      </c>
    </row>
    <row r="507" spans="1:2" x14ac:dyDescent="0.3">
      <c r="A507" t="s">
        <v>730</v>
      </c>
      <c r="B507" t="s">
        <v>5</v>
      </c>
    </row>
    <row r="508" spans="1:2" x14ac:dyDescent="0.3">
      <c r="A508" t="s">
        <v>731</v>
      </c>
      <c r="B508" t="s">
        <v>5</v>
      </c>
    </row>
    <row r="509" spans="1:2" x14ac:dyDescent="0.3">
      <c r="A509" t="s">
        <v>732</v>
      </c>
      <c r="B509" t="s">
        <v>5</v>
      </c>
    </row>
    <row r="510" spans="1:2" x14ac:dyDescent="0.3">
      <c r="A510" t="s">
        <v>733</v>
      </c>
      <c r="B510" t="s">
        <v>5</v>
      </c>
    </row>
    <row r="511" spans="1:2" x14ac:dyDescent="0.3">
      <c r="A511" t="s">
        <v>734</v>
      </c>
      <c r="B511" t="s">
        <v>382</v>
      </c>
    </row>
    <row r="512" spans="1:2" x14ac:dyDescent="0.3">
      <c r="A512" t="s">
        <v>735</v>
      </c>
      <c r="B512" t="s">
        <v>382</v>
      </c>
    </row>
    <row r="513" spans="1:2" x14ac:dyDescent="0.3">
      <c r="A513" t="s">
        <v>736</v>
      </c>
      <c r="B513" t="s">
        <v>382</v>
      </c>
    </row>
    <row r="514" spans="1:2" x14ac:dyDescent="0.3">
      <c r="A514" t="s">
        <v>737</v>
      </c>
      <c r="B514" t="s">
        <v>5</v>
      </c>
    </row>
    <row r="515" spans="1:2" x14ac:dyDescent="0.3">
      <c r="A515" t="s">
        <v>738</v>
      </c>
      <c r="B515" t="s">
        <v>382</v>
      </c>
    </row>
    <row r="516" spans="1:2" x14ac:dyDescent="0.3">
      <c r="A516" t="s">
        <v>739</v>
      </c>
      <c r="B516" t="s">
        <v>382</v>
      </c>
    </row>
    <row r="517" spans="1:2" x14ac:dyDescent="0.3">
      <c r="A517" t="s">
        <v>740</v>
      </c>
      <c r="B517" t="s">
        <v>741</v>
      </c>
    </row>
    <row r="518" spans="1:2" x14ac:dyDescent="0.3">
      <c r="A518" t="s">
        <v>742</v>
      </c>
      <c r="B518" t="s">
        <v>382</v>
      </c>
    </row>
    <row r="519" spans="1:2" x14ac:dyDescent="0.3">
      <c r="A519" t="s">
        <v>743</v>
      </c>
      <c r="B519" t="s">
        <v>5</v>
      </c>
    </row>
    <row r="520" spans="1:2" x14ac:dyDescent="0.3">
      <c r="A520" t="s">
        <v>744</v>
      </c>
      <c r="B520" t="s">
        <v>5</v>
      </c>
    </row>
    <row r="521" spans="1:2" x14ac:dyDescent="0.3">
      <c r="A521" t="s">
        <v>745</v>
      </c>
      <c r="B521" t="s">
        <v>5</v>
      </c>
    </row>
    <row r="522" spans="1:2" x14ac:dyDescent="0.3">
      <c r="A522" t="s">
        <v>746</v>
      </c>
      <c r="B522" t="s">
        <v>382</v>
      </c>
    </row>
    <row r="523" spans="1:2" x14ac:dyDescent="0.3">
      <c r="A523" t="s">
        <v>747</v>
      </c>
      <c r="B523" t="s">
        <v>5</v>
      </c>
    </row>
    <row r="524" spans="1:2" x14ac:dyDescent="0.3">
      <c r="A524" t="s">
        <v>748</v>
      </c>
      <c r="B524" t="s">
        <v>5</v>
      </c>
    </row>
    <row r="525" spans="1:2" x14ac:dyDescent="0.3">
      <c r="A525" t="s">
        <v>10</v>
      </c>
      <c r="B525" t="s">
        <v>382</v>
      </c>
    </row>
    <row r="526" spans="1:2" x14ac:dyDescent="0.3">
      <c r="A526" t="s">
        <v>749</v>
      </c>
      <c r="B526" t="s">
        <v>382</v>
      </c>
    </row>
    <row r="527" spans="1:2" x14ac:dyDescent="0.3">
      <c r="A527" t="s">
        <v>750</v>
      </c>
      <c r="B527" t="s">
        <v>382</v>
      </c>
    </row>
    <row r="528" spans="1:2" x14ac:dyDescent="0.3">
      <c r="A528" t="s">
        <v>751</v>
      </c>
      <c r="B528" t="s">
        <v>5</v>
      </c>
    </row>
    <row r="529" spans="1:2" x14ac:dyDescent="0.3">
      <c r="A529" t="s">
        <v>752</v>
      </c>
      <c r="B529" t="s">
        <v>382</v>
      </c>
    </row>
    <row r="530" spans="1:2" x14ac:dyDescent="0.3">
      <c r="A530" t="s">
        <v>753</v>
      </c>
      <c r="B530" t="s">
        <v>5</v>
      </c>
    </row>
    <row r="531" spans="1:2" x14ac:dyDescent="0.3">
      <c r="A531" t="s">
        <v>754</v>
      </c>
      <c r="B531" t="s">
        <v>382</v>
      </c>
    </row>
    <row r="532" spans="1:2" x14ac:dyDescent="0.3">
      <c r="A532" t="s">
        <v>755</v>
      </c>
      <c r="B532" t="s">
        <v>741</v>
      </c>
    </row>
    <row r="533" spans="1:2" x14ac:dyDescent="0.3">
      <c r="A533" t="s">
        <v>756</v>
      </c>
      <c r="B533" t="s">
        <v>382</v>
      </c>
    </row>
    <row r="534" spans="1:2" x14ac:dyDescent="0.3">
      <c r="A534" t="s">
        <v>757</v>
      </c>
      <c r="B534" t="s">
        <v>382</v>
      </c>
    </row>
    <row r="535" spans="1:2" x14ac:dyDescent="0.3">
      <c r="A535" t="s">
        <v>758</v>
      </c>
      <c r="B535" t="s">
        <v>382</v>
      </c>
    </row>
    <row r="536" spans="1:2" x14ac:dyDescent="0.3">
      <c r="A536" t="s">
        <v>759</v>
      </c>
      <c r="B536" t="s">
        <v>5</v>
      </c>
    </row>
    <row r="537" spans="1:2" x14ac:dyDescent="0.3">
      <c r="A537" t="s">
        <v>760</v>
      </c>
      <c r="B537" t="s">
        <v>5</v>
      </c>
    </row>
    <row r="538" spans="1:2" x14ac:dyDescent="0.3">
      <c r="A538" t="s">
        <v>761</v>
      </c>
      <c r="B538" t="s">
        <v>4</v>
      </c>
    </row>
    <row r="539" spans="1:2" x14ac:dyDescent="0.3">
      <c r="A539" t="s">
        <v>762</v>
      </c>
      <c r="B539" t="s">
        <v>5</v>
      </c>
    </row>
    <row r="540" spans="1:2" x14ac:dyDescent="0.3">
      <c r="A540" t="s">
        <v>763</v>
      </c>
      <c r="B540" t="s">
        <v>5</v>
      </c>
    </row>
    <row r="541" spans="1:2" x14ac:dyDescent="0.3">
      <c r="A541" t="s">
        <v>764</v>
      </c>
      <c r="B541" t="s">
        <v>5</v>
      </c>
    </row>
    <row r="542" spans="1:2" x14ac:dyDescent="0.3">
      <c r="A542" t="s">
        <v>765</v>
      </c>
      <c r="B542" t="s">
        <v>4</v>
      </c>
    </row>
    <row r="543" spans="1:2" x14ac:dyDescent="0.3">
      <c r="A543" t="s">
        <v>766</v>
      </c>
      <c r="B543" t="s">
        <v>4</v>
      </c>
    </row>
    <row r="544" spans="1:2" x14ac:dyDescent="0.3">
      <c r="A544" t="s">
        <v>767</v>
      </c>
      <c r="B544" t="s">
        <v>4</v>
      </c>
    </row>
    <row r="545" spans="1:2" x14ac:dyDescent="0.3">
      <c r="A545" t="s">
        <v>768</v>
      </c>
      <c r="B545" t="s">
        <v>4</v>
      </c>
    </row>
    <row r="546" spans="1:2" x14ac:dyDescent="0.3">
      <c r="A546" t="s">
        <v>769</v>
      </c>
      <c r="B546" t="s">
        <v>224</v>
      </c>
    </row>
    <row r="547" spans="1:2" x14ac:dyDescent="0.3">
      <c r="A547" t="s">
        <v>770</v>
      </c>
      <c r="B547" t="s">
        <v>224</v>
      </c>
    </row>
    <row r="548" spans="1:2" x14ac:dyDescent="0.3">
      <c r="A548" t="s">
        <v>18</v>
      </c>
      <c r="B548" t="s">
        <v>224</v>
      </c>
    </row>
    <row r="549" spans="1:2" x14ac:dyDescent="0.3">
      <c r="A549" t="s">
        <v>771</v>
      </c>
      <c r="B549" t="s">
        <v>224</v>
      </c>
    </row>
    <row r="550" spans="1:2" x14ac:dyDescent="0.3">
      <c r="A550" t="s">
        <v>772</v>
      </c>
      <c r="B550" t="s">
        <v>224</v>
      </c>
    </row>
    <row r="551" spans="1:2" x14ac:dyDescent="0.3">
      <c r="A551" t="s">
        <v>773</v>
      </c>
      <c r="B551" t="s">
        <v>224</v>
      </c>
    </row>
    <row r="552" spans="1:2" x14ac:dyDescent="0.3">
      <c r="A552" t="s">
        <v>774</v>
      </c>
      <c r="B552" t="s">
        <v>4</v>
      </c>
    </row>
    <row r="553" spans="1:2" x14ac:dyDescent="0.3">
      <c r="A553" t="s">
        <v>775</v>
      </c>
      <c r="B553" t="s">
        <v>224</v>
      </c>
    </row>
    <row r="554" spans="1:2" x14ac:dyDescent="0.3">
      <c r="A554" t="s">
        <v>776</v>
      </c>
      <c r="B554" t="s">
        <v>224</v>
      </c>
    </row>
    <row r="555" spans="1:2" x14ac:dyDescent="0.3">
      <c r="A555" t="s">
        <v>777</v>
      </c>
      <c r="B555" t="s">
        <v>224</v>
      </c>
    </row>
    <row r="556" spans="1:2" x14ac:dyDescent="0.3">
      <c r="A556" t="s">
        <v>778</v>
      </c>
      <c r="B556" t="s">
        <v>224</v>
      </c>
    </row>
    <row r="557" spans="1:2" x14ac:dyDescent="0.3">
      <c r="A557" t="s">
        <v>779</v>
      </c>
      <c r="B557" t="s">
        <v>224</v>
      </c>
    </row>
    <row r="558" spans="1:2" x14ac:dyDescent="0.3">
      <c r="A558" t="s">
        <v>780</v>
      </c>
      <c r="B558" t="s">
        <v>224</v>
      </c>
    </row>
    <row r="559" spans="1:2" x14ac:dyDescent="0.3">
      <c r="A559" t="s">
        <v>781</v>
      </c>
      <c r="B559" t="s">
        <v>224</v>
      </c>
    </row>
    <row r="560" spans="1:2" x14ac:dyDescent="0.3">
      <c r="A560" t="s">
        <v>782</v>
      </c>
      <c r="B560" t="s">
        <v>224</v>
      </c>
    </row>
    <row r="561" spans="1:2" x14ac:dyDescent="0.3">
      <c r="A561" t="s">
        <v>783</v>
      </c>
      <c r="B561" t="s">
        <v>224</v>
      </c>
    </row>
    <row r="562" spans="1:2" x14ac:dyDescent="0.3">
      <c r="A562" t="s">
        <v>784</v>
      </c>
      <c r="B562" t="s">
        <v>4</v>
      </c>
    </row>
    <row r="563" spans="1:2" x14ac:dyDescent="0.3">
      <c r="A563" t="s">
        <v>785</v>
      </c>
      <c r="B563" t="s">
        <v>224</v>
      </c>
    </row>
    <row r="564" spans="1:2" x14ac:dyDescent="0.3">
      <c r="A564" t="s">
        <v>786</v>
      </c>
      <c r="B564" t="s">
        <v>224</v>
      </c>
    </row>
    <row r="565" spans="1:2" x14ac:dyDescent="0.3">
      <c r="A565" t="s">
        <v>787</v>
      </c>
      <c r="B565" t="s">
        <v>224</v>
      </c>
    </row>
    <row r="566" spans="1:2" x14ac:dyDescent="0.3">
      <c r="A566" t="s">
        <v>788</v>
      </c>
      <c r="B566" t="s">
        <v>224</v>
      </c>
    </row>
    <row r="567" spans="1:2" x14ac:dyDescent="0.3">
      <c r="A567" t="s">
        <v>789</v>
      </c>
      <c r="B567" t="s">
        <v>224</v>
      </c>
    </row>
    <row r="568" spans="1:2" x14ac:dyDescent="0.3">
      <c r="A568" t="s">
        <v>790</v>
      </c>
      <c r="B568" t="s">
        <v>224</v>
      </c>
    </row>
    <row r="569" spans="1:2" x14ac:dyDescent="0.3">
      <c r="A569" t="s">
        <v>791</v>
      </c>
      <c r="B569" t="s">
        <v>224</v>
      </c>
    </row>
    <row r="570" spans="1:2" x14ac:dyDescent="0.3">
      <c r="A570" t="s">
        <v>792</v>
      </c>
      <c r="B570" t="s">
        <v>224</v>
      </c>
    </row>
    <row r="571" spans="1:2" x14ac:dyDescent="0.3">
      <c r="A571" t="s">
        <v>793</v>
      </c>
      <c r="B571" t="s">
        <v>224</v>
      </c>
    </row>
    <row r="572" spans="1:2" x14ac:dyDescent="0.3">
      <c r="A572" t="s">
        <v>794</v>
      </c>
      <c r="B572" t="s">
        <v>224</v>
      </c>
    </row>
    <row r="573" spans="1:2" x14ac:dyDescent="0.3">
      <c r="A573" t="s">
        <v>795</v>
      </c>
      <c r="B573" t="s">
        <v>224</v>
      </c>
    </row>
    <row r="574" spans="1:2" x14ac:dyDescent="0.3">
      <c r="A574" t="s">
        <v>796</v>
      </c>
      <c r="B574" t="s">
        <v>224</v>
      </c>
    </row>
    <row r="575" spans="1:2" x14ac:dyDescent="0.3">
      <c r="A575" t="s">
        <v>797</v>
      </c>
      <c r="B575" t="s">
        <v>224</v>
      </c>
    </row>
    <row r="576" spans="1:2" x14ac:dyDescent="0.3">
      <c r="A576" t="s">
        <v>798</v>
      </c>
      <c r="B576" t="s">
        <v>224</v>
      </c>
    </row>
    <row r="577" spans="1:2" x14ac:dyDescent="0.3">
      <c r="A577" t="s">
        <v>799</v>
      </c>
      <c r="B577" t="s">
        <v>224</v>
      </c>
    </row>
    <row r="578" spans="1:2" x14ac:dyDescent="0.3">
      <c r="A578" t="s">
        <v>800</v>
      </c>
      <c r="B578" t="s">
        <v>224</v>
      </c>
    </row>
    <row r="579" spans="1:2" x14ac:dyDescent="0.3">
      <c r="A579" t="s">
        <v>801</v>
      </c>
      <c r="B579" t="s">
        <v>224</v>
      </c>
    </row>
    <row r="580" spans="1:2" x14ac:dyDescent="0.3">
      <c r="A580" t="s">
        <v>802</v>
      </c>
      <c r="B580" t="s">
        <v>224</v>
      </c>
    </row>
    <row r="581" spans="1:2" x14ac:dyDescent="0.3">
      <c r="A581" t="s">
        <v>803</v>
      </c>
      <c r="B581" t="s">
        <v>224</v>
      </c>
    </row>
    <row r="582" spans="1:2" x14ac:dyDescent="0.3">
      <c r="A582" t="s">
        <v>804</v>
      </c>
      <c r="B582" t="s">
        <v>224</v>
      </c>
    </row>
    <row r="583" spans="1:2" x14ac:dyDescent="0.3">
      <c r="A583" t="s">
        <v>7</v>
      </c>
      <c r="B583" t="s">
        <v>5</v>
      </c>
    </row>
    <row r="584" spans="1:2" x14ac:dyDescent="0.3">
      <c r="A584" t="s">
        <v>805</v>
      </c>
      <c r="B584" t="s">
        <v>5</v>
      </c>
    </row>
    <row r="585" spans="1:2" x14ac:dyDescent="0.3">
      <c r="A585" t="s">
        <v>806</v>
      </c>
      <c r="B585" t="s">
        <v>5</v>
      </c>
    </row>
    <row r="586" spans="1:2" x14ac:dyDescent="0.3">
      <c r="A586" t="s">
        <v>807</v>
      </c>
      <c r="B586" t="s">
        <v>224</v>
      </c>
    </row>
    <row r="587" spans="1:2" x14ac:dyDescent="0.3">
      <c r="A587" t="s">
        <v>808</v>
      </c>
      <c r="B587" t="s">
        <v>5</v>
      </c>
    </row>
    <row r="588" spans="1:2" x14ac:dyDescent="0.3">
      <c r="A588" t="s">
        <v>809</v>
      </c>
      <c r="B588" t="s">
        <v>5</v>
      </c>
    </row>
    <row r="589" spans="1:2" x14ac:dyDescent="0.3">
      <c r="A589" t="s">
        <v>810</v>
      </c>
      <c r="B589" t="s">
        <v>5</v>
      </c>
    </row>
    <row r="590" spans="1:2" x14ac:dyDescent="0.3">
      <c r="A590" t="s">
        <v>811</v>
      </c>
      <c r="B590" t="s">
        <v>224</v>
      </c>
    </row>
    <row r="591" spans="1:2" x14ac:dyDescent="0.3">
      <c r="A591" t="s">
        <v>812</v>
      </c>
      <c r="B591" t="s">
        <v>224</v>
      </c>
    </row>
    <row r="592" spans="1:2" x14ac:dyDescent="0.3">
      <c r="A592" t="s">
        <v>813</v>
      </c>
      <c r="B592" t="s">
        <v>478</v>
      </c>
    </row>
    <row r="593" spans="1:2" x14ac:dyDescent="0.3">
      <c r="A593" t="s">
        <v>814</v>
      </c>
      <c r="B593" t="s">
        <v>5</v>
      </c>
    </row>
    <row r="594" spans="1:2" x14ac:dyDescent="0.3">
      <c r="A594" t="s">
        <v>815</v>
      </c>
      <c r="B594" t="s">
        <v>224</v>
      </c>
    </row>
    <row r="595" spans="1:2" x14ac:dyDescent="0.3">
      <c r="A595" t="s">
        <v>816</v>
      </c>
      <c r="B595" t="s">
        <v>5</v>
      </c>
    </row>
    <row r="596" spans="1:2" x14ac:dyDescent="0.3">
      <c r="A596" t="s">
        <v>817</v>
      </c>
      <c r="B596" t="s">
        <v>5</v>
      </c>
    </row>
    <row r="597" spans="1:2" x14ac:dyDescent="0.3">
      <c r="A597" t="s">
        <v>818</v>
      </c>
      <c r="B597" t="s">
        <v>478</v>
      </c>
    </row>
    <row r="598" spans="1:2" x14ac:dyDescent="0.3">
      <c r="A598" t="s">
        <v>819</v>
      </c>
      <c r="B598" t="s">
        <v>478</v>
      </c>
    </row>
    <row r="599" spans="1:2" x14ac:dyDescent="0.3">
      <c r="A599" t="s">
        <v>820</v>
      </c>
      <c r="B599" t="s">
        <v>821</v>
      </c>
    </row>
    <row r="600" spans="1:2" x14ac:dyDescent="0.3">
      <c r="A600" t="s">
        <v>822</v>
      </c>
      <c r="B600" t="s">
        <v>5</v>
      </c>
    </row>
    <row r="601" spans="1:2" x14ac:dyDescent="0.3">
      <c r="A601" t="s">
        <v>823</v>
      </c>
      <c r="B601" t="s">
        <v>5</v>
      </c>
    </row>
    <row r="602" spans="1:2" x14ac:dyDescent="0.3">
      <c r="A602" t="s">
        <v>824</v>
      </c>
      <c r="B602" t="s">
        <v>5</v>
      </c>
    </row>
    <row r="603" spans="1:2" x14ac:dyDescent="0.3">
      <c r="A603" t="s">
        <v>825</v>
      </c>
      <c r="B603" t="s">
        <v>478</v>
      </c>
    </row>
    <row r="604" spans="1:2" x14ac:dyDescent="0.3">
      <c r="A604" t="s">
        <v>826</v>
      </c>
      <c r="B604" t="s">
        <v>5</v>
      </c>
    </row>
    <row r="605" spans="1:2" x14ac:dyDescent="0.3">
      <c r="A605" t="s">
        <v>827</v>
      </c>
      <c r="B605" t="s">
        <v>5</v>
      </c>
    </row>
    <row r="606" spans="1:2" x14ac:dyDescent="0.3">
      <c r="A606" t="s">
        <v>828</v>
      </c>
      <c r="B606" t="s">
        <v>5</v>
      </c>
    </row>
    <row r="607" spans="1:2" x14ac:dyDescent="0.3">
      <c r="A607" t="s">
        <v>829</v>
      </c>
      <c r="B607" t="s">
        <v>5</v>
      </c>
    </row>
    <row r="608" spans="1:2" x14ac:dyDescent="0.3">
      <c r="A608" t="s">
        <v>830</v>
      </c>
      <c r="B608" t="s">
        <v>478</v>
      </c>
    </row>
    <row r="609" spans="1:2" x14ac:dyDescent="0.3">
      <c r="A609" t="s">
        <v>831</v>
      </c>
      <c r="B609" t="s">
        <v>5</v>
      </c>
    </row>
    <row r="610" spans="1:2" x14ac:dyDescent="0.3">
      <c r="A610" t="s">
        <v>832</v>
      </c>
      <c r="B610" t="s">
        <v>5</v>
      </c>
    </row>
    <row r="611" spans="1:2" x14ac:dyDescent="0.3">
      <c r="A611" t="s">
        <v>833</v>
      </c>
      <c r="B611" t="s">
        <v>821</v>
      </c>
    </row>
    <row r="612" spans="1:2" x14ac:dyDescent="0.3">
      <c r="A612" t="s">
        <v>834</v>
      </c>
      <c r="B612" t="s">
        <v>821</v>
      </c>
    </row>
    <row r="613" spans="1:2" x14ac:dyDescent="0.3">
      <c r="A613" t="s">
        <v>835</v>
      </c>
      <c r="B613" t="s">
        <v>5</v>
      </c>
    </row>
    <row r="614" spans="1:2" x14ac:dyDescent="0.3">
      <c r="A614" t="s">
        <v>836</v>
      </c>
      <c r="B614" t="s">
        <v>224</v>
      </c>
    </row>
    <row r="615" spans="1:2" x14ac:dyDescent="0.3">
      <c r="A615" t="s">
        <v>837</v>
      </c>
      <c r="B615" t="s">
        <v>224</v>
      </c>
    </row>
    <row r="616" spans="1:2" x14ac:dyDescent="0.3">
      <c r="A616" t="s">
        <v>838</v>
      </c>
      <c r="B616" t="s">
        <v>224</v>
      </c>
    </row>
    <row r="617" spans="1:2" x14ac:dyDescent="0.3">
      <c r="A617" t="s">
        <v>839</v>
      </c>
      <c r="B617" t="s">
        <v>224</v>
      </c>
    </row>
    <row r="618" spans="1:2" x14ac:dyDescent="0.3">
      <c r="A618" t="s">
        <v>840</v>
      </c>
      <c r="B618" t="s">
        <v>224</v>
      </c>
    </row>
    <row r="619" spans="1:2" x14ac:dyDescent="0.3">
      <c r="A619" t="s">
        <v>841</v>
      </c>
      <c r="B619" t="s">
        <v>224</v>
      </c>
    </row>
    <row r="620" spans="1:2" x14ac:dyDescent="0.3">
      <c r="A620" t="s">
        <v>842</v>
      </c>
      <c r="B620" t="s">
        <v>224</v>
      </c>
    </row>
    <row r="621" spans="1:2" x14ac:dyDescent="0.3">
      <c r="A621" t="s">
        <v>843</v>
      </c>
      <c r="B621" t="s">
        <v>224</v>
      </c>
    </row>
    <row r="622" spans="1:2" x14ac:dyDescent="0.3">
      <c r="A622" t="s">
        <v>844</v>
      </c>
      <c r="B622" t="s">
        <v>5</v>
      </c>
    </row>
    <row r="623" spans="1:2" x14ac:dyDescent="0.3">
      <c r="A623" t="s">
        <v>845</v>
      </c>
      <c r="B623" t="s">
        <v>5</v>
      </c>
    </row>
    <row r="624" spans="1:2" x14ac:dyDescent="0.3">
      <c r="A624" t="s">
        <v>846</v>
      </c>
      <c r="B624" t="s">
        <v>5</v>
      </c>
    </row>
    <row r="625" spans="1:2" x14ac:dyDescent="0.3">
      <c r="A625" t="s">
        <v>847</v>
      </c>
      <c r="B625" t="s">
        <v>5</v>
      </c>
    </row>
    <row r="626" spans="1:2" x14ac:dyDescent="0.3">
      <c r="A626" t="s">
        <v>848</v>
      </c>
      <c r="B626" t="s">
        <v>5</v>
      </c>
    </row>
    <row r="627" spans="1:2" x14ac:dyDescent="0.3">
      <c r="A627" t="s">
        <v>849</v>
      </c>
      <c r="B627" t="s">
        <v>5</v>
      </c>
    </row>
    <row r="628" spans="1:2" x14ac:dyDescent="0.3">
      <c r="A628" t="s">
        <v>850</v>
      </c>
      <c r="B628" t="s">
        <v>5</v>
      </c>
    </row>
    <row r="629" spans="1:2" x14ac:dyDescent="0.3">
      <c r="A629" t="s">
        <v>851</v>
      </c>
      <c r="B629" t="s">
        <v>5</v>
      </c>
    </row>
    <row r="630" spans="1:2" x14ac:dyDescent="0.3">
      <c r="A630" t="s">
        <v>852</v>
      </c>
      <c r="B630" t="s">
        <v>5</v>
      </c>
    </row>
    <row r="631" spans="1:2" x14ac:dyDescent="0.3">
      <c r="A631" t="s">
        <v>853</v>
      </c>
      <c r="B631" t="s">
        <v>5</v>
      </c>
    </row>
    <row r="632" spans="1:2" x14ac:dyDescent="0.3">
      <c r="A632" t="s">
        <v>854</v>
      </c>
      <c r="B632" t="s">
        <v>5</v>
      </c>
    </row>
    <row r="633" spans="1:2" x14ac:dyDescent="0.3">
      <c r="A633" t="s">
        <v>341</v>
      </c>
      <c r="B633" t="s">
        <v>5</v>
      </c>
    </row>
    <row r="634" spans="1:2" x14ac:dyDescent="0.3">
      <c r="A634" t="s">
        <v>855</v>
      </c>
      <c r="B634" t="s">
        <v>5</v>
      </c>
    </row>
    <row r="635" spans="1:2" x14ac:dyDescent="0.3">
      <c r="A635" t="s">
        <v>856</v>
      </c>
      <c r="B635" t="s">
        <v>5</v>
      </c>
    </row>
    <row r="636" spans="1:2" x14ac:dyDescent="0.3">
      <c r="A636" t="s">
        <v>857</v>
      </c>
      <c r="B636" t="s">
        <v>5</v>
      </c>
    </row>
    <row r="637" spans="1:2" x14ac:dyDescent="0.3">
      <c r="A637" t="s">
        <v>858</v>
      </c>
      <c r="B637" t="s">
        <v>5</v>
      </c>
    </row>
    <row r="638" spans="1:2" x14ac:dyDescent="0.3">
      <c r="A638" t="s">
        <v>859</v>
      </c>
      <c r="B638" t="s">
        <v>5</v>
      </c>
    </row>
    <row r="639" spans="1:2" x14ac:dyDescent="0.3">
      <c r="A639" t="s">
        <v>860</v>
      </c>
      <c r="B639" t="s">
        <v>5</v>
      </c>
    </row>
    <row r="640" spans="1:2" x14ac:dyDescent="0.3">
      <c r="A640" t="s">
        <v>861</v>
      </c>
      <c r="B640" t="s">
        <v>5</v>
      </c>
    </row>
    <row r="641" spans="1:2" x14ac:dyDescent="0.3">
      <c r="A641" t="s">
        <v>862</v>
      </c>
      <c r="B641" t="s">
        <v>5</v>
      </c>
    </row>
    <row r="642" spans="1:2" x14ac:dyDescent="0.3">
      <c r="A642" t="s">
        <v>863</v>
      </c>
      <c r="B642" t="s">
        <v>5</v>
      </c>
    </row>
    <row r="643" spans="1:2" x14ac:dyDescent="0.3">
      <c r="A643" t="s">
        <v>864</v>
      </c>
      <c r="B643" t="s">
        <v>5</v>
      </c>
    </row>
    <row r="644" spans="1:2" x14ac:dyDescent="0.3">
      <c r="A644" t="s">
        <v>865</v>
      </c>
      <c r="B644" t="s">
        <v>5</v>
      </c>
    </row>
    <row r="645" spans="1:2" x14ac:dyDescent="0.3">
      <c r="A645" t="s">
        <v>866</v>
      </c>
      <c r="B645" t="s">
        <v>5</v>
      </c>
    </row>
    <row r="646" spans="1:2" x14ac:dyDescent="0.3">
      <c r="A646" t="s">
        <v>867</v>
      </c>
      <c r="B646" t="s">
        <v>5</v>
      </c>
    </row>
    <row r="647" spans="1:2" x14ac:dyDescent="0.3">
      <c r="A647" t="s">
        <v>868</v>
      </c>
      <c r="B647" t="s">
        <v>5</v>
      </c>
    </row>
    <row r="648" spans="1:2" x14ac:dyDescent="0.3">
      <c r="A648" t="s">
        <v>869</v>
      </c>
      <c r="B648" t="s">
        <v>5</v>
      </c>
    </row>
    <row r="649" spans="1:2" x14ac:dyDescent="0.3">
      <c r="A649" t="s">
        <v>870</v>
      </c>
      <c r="B649" t="s">
        <v>5</v>
      </c>
    </row>
    <row r="650" spans="1:2" x14ac:dyDescent="0.3">
      <c r="A650" t="s">
        <v>871</v>
      </c>
      <c r="B650" t="s">
        <v>5</v>
      </c>
    </row>
    <row r="651" spans="1:2" x14ac:dyDescent="0.3">
      <c r="A651" t="s">
        <v>872</v>
      </c>
      <c r="B651" t="s">
        <v>5</v>
      </c>
    </row>
    <row r="652" spans="1:2" x14ac:dyDescent="0.3">
      <c r="A652" t="s">
        <v>873</v>
      </c>
      <c r="B652" t="s">
        <v>5</v>
      </c>
    </row>
    <row r="653" spans="1:2" x14ac:dyDescent="0.3">
      <c r="A653" t="s">
        <v>874</v>
      </c>
      <c r="B653" t="s">
        <v>5</v>
      </c>
    </row>
    <row r="654" spans="1:2" x14ac:dyDescent="0.3">
      <c r="A654" t="s">
        <v>875</v>
      </c>
      <c r="B654" t="s">
        <v>5</v>
      </c>
    </row>
    <row r="655" spans="1:2" x14ac:dyDescent="0.3">
      <c r="A655" t="s">
        <v>439</v>
      </c>
      <c r="B655" t="s">
        <v>5</v>
      </c>
    </row>
    <row r="656" spans="1:2" x14ac:dyDescent="0.3">
      <c r="A656" t="s">
        <v>876</v>
      </c>
      <c r="B656" t="s">
        <v>5</v>
      </c>
    </row>
    <row r="657" spans="1:2" x14ac:dyDescent="0.3">
      <c r="A657" t="s">
        <v>877</v>
      </c>
      <c r="B657" t="s">
        <v>5</v>
      </c>
    </row>
    <row r="658" spans="1:2" x14ac:dyDescent="0.3">
      <c r="A658" t="s">
        <v>878</v>
      </c>
      <c r="B658" t="s">
        <v>5</v>
      </c>
    </row>
    <row r="659" spans="1:2" x14ac:dyDescent="0.3">
      <c r="A659" t="s">
        <v>879</v>
      </c>
      <c r="B659" t="s">
        <v>5</v>
      </c>
    </row>
    <row r="660" spans="1:2" x14ac:dyDescent="0.3">
      <c r="A660" t="s">
        <v>880</v>
      </c>
      <c r="B660" t="s">
        <v>5</v>
      </c>
    </row>
    <row r="661" spans="1:2" x14ac:dyDescent="0.3">
      <c r="A661" t="s">
        <v>881</v>
      </c>
      <c r="B661" t="s">
        <v>5</v>
      </c>
    </row>
    <row r="662" spans="1:2" x14ac:dyDescent="0.3">
      <c r="A662" t="s">
        <v>882</v>
      </c>
      <c r="B662" t="s">
        <v>5</v>
      </c>
    </row>
    <row r="663" spans="1:2" x14ac:dyDescent="0.3">
      <c r="A663" t="s">
        <v>883</v>
      </c>
      <c r="B663" t="s">
        <v>5</v>
      </c>
    </row>
    <row r="664" spans="1:2" x14ac:dyDescent="0.3">
      <c r="A664" t="s">
        <v>884</v>
      </c>
      <c r="B664" t="s">
        <v>5</v>
      </c>
    </row>
    <row r="665" spans="1:2" x14ac:dyDescent="0.3">
      <c r="A665" t="s">
        <v>885</v>
      </c>
      <c r="B665" t="s">
        <v>5</v>
      </c>
    </row>
    <row r="666" spans="1:2" x14ac:dyDescent="0.3">
      <c r="A666" t="s">
        <v>886</v>
      </c>
      <c r="B666" t="s">
        <v>5</v>
      </c>
    </row>
    <row r="667" spans="1:2" x14ac:dyDescent="0.3">
      <c r="A667" t="s">
        <v>887</v>
      </c>
      <c r="B667" t="s">
        <v>5</v>
      </c>
    </row>
    <row r="668" spans="1:2" x14ac:dyDescent="0.3">
      <c r="A668" t="s">
        <v>888</v>
      </c>
      <c r="B668" t="s">
        <v>5</v>
      </c>
    </row>
    <row r="669" spans="1:2" x14ac:dyDescent="0.3">
      <c r="A669" t="s">
        <v>889</v>
      </c>
      <c r="B669" t="s">
        <v>5</v>
      </c>
    </row>
    <row r="670" spans="1:2" x14ac:dyDescent="0.3">
      <c r="A670" t="s">
        <v>6</v>
      </c>
      <c r="B670" t="s">
        <v>5</v>
      </c>
    </row>
    <row r="671" spans="1:2" x14ac:dyDescent="0.3">
      <c r="A671" t="s">
        <v>890</v>
      </c>
      <c r="B671" t="s">
        <v>5</v>
      </c>
    </row>
    <row r="672" spans="1:2" x14ac:dyDescent="0.3">
      <c r="A672" t="s">
        <v>891</v>
      </c>
      <c r="B672" t="s">
        <v>5</v>
      </c>
    </row>
    <row r="673" spans="1:2" x14ac:dyDescent="0.3">
      <c r="A673" t="s">
        <v>892</v>
      </c>
      <c r="B673" t="s">
        <v>5</v>
      </c>
    </row>
    <row r="674" spans="1:2" x14ac:dyDescent="0.3">
      <c r="A674" t="s">
        <v>893</v>
      </c>
      <c r="B674" t="s">
        <v>5</v>
      </c>
    </row>
    <row r="675" spans="1:2" x14ac:dyDescent="0.3">
      <c r="A675" t="s">
        <v>894</v>
      </c>
      <c r="B675" t="s">
        <v>5</v>
      </c>
    </row>
    <row r="676" spans="1:2" x14ac:dyDescent="0.3">
      <c r="A676" t="s">
        <v>895</v>
      </c>
      <c r="B676" t="s">
        <v>5</v>
      </c>
    </row>
    <row r="677" spans="1:2" x14ac:dyDescent="0.3">
      <c r="A677" t="s">
        <v>896</v>
      </c>
      <c r="B677" t="s">
        <v>5</v>
      </c>
    </row>
    <row r="678" spans="1:2" x14ac:dyDescent="0.3">
      <c r="A678" t="s">
        <v>897</v>
      </c>
      <c r="B678" t="s">
        <v>5</v>
      </c>
    </row>
    <row r="679" spans="1:2" x14ac:dyDescent="0.3">
      <c r="A679" t="s">
        <v>898</v>
      </c>
      <c r="B679" t="s">
        <v>5</v>
      </c>
    </row>
    <row r="680" spans="1:2" x14ac:dyDescent="0.3">
      <c r="A680" t="s">
        <v>899</v>
      </c>
      <c r="B680" t="s">
        <v>5</v>
      </c>
    </row>
    <row r="681" spans="1:2" x14ac:dyDescent="0.3">
      <c r="A681" t="s">
        <v>757</v>
      </c>
      <c r="B681" t="s">
        <v>5</v>
      </c>
    </row>
    <row r="682" spans="1:2" x14ac:dyDescent="0.3">
      <c r="A682" t="s">
        <v>900</v>
      </c>
      <c r="B682" t="s">
        <v>5</v>
      </c>
    </row>
    <row r="683" spans="1:2" x14ac:dyDescent="0.3">
      <c r="A683" t="s">
        <v>901</v>
      </c>
      <c r="B683" t="s">
        <v>5</v>
      </c>
    </row>
    <row r="684" spans="1:2" x14ac:dyDescent="0.3">
      <c r="A684" t="s">
        <v>902</v>
      </c>
      <c r="B684" t="s">
        <v>5</v>
      </c>
    </row>
    <row r="685" spans="1:2" x14ac:dyDescent="0.3">
      <c r="A685" t="s">
        <v>903</v>
      </c>
      <c r="B685" t="s">
        <v>5</v>
      </c>
    </row>
    <row r="686" spans="1:2" x14ac:dyDescent="0.3">
      <c r="A686" t="s">
        <v>904</v>
      </c>
      <c r="B686" t="s">
        <v>5</v>
      </c>
    </row>
    <row r="687" spans="1:2" x14ac:dyDescent="0.3">
      <c r="A687" t="s">
        <v>905</v>
      </c>
      <c r="B687" t="s">
        <v>5</v>
      </c>
    </row>
    <row r="688" spans="1:2" x14ac:dyDescent="0.3">
      <c r="A688" t="s">
        <v>906</v>
      </c>
      <c r="B688" t="s">
        <v>5</v>
      </c>
    </row>
    <row r="689" spans="1:2" x14ac:dyDescent="0.3">
      <c r="A689" t="s">
        <v>907</v>
      </c>
      <c r="B689" t="s">
        <v>5</v>
      </c>
    </row>
    <row r="690" spans="1:2" x14ac:dyDescent="0.3">
      <c r="A690" t="s">
        <v>908</v>
      </c>
      <c r="B690" t="s">
        <v>5</v>
      </c>
    </row>
    <row r="691" spans="1:2" x14ac:dyDescent="0.3">
      <c r="A691" t="s">
        <v>909</v>
      </c>
      <c r="B691" t="s">
        <v>5</v>
      </c>
    </row>
    <row r="692" spans="1:2" x14ac:dyDescent="0.3">
      <c r="A692" t="s">
        <v>910</v>
      </c>
      <c r="B692" t="s">
        <v>5</v>
      </c>
    </row>
    <row r="693" spans="1:2" x14ac:dyDescent="0.3">
      <c r="A693" t="s">
        <v>911</v>
      </c>
      <c r="B693" t="s">
        <v>5</v>
      </c>
    </row>
    <row r="694" spans="1:2" x14ac:dyDescent="0.3">
      <c r="A694" t="s">
        <v>912</v>
      </c>
      <c r="B694" t="s">
        <v>5</v>
      </c>
    </row>
    <row r="695" spans="1:2" x14ac:dyDescent="0.3">
      <c r="A695" t="s">
        <v>913</v>
      </c>
      <c r="B695" t="s">
        <v>5</v>
      </c>
    </row>
    <row r="696" spans="1:2" x14ac:dyDescent="0.3">
      <c r="A696" t="s">
        <v>914</v>
      </c>
      <c r="B696" t="s">
        <v>5</v>
      </c>
    </row>
    <row r="697" spans="1:2" x14ac:dyDescent="0.3">
      <c r="A697" t="s">
        <v>915</v>
      </c>
      <c r="B697" t="s">
        <v>4</v>
      </c>
    </row>
    <row r="698" spans="1:2" x14ac:dyDescent="0.3">
      <c r="A698" t="s">
        <v>916</v>
      </c>
      <c r="B698" t="s">
        <v>4</v>
      </c>
    </row>
    <row r="699" spans="1:2" x14ac:dyDescent="0.3">
      <c r="A699" t="s">
        <v>917</v>
      </c>
      <c r="B699" t="s">
        <v>4</v>
      </c>
    </row>
    <row r="700" spans="1:2" x14ac:dyDescent="0.3">
      <c r="A700" t="s">
        <v>918</v>
      </c>
      <c r="B700" t="s">
        <v>4</v>
      </c>
    </row>
    <row r="701" spans="1:2" x14ac:dyDescent="0.3">
      <c r="A701" t="s">
        <v>919</v>
      </c>
      <c r="B701" t="s">
        <v>5</v>
      </c>
    </row>
    <row r="702" spans="1:2" x14ac:dyDescent="0.3">
      <c r="A702" t="s">
        <v>920</v>
      </c>
      <c r="B702" t="s">
        <v>5</v>
      </c>
    </row>
    <row r="703" spans="1:2" x14ac:dyDescent="0.3">
      <c r="A703" t="s">
        <v>921</v>
      </c>
      <c r="B703" t="s">
        <v>5</v>
      </c>
    </row>
    <row r="704" spans="1:2" x14ac:dyDescent="0.3">
      <c r="A704" t="s">
        <v>922</v>
      </c>
      <c r="B704" t="s">
        <v>5</v>
      </c>
    </row>
    <row r="705" spans="1:2" x14ac:dyDescent="0.3">
      <c r="A705" t="s">
        <v>923</v>
      </c>
      <c r="B705" t="s">
        <v>4</v>
      </c>
    </row>
    <row r="706" spans="1:2" x14ac:dyDescent="0.3">
      <c r="A706" t="s">
        <v>924</v>
      </c>
      <c r="B706" t="s">
        <v>4</v>
      </c>
    </row>
    <row r="707" spans="1:2" x14ac:dyDescent="0.3">
      <c r="A707" t="s">
        <v>925</v>
      </c>
      <c r="B707" t="s">
        <v>926</v>
      </c>
    </row>
    <row r="708" spans="1:2" x14ac:dyDescent="0.3">
      <c r="A708" t="s">
        <v>927</v>
      </c>
      <c r="B708" t="s">
        <v>5</v>
      </c>
    </row>
    <row r="709" spans="1:2" x14ac:dyDescent="0.3">
      <c r="A709" t="s">
        <v>928</v>
      </c>
      <c r="B709" t="s">
        <v>4</v>
      </c>
    </row>
    <row r="710" spans="1:2" x14ac:dyDescent="0.3">
      <c r="A710" t="s">
        <v>929</v>
      </c>
      <c r="B710" t="s">
        <v>224</v>
      </c>
    </row>
    <row r="711" spans="1:2" x14ac:dyDescent="0.3">
      <c r="A711" t="s">
        <v>930</v>
      </c>
      <c r="B711" t="s">
        <v>224</v>
      </c>
    </row>
    <row r="712" spans="1:2" x14ac:dyDescent="0.3">
      <c r="A712" t="s">
        <v>931</v>
      </c>
      <c r="B712" t="s">
        <v>224</v>
      </c>
    </row>
    <row r="713" spans="1:2" x14ac:dyDescent="0.3">
      <c r="A713" t="s">
        <v>932</v>
      </c>
      <c r="B713" t="s">
        <v>224</v>
      </c>
    </row>
    <row r="714" spans="1:2" x14ac:dyDescent="0.3">
      <c r="A714" t="s">
        <v>933</v>
      </c>
      <c r="B714" t="s">
        <v>224</v>
      </c>
    </row>
    <row r="715" spans="1:2" x14ac:dyDescent="0.3">
      <c r="A715" t="s">
        <v>934</v>
      </c>
      <c r="B715" t="s">
        <v>224</v>
      </c>
    </row>
    <row r="716" spans="1:2" x14ac:dyDescent="0.3">
      <c r="A716" t="s">
        <v>935</v>
      </c>
      <c r="B716" t="s">
        <v>224</v>
      </c>
    </row>
    <row r="717" spans="1:2" x14ac:dyDescent="0.3">
      <c r="A717" t="s">
        <v>936</v>
      </c>
      <c r="B717" t="s">
        <v>224</v>
      </c>
    </row>
    <row r="718" spans="1:2" x14ac:dyDescent="0.3">
      <c r="A718" t="s">
        <v>937</v>
      </c>
      <c r="B718" t="s">
        <v>224</v>
      </c>
    </row>
    <row r="719" spans="1:2" x14ac:dyDescent="0.3">
      <c r="A719" t="s">
        <v>938</v>
      </c>
      <c r="B719" t="s">
        <v>224</v>
      </c>
    </row>
    <row r="720" spans="1:2" x14ac:dyDescent="0.3">
      <c r="A720" t="s">
        <v>939</v>
      </c>
      <c r="B720" t="s">
        <v>224</v>
      </c>
    </row>
    <row r="721" spans="1:2" x14ac:dyDescent="0.3">
      <c r="A721" t="s">
        <v>17</v>
      </c>
      <c r="B721" t="s">
        <v>224</v>
      </c>
    </row>
    <row r="722" spans="1:2" x14ac:dyDescent="0.3">
      <c r="A722" t="s">
        <v>940</v>
      </c>
      <c r="B722" t="s">
        <v>224</v>
      </c>
    </row>
    <row r="723" spans="1:2" x14ac:dyDescent="0.3">
      <c r="A723" t="s">
        <v>941</v>
      </c>
      <c r="B723" t="s">
        <v>224</v>
      </c>
    </row>
    <row r="724" spans="1:2" x14ac:dyDescent="0.3">
      <c r="A724" t="s">
        <v>942</v>
      </c>
      <c r="B724" t="s">
        <v>224</v>
      </c>
    </row>
    <row r="725" spans="1:2" x14ac:dyDescent="0.3">
      <c r="A725" t="s">
        <v>943</v>
      </c>
      <c r="B725" t="s">
        <v>224</v>
      </c>
    </row>
    <row r="726" spans="1:2" x14ac:dyDescent="0.3">
      <c r="A726" t="s">
        <v>944</v>
      </c>
      <c r="B726" t="s">
        <v>224</v>
      </c>
    </row>
    <row r="727" spans="1:2" x14ac:dyDescent="0.3">
      <c r="A727" t="s">
        <v>945</v>
      </c>
      <c r="B727" t="s">
        <v>224</v>
      </c>
    </row>
    <row r="728" spans="1:2" x14ac:dyDescent="0.3">
      <c r="A728" t="s">
        <v>946</v>
      </c>
      <c r="B728" t="s">
        <v>224</v>
      </c>
    </row>
    <row r="729" spans="1:2" x14ac:dyDescent="0.3">
      <c r="A729" t="s">
        <v>947</v>
      </c>
      <c r="B729" t="s">
        <v>224</v>
      </c>
    </row>
    <row r="730" spans="1:2" x14ac:dyDescent="0.3">
      <c r="A730" t="s">
        <v>948</v>
      </c>
      <c r="B730" t="s">
        <v>5</v>
      </c>
    </row>
    <row r="731" spans="1:2" x14ac:dyDescent="0.3">
      <c r="A731" t="s">
        <v>949</v>
      </c>
      <c r="B731" t="s">
        <v>224</v>
      </c>
    </row>
    <row r="732" spans="1:2" x14ac:dyDescent="0.3">
      <c r="A732" t="s">
        <v>950</v>
      </c>
      <c r="B732" t="s">
        <v>224</v>
      </c>
    </row>
    <row r="733" spans="1:2" x14ac:dyDescent="0.3">
      <c r="A733" t="s">
        <v>951</v>
      </c>
      <c r="B733" t="s">
        <v>15</v>
      </c>
    </row>
    <row r="734" spans="1:2" x14ac:dyDescent="0.3">
      <c r="A734" t="s">
        <v>952</v>
      </c>
      <c r="B734" t="s">
        <v>224</v>
      </c>
    </row>
    <row r="735" spans="1:2" x14ac:dyDescent="0.3">
      <c r="A735" t="s">
        <v>954</v>
      </c>
      <c r="B735" t="s">
        <v>224</v>
      </c>
    </row>
    <row r="736" spans="1:2" x14ac:dyDescent="0.3">
      <c r="A736" t="s">
        <v>955</v>
      </c>
      <c r="B736" t="s">
        <v>224</v>
      </c>
    </row>
    <row r="737" spans="1:2" x14ac:dyDescent="0.3">
      <c r="A737" t="s">
        <v>956</v>
      </c>
      <c r="B737" t="s">
        <v>224</v>
      </c>
    </row>
    <row r="738" spans="1:2" x14ac:dyDescent="0.3">
      <c r="A738" t="s">
        <v>957</v>
      </c>
      <c r="B738" t="s">
        <v>224</v>
      </c>
    </row>
    <row r="739" spans="1:2" x14ac:dyDescent="0.3">
      <c r="A739" t="s">
        <v>958</v>
      </c>
      <c r="B739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ED25-E748-4500-B713-F9897436C94C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22</v>
      </c>
      <c r="B1" t="s">
        <v>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E4F6-BFFC-4D29-9C1E-82A56B823CF1}">
  <dimension ref="A1:A9"/>
  <sheetViews>
    <sheetView workbookViewId="0">
      <selection activeCell="B4" sqref="B4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>
        <v>0</v>
      </c>
    </row>
    <row r="3" spans="1:1" x14ac:dyDescent="0.3">
      <c r="A3">
        <v>45</v>
      </c>
    </row>
    <row r="4" spans="1:1" x14ac:dyDescent="0.3">
      <c r="A4">
        <f>A3+45</f>
        <v>90</v>
      </c>
    </row>
    <row r="5" spans="1:1" x14ac:dyDescent="0.3">
      <c r="A5">
        <f t="shared" ref="A5:A9" si="0">A4+45</f>
        <v>135</v>
      </c>
    </row>
    <row r="6" spans="1:1" x14ac:dyDescent="0.3">
      <c r="A6">
        <f t="shared" si="0"/>
        <v>180</v>
      </c>
    </row>
    <row r="7" spans="1:1" x14ac:dyDescent="0.3">
      <c r="A7">
        <f t="shared" si="0"/>
        <v>225</v>
      </c>
    </row>
    <row r="8" spans="1:1" x14ac:dyDescent="0.3">
      <c r="A8">
        <f>A7+45</f>
        <v>270</v>
      </c>
    </row>
    <row r="9" spans="1:1" x14ac:dyDescent="0.3">
      <c r="A9">
        <f t="shared" si="0"/>
        <v>315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MaterialDb-ENS2018</vt:lpstr>
      <vt:lpstr>MaterialDB-Cost</vt:lpstr>
      <vt:lpstr>WorkingDB</vt:lpstr>
      <vt:lpstr>Wall-Options</vt:lpstr>
      <vt:lpstr>Roof-Options</vt:lpstr>
      <vt:lpstr>Glazing-Options</vt:lpstr>
      <vt:lpstr>Location</vt:lpstr>
      <vt:lpstr>WWR</vt:lpstr>
      <vt:lpstr>Orientation</vt:lpstr>
      <vt:lpstr>Climate</vt:lpstr>
      <vt:lpstr>LightingPower-Improvement</vt:lpstr>
      <vt:lpstr>EquipmentPower-Improvement</vt:lpstr>
      <vt:lpstr>HVACEff-Improvement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Varma</dc:creator>
  <cp:lastModifiedBy>Rajeev Kumar</cp:lastModifiedBy>
  <dcterms:created xsi:type="dcterms:W3CDTF">2024-05-08T04:49:23Z</dcterms:created>
  <dcterms:modified xsi:type="dcterms:W3CDTF">2025-01-23T11:03:22Z</dcterms:modified>
</cp:coreProperties>
</file>