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0" windowWidth="12120" windowHeight="5085" tabRatio="947" firstSheet="5" activeTab="9"/>
  </bookViews>
  <sheets>
    <sheet name="Blc. acu" sheetId="4" state="hidden" r:id="rId1"/>
    <sheet name="Bl d C ac" sheetId="5" state="hidden" r:id="rId2"/>
    <sheet name="Gtos" sheetId="15" state="hidden" r:id="rId3"/>
    <sheet name="ENERO" sheetId="162" r:id="rId4"/>
    <sheet name="102 TESORERIA APERTURA" sheetId="334" r:id="rId5"/>
    <sheet name="ASIENTOS DE APERTURA " sheetId="335" r:id="rId6"/>
    <sheet name="ASIENTOS  " sheetId="311" r:id="rId7"/>
    <sheet name="MAYORES" sheetId="305" r:id="rId8"/>
    <sheet name="BALANCE DE COMPROBACIÓN" sheetId="318" r:id="rId9"/>
    <sheet name="BALANCE GENERAL " sheetId="144" r:id="rId10"/>
    <sheet name="102 TES ENERO" sheetId="343" r:id="rId11"/>
    <sheet name="132 F.T. ENERO" sheetId="339" r:id="rId12"/>
    <sheet name="214 BM ENERO" sheetId="336" r:id="rId13"/>
    <sheet name="216 PA ENERO" sheetId="338" r:id="rId14"/>
    <sheet name="122 INGRESOS POR RECAUDA ENERO" sheetId="340" r:id="rId15"/>
    <sheet name="BAL. AC. " sheetId="92" state="hidden" r:id="rId16"/>
    <sheet name="BALANCE DE COMPROBACIÓN AC." sheetId="94" state="hidden" r:id="rId17"/>
    <sheet name="BALANCE GENERAL AC." sheetId="95" state="hidden" r:id="rId18"/>
    <sheet name="Hoja1" sheetId="46" state="hidden" r:id="rId19"/>
    <sheet name="301 INGRESOS ORDINARIO ENERO" sheetId="342" r:id="rId20"/>
    <sheet name="Hoja2" sheetId="341"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_xlnm.Print_Area" localSheetId="10">'102 TES ENERO'!$A$1:$BJ$32</definedName>
    <definedName name="_xlnm.Print_Area" localSheetId="4">'102 TESORERIA APERTURA'!$A$1:$B$28</definedName>
    <definedName name="_xlnm.Print_Area" localSheetId="14">'122 INGRESOS POR RECAUDA ENERO'!$A$1:$B$31</definedName>
    <definedName name="_xlnm.Print_Area" localSheetId="11">'132 F.T. ENERO'!$A$1:$R$31</definedName>
    <definedName name="_xlnm.Print_Area" localSheetId="12">'214 BM ENERO'!$A$1:$K$61</definedName>
    <definedName name="_xlnm.Print_Area" localSheetId="19">'301 INGRESOS ORDINARIO ENERO'!$A$1:$B$27</definedName>
    <definedName name="_xlnm.Print_Area" localSheetId="8">'BALANCE DE COMPROBACIÓN'!$A$1:$E$33</definedName>
    <definedName name="_xlnm.Print_Area" localSheetId="7">MAYORES!$A$1:$X$168</definedName>
  </definedNames>
  <calcPr calcId="144525"/>
</workbook>
</file>

<file path=xl/calcChain.xml><?xml version="1.0" encoding="utf-8"?>
<calcChain xmlns="http://schemas.openxmlformats.org/spreadsheetml/2006/main">
  <c r="B20" i="340" l="1"/>
  <c r="B25" i="340" s="1"/>
  <c r="H31" i="311" l="1"/>
  <c r="G27" i="311"/>
  <c r="G26" i="311"/>
  <c r="J134" i="311" l="1"/>
  <c r="I119" i="311"/>
  <c r="T12" i="162" l="1"/>
  <c r="K10" i="144" l="1"/>
  <c r="J20" i="343" l="1"/>
  <c r="K19" i="343" l="1"/>
  <c r="B17" i="340" l="1"/>
  <c r="I26" i="340"/>
  <c r="B16" i="340" l="1"/>
  <c r="Q10" i="305" l="1"/>
  <c r="Q9" i="305"/>
  <c r="C17" i="343" l="1"/>
  <c r="AD22" i="343" l="1"/>
  <c r="BI20" i="343"/>
  <c r="AJ20" i="343"/>
  <c r="AO20" i="343" s="1"/>
  <c r="J18" i="343"/>
  <c r="N18" i="343" s="1"/>
  <c r="R18" i="343" s="1"/>
  <c r="V18" i="343" s="1"/>
  <c r="AA18" i="343" s="1"/>
  <c r="AF18" i="343" s="1"/>
  <c r="AK18" i="343" s="1"/>
  <c r="AP18" i="343" s="1"/>
  <c r="AU18" i="343" s="1"/>
  <c r="AZ18" i="343" s="1"/>
  <c r="BE18" i="343" s="1"/>
  <c r="J17" i="343"/>
  <c r="N17" i="343" s="1"/>
  <c r="R17" i="343" s="1"/>
  <c r="V17" i="343" s="1"/>
  <c r="AA17" i="343" s="1"/>
  <c r="AF17" i="343" s="1"/>
  <c r="AK17" i="343" s="1"/>
  <c r="AP17" i="343" s="1"/>
  <c r="AU17" i="343" s="1"/>
  <c r="AZ17" i="343" s="1"/>
  <c r="BE17" i="343" s="1"/>
  <c r="BJ17" i="343" s="1"/>
  <c r="B17" i="343"/>
  <c r="B26" i="343" s="1"/>
  <c r="J15" i="343"/>
  <c r="J14" i="343"/>
  <c r="N14" i="343" s="1"/>
  <c r="R14" i="343" s="1"/>
  <c r="J13" i="343"/>
  <c r="N13" i="343" s="1"/>
  <c r="A7" i="343"/>
  <c r="A5" i="343"/>
  <c r="A4" i="343"/>
  <c r="A3" i="343"/>
  <c r="C26" i="343" l="1"/>
  <c r="V14" i="343"/>
  <c r="AA14" i="343" s="1"/>
  <c r="AF14" i="343" s="1"/>
  <c r="AK14" i="343" s="1"/>
  <c r="AP14" i="343" s="1"/>
  <c r="AU14" i="343" s="1"/>
  <c r="AZ14" i="343" s="1"/>
  <c r="BE14" i="343" s="1"/>
  <c r="BJ14" i="343" s="1"/>
  <c r="N15" i="343"/>
  <c r="N19" i="343" l="1"/>
  <c r="R15" i="343"/>
  <c r="V15" i="343" l="1"/>
  <c r="R19" i="343"/>
  <c r="V19" i="343" l="1"/>
  <c r="AA15" i="343"/>
  <c r="AA19" i="343" l="1"/>
  <c r="AF15" i="343"/>
  <c r="AF19" i="343" l="1"/>
  <c r="AK15" i="343"/>
  <c r="AK19" i="343" l="1"/>
  <c r="AK20" i="343" s="1"/>
  <c r="AP15" i="343"/>
  <c r="AP19" i="343" l="1"/>
  <c r="AP20" i="343" s="1"/>
  <c r="AU15" i="343"/>
  <c r="AU19" i="343" l="1"/>
  <c r="AZ15" i="343"/>
  <c r="BE15" i="343" l="1"/>
  <c r="AZ19" i="343"/>
  <c r="BE19" i="343" l="1"/>
  <c r="BE20" i="343" s="1"/>
  <c r="BJ15" i="343"/>
  <c r="BJ19" i="343" s="1"/>
  <c r="BJ20" i="343" s="1"/>
  <c r="D30" i="311" l="1"/>
  <c r="E24" i="311"/>
  <c r="M26" i="305"/>
  <c r="E26" i="305"/>
  <c r="D26" i="305"/>
  <c r="E42" i="305"/>
  <c r="D42" i="305"/>
  <c r="M42" i="305"/>
  <c r="M67" i="305"/>
  <c r="L67" i="305"/>
  <c r="M83" i="305"/>
  <c r="L83" i="305"/>
  <c r="E83" i="305"/>
  <c r="D83" i="305"/>
  <c r="M105" i="305"/>
  <c r="L105" i="305"/>
  <c r="E105" i="305"/>
  <c r="D105" i="305"/>
  <c r="D121" i="305"/>
  <c r="E121" i="305"/>
  <c r="L121" i="305"/>
  <c r="L157" i="305"/>
  <c r="E157" i="305"/>
  <c r="D157" i="305"/>
  <c r="D127" i="311" l="1"/>
  <c r="I107" i="311" l="1"/>
  <c r="I112" i="311"/>
  <c r="M130" i="311"/>
  <c r="E117" i="311"/>
  <c r="D31" i="311"/>
  <c r="F29" i="311" s="1"/>
  <c r="O12" i="162"/>
  <c r="O13" i="162"/>
  <c r="O14" i="162"/>
  <c r="O11" i="162"/>
  <c r="O10" i="162"/>
  <c r="N12" i="162"/>
  <c r="N13" i="162"/>
  <c r="N14" i="162"/>
  <c r="N11" i="162"/>
  <c r="N10" i="162"/>
  <c r="L10" i="162"/>
  <c r="B27" i="342" l="1"/>
  <c r="A27" i="342"/>
  <c r="B26" i="342"/>
  <c r="A26" i="342"/>
  <c r="A7" i="342"/>
  <c r="A5" i="342"/>
  <c r="A4" i="342"/>
  <c r="A3" i="342"/>
  <c r="I13" i="340" l="1"/>
  <c r="H13" i="340"/>
  <c r="H26" i="340" s="1"/>
  <c r="B31" i="340"/>
  <c r="A31" i="340"/>
  <c r="B30" i="340"/>
  <c r="A30" i="340"/>
  <c r="J26" i="340"/>
  <c r="G26" i="340"/>
  <c r="A7" i="340"/>
  <c r="A5" i="340"/>
  <c r="A4" i="340"/>
  <c r="A3" i="340"/>
  <c r="K26" i="340" l="1"/>
  <c r="C25" i="339"/>
  <c r="N18" i="339"/>
  <c r="R18" i="339" s="1"/>
  <c r="J18" i="339"/>
  <c r="N17" i="339"/>
  <c r="R17" i="339" s="1"/>
  <c r="J17" i="339"/>
  <c r="B17" i="339"/>
  <c r="B25" i="339" s="1"/>
  <c r="J16" i="339"/>
  <c r="N16" i="339" s="1"/>
  <c r="J15" i="339"/>
  <c r="N15" i="339" s="1"/>
  <c r="R15" i="339" s="1"/>
  <c r="J14" i="339"/>
  <c r="N14" i="339" s="1"/>
  <c r="J13" i="339"/>
  <c r="N13" i="339" s="1"/>
  <c r="R13" i="339" s="1"/>
  <c r="A7" i="339"/>
  <c r="A5" i="339"/>
  <c r="A4" i="339"/>
  <c r="A3" i="339"/>
  <c r="N19" i="339" l="1"/>
  <c r="R16" i="339"/>
  <c r="R19" i="339" s="1"/>
  <c r="J19" i="339"/>
  <c r="M33" i="305" l="1"/>
  <c r="L112" i="305"/>
  <c r="E35" i="305"/>
  <c r="D34" i="305"/>
  <c r="D114" i="305"/>
  <c r="E113" i="305"/>
  <c r="E112" i="305"/>
  <c r="D33" i="305"/>
  <c r="E151" i="305"/>
  <c r="L60" i="305"/>
  <c r="E77" i="305"/>
  <c r="D150" i="305"/>
  <c r="E149" i="305"/>
  <c r="D76" i="305"/>
  <c r="B101" i="305"/>
  <c r="E19" i="305"/>
  <c r="D100" i="305"/>
  <c r="E18" i="305"/>
  <c r="D17" i="305"/>
  <c r="E16" i="305"/>
  <c r="F51" i="311"/>
  <c r="D15" i="305"/>
  <c r="E14" i="305"/>
  <c r="D148" i="305"/>
  <c r="M14" i="305"/>
  <c r="D13" i="305"/>
  <c r="M12" i="305"/>
  <c r="D12" i="305"/>
  <c r="M147" i="305"/>
  <c r="L11" i="305"/>
  <c r="E11" i="305"/>
  <c r="D147" i="305"/>
  <c r="E232" i="311" l="1"/>
  <c r="D159" i="311" l="1"/>
  <c r="B17" i="336"/>
  <c r="D155" i="311" l="1"/>
  <c r="C155" i="311"/>
  <c r="D154" i="311"/>
  <c r="C154" i="311"/>
  <c r="D153" i="311"/>
  <c r="C153" i="311"/>
  <c r="D152" i="311"/>
  <c r="C152" i="311"/>
  <c r="D151" i="311"/>
  <c r="F150" i="311" s="1"/>
  <c r="C151" i="311"/>
  <c r="D145" i="311"/>
  <c r="E144" i="311" s="1"/>
  <c r="F146" i="311" s="1"/>
  <c r="C145" i="311"/>
  <c r="E149" i="311" l="1"/>
  <c r="H15" i="338"/>
  <c r="H16" i="338" s="1"/>
  <c r="H17" i="338" s="1"/>
  <c r="H18" i="338" s="1"/>
  <c r="H19" i="338" s="1"/>
  <c r="H20" i="338" s="1"/>
  <c r="H21" i="338" s="1"/>
  <c r="H22" i="338" s="1"/>
  <c r="H23" i="338" s="1"/>
  <c r="H24" i="338" s="1"/>
  <c r="H26" i="338" s="1"/>
  <c r="H14" i="338"/>
  <c r="G27" i="338" l="1"/>
  <c r="F27" i="338"/>
  <c r="D27" i="338"/>
  <c r="C27" i="338"/>
  <c r="J12" i="338" s="1"/>
  <c r="E26" i="338"/>
  <c r="E24" i="338"/>
  <c r="E23" i="338"/>
  <c r="E22" i="338"/>
  <c r="E21" i="338"/>
  <c r="E20" i="338"/>
  <c r="E19" i="338"/>
  <c r="E18" i="338"/>
  <c r="E17" i="338"/>
  <c r="E16" i="338"/>
  <c r="E15" i="338"/>
  <c r="H27" i="338"/>
  <c r="E14" i="338"/>
  <c r="E27" i="338" l="1"/>
  <c r="J27" i="338"/>
  <c r="I130" i="311" l="1"/>
  <c r="D129" i="311" l="1"/>
  <c r="D126" i="311"/>
  <c r="J115" i="311" l="1"/>
  <c r="J114" i="311"/>
  <c r="I131" i="311"/>
  <c r="H127" i="311"/>
  <c r="H128" i="311" s="1"/>
  <c r="I129" i="311"/>
  <c r="I124" i="311"/>
  <c r="I123" i="311"/>
  <c r="I122" i="311"/>
  <c r="I121" i="311"/>
  <c r="I120" i="311"/>
  <c r="H120" i="311"/>
  <c r="H122" i="311" s="1"/>
  <c r="I134" i="311" l="1"/>
  <c r="E111" i="311" l="1"/>
  <c r="D114" i="311"/>
  <c r="F113" i="311" s="1"/>
  <c r="F44" i="311" l="1"/>
  <c r="E43" i="311"/>
  <c r="D35" i="311" l="1"/>
  <c r="D23" i="144" l="1"/>
  <c r="E17" i="318"/>
  <c r="D17" i="318"/>
  <c r="C17" i="318"/>
  <c r="B17" i="318"/>
  <c r="E141" i="305"/>
  <c r="F141" i="305" s="1"/>
  <c r="D141" i="305"/>
  <c r="F136" i="305"/>
  <c r="F137" i="305" s="1"/>
  <c r="F138" i="305" s="1"/>
  <c r="F140" i="305" l="1"/>
  <c r="F139" i="305"/>
  <c r="F9" i="311"/>
  <c r="E8" i="311"/>
  <c r="F53" i="335"/>
  <c r="E37" i="335" l="1"/>
  <c r="A7" i="334" l="1"/>
  <c r="L24" i="162" l="1"/>
  <c r="C123" i="311"/>
  <c r="C107" i="311"/>
  <c r="C99" i="311" s="1"/>
  <c r="C89" i="311"/>
  <c r="C81" i="311" s="1"/>
  <c r="N15" i="162" l="1"/>
  <c r="I38" i="162"/>
  <c r="K38" i="162"/>
  <c r="I39" i="162"/>
  <c r="K39" i="162"/>
  <c r="G38" i="162"/>
  <c r="G39" i="162"/>
  <c r="O38" i="162"/>
  <c r="D123" i="311" s="1"/>
  <c r="O39" i="162"/>
  <c r="N38" i="162"/>
  <c r="N39" i="162"/>
  <c r="M38" i="162"/>
  <c r="M39" i="162"/>
  <c r="P24" i="162"/>
  <c r="R13" i="162"/>
  <c r="R38" i="162" s="1"/>
  <c r="R14" i="162"/>
  <c r="Q13" i="162"/>
  <c r="Q38" i="162" s="1"/>
  <c r="Q14" i="162"/>
  <c r="L13" i="162"/>
  <c r="P13" i="162" s="1"/>
  <c r="L14" i="162"/>
  <c r="P14" i="162" s="1"/>
  <c r="L12" i="162"/>
  <c r="P12" i="162" s="1"/>
  <c r="Q12" i="162"/>
  <c r="R12" i="162"/>
  <c r="L38" i="162" l="1"/>
  <c r="L39" i="162"/>
  <c r="D107" i="311"/>
  <c r="D99" i="311"/>
  <c r="D81" i="311"/>
  <c r="D89" i="311"/>
  <c r="J34" i="305"/>
  <c r="J33" i="305"/>
  <c r="J113" i="305"/>
  <c r="J112" i="305"/>
  <c r="B34" i="305" l="1"/>
  <c r="B35" i="305"/>
  <c r="B114" i="305"/>
  <c r="B113" i="305"/>
  <c r="B112" i="305"/>
  <c r="B33" i="305"/>
  <c r="J100" i="305"/>
  <c r="B151" i="305"/>
  <c r="J60" i="305"/>
  <c r="B77" i="305"/>
  <c r="B76" i="305"/>
  <c r="B150" i="305"/>
  <c r="B149" i="305" l="1"/>
  <c r="B100" i="305" l="1"/>
  <c r="B99" i="305"/>
  <c r="J99" i="305"/>
  <c r="J76" i="305"/>
  <c r="B148" i="305"/>
  <c r="J14" i="305"/>
  <c r="D40" i="311"/>
  <c r="J148" i="305"/>
  <c r="J13" i="305"/>
  <c r="J12" i="305"/>
  <c r="J11" i="305"/>
  <c r="J147" i="305"/>
  <c r="B147" i="305"/>
  <c r="C159" i="311" l="1"/>
  <c r="F160" i="311" l="1"/>
  <c r="E158" i="311"/>
  <c r="C45" i="336" l="1"/>
  <c r="C50" i="336" s="1"/>
  <c r="D21" i="144" s="1"/>
  <c r="C44" i="336"/>
  <c r="C40" i="336"/>
  <c r="C39" i="336"/>
  <c r="C38" i="336"/>
  <c r="C37" i="336"/>
  <c r="C36" i="336"/>
  <c r="C35" i="336"/>
  <c r="C34" i="336"/>
  <c r="C33" i="336"/>
  <c r="J28" i="336"/>
  <c r="G28" i="336"/>
  <c r="E28" i="336"/>
  <c r="B28" i="336"/>
  <c r="Q23" i="336"/>
  <c r="K17" i="336"/>
  <c r="K18" i="336" s="1"/>
  <c r="K19" i="336" s="1"/>
  <c r="K20" i="336" s="1"/>
  <c r="K21" i="336" s="1"/>
  <c r="K22" i="336" s="1"/>
  <c r="K23" i="336" s="1"/>
  <c r="K24" i="336" s="1"/>
  <c r="K25" i="336" s="1"/>
  <c r="K26" i="336" s="1"/>
  <c r="K27" i="336" s="1"/>
  <c r="K28" i="336" s="1"/>
  <c r="F17" i="336"/>
  <c r="F18" i="336" s="1"/>
  <c r="F19" i="336" s="1"/>
  <c r="F20" i="336" s="1"/>
  <c r="F21" i="336" s="1"/>
  <c r="F22" i="336" s="1"/>
  <c r="F23" i="336" s="1"/>
  <c r="L15" i="336"/>
  <c r="C32" i="336" s="1"/>
  <c r="A8" i="336"/>
  <c r="A5" i="336"/>
  <c r="A4" i="336"/>
  <c r="A3" i="336"/>
  <c r="J146" i="305"/>
  <c r="B146" i="305"/>
  <c r="J136" i="305"/>
  <c r="J111" i="305"/>
  <c r="B111" i="305"/>
  <c r="B136" i="305" s="1"/>
  <c r="J98" i="305"/>
  <c r="B98" i="305"/>
  <c r="B75" i="305"/>
  <c r="J75" i="305"/>
  <c r="J59" i="305"/>
  <c r="B59" i="305"/>
  <c r="J32" i="305"/>
  <c r="B32" i="305"/>
  <c r="J10" i="305"/>
  <c r="E49" i="311"/>
  <c r="D52" i="311"/>
  <c r="E55" i="311"/>
  <c r="D58" i="311"/>
  <c r="F57" i="311" s="1"/>
  <c r="C43" i="336" l="1"/>
  <c r="C46" i="336" s="1"/>
  <c r="C49" i="336"/>
  <c r="F25" i="336"/>
  <c r="F26" i="336" s="1"/>
  <c r="F27" i="336" s="1"/>
  <c r="F28" i="336" s="1"/>
  <c r="F24" i="336"/>
  <c r="C51" i="336" l="1"/>
  <c r="P67" i="305" s="1"/>
  <c r="D20" i="144"/>
  <c r="E34" i="311" l="1"/>
  <c r="D39" i="311"/>
  <c r="F38" i="311" s="1"/>
  <c r="L13" i="305" l="1"/>
  <c r="L26" i="305" s="1"/>
  <c r="E62" i="311"/>
  <c r="F21" i="311"/>
  <c r="E13" i="311"/>
  <c r="D16" i="311"/>
  <c r="F15" i="311" s="1"/>
  <c r="M148" i="305" l="1"/>
  <c r="M157" i="305" s="1"/>
  <c r="F62" i="311"/>
  <c r="E19" i="311"/>
  <c r="C40" i="335" l="1"/>
  <c r="A5" i="335" l="1"/>
  <c r="A7" i="335" s="1"/>
  <c r="B15" i="334"/>
  <c r="L9" i="162" l="1"/>
  <c r="L15" i="162" s="1"/>
  <c r="E185" i="311" l="1"/>
  <c r="C419" i="311"/>
  <c r="F173" i="311"/>
  <c r="E169" i="311"/>
  <c r="F197" i="311" l="1"/>
  <c r="E163" i="311"/>
  <c r="D166" i="311"/>
  <c r="F165" i="311" s="1"/>
  <c r="F232" i="311" l="1"/>
  <c r="F125" i="311" l="1"/>
  <c r="J110" i="311" l="1"/>
  <c r="E20" i="305"/>
  <c r="F58" i="335"/>
  <c r="D58" i="335"/>
  <c r="C42" i="335"/>
  <c r="C41" i="335"/>
  <c r="C39" i="335"/>
  <c r="D33" i="335"/>
  <c r="D30" i="335"/>
  <c r="E25" i="335"/>
  <c r="E15" i="335"/>
  <c r="A5" i="334"/>
  <c r="A4" i="334"/>
  <c r="A3" i="334"/>
  <c r="C60" i="335" l="1"/>
  <c r="E20" i="335"/>
  <c r="B22" i="334"/>
  <c r="E29" i="335"/>
  <c r="F60" i="335"/>
  <c r="E9" i="335"/>
  <c r="E53" i="335" l="1"/>
  <c r="F61" i="335"/>
  <c r="F62" i="335" s="1"/>
  <c r="C62" i="335"/>
  <c r="L20" i="162" l="1"/>
  <c r="L21" i="162"/>
  <c r="L22" i="162"/>
  <c r="L23" i="162"/>
  <c r="P23" i="162" s="1"/>
  <c r="L25" i="162"/>
  <c r="P25" i="162" s="1"/>
  <c r="L19" i="162"/>
  <c r="P19" i="162" s="1"/>
  <c r="P21" i="162"/>
  <c r="P22" i="162"/>
  <c r="P20" i="162"/>
  <c r="L8" i="162" l="1"/>
  <c r="P8" i="162" s="1"/>
  <c r="M33" i="162" l="1"/>
  <c r="N33" i="162"/>
  <c r="O33" i="162"/>
  <c r="D118" i="311" s="1"/>
  <c r="I114" i="311" s="1"/>
  <c r="K114" i="311" s="1"/>
  <c r="N34" i="162"/>
  <c r="O34" i="162"/>
  <c r="D119" i="311" s="1"/>
  <c r="N35" i="162"/>
  <c r="O35" i="162"/>
  <c r="D120" i="311" s="1"/>
  <c r="N36" i="162"/>
  <c r="O36" i="162"/>
  <c r="D121" i="311" s="1"/>
  <c r="N37" i="162"/>
  <c r="O37" i="162"/>
  <c r="D122" i="311" s="1"/>
  <c r="D124" i="311"/>
  <c r="M36" i="162"/>
  <c r="M35" i="162"/>
  <c r="M34" i="162"/>
  <c r="I115" i="311" l="1"/>
  <c r="K115" i="311" s="1"/>
  <c r="D100" i="311"/>
  <c r="D108" i="311"/>
  <c r="D82" i="311"/>
  <c r="D90" i="311"/>
  <c r="D106" i="311"/>
  <c r="D98" i="311"/>
  <c r="D105" i="311"/>
  <c r="D97" i="311"/>
  <c r="D79" i="311"/>
  <c r="D87" i="311"/>
  <c r="D104" i="311"/>
  <c r="D96" i="311"/>
  <c r="D86" i="311"/>
  <c r="D78" i="311"/>
  <c r="D95" i="311"/>
  <c r="D103" i="311"/>
  <c r="D77" i="311"/>
  <c r="D85" i="311"/>
  <c r="D101" i="305"/>
  <c r="D94" i="311"/>
  <c r="D102" i="311"/>
  <c r="D76" i="311"/>
  <c r="D84" i="311"/>
  <c r="P33" i="162"/>
  <c r="S22" i="162"/>
  <c r="S21" i="162"/>
  <c r="S20" i="162"/>
  <c r="F101" i="311" l="1"/>
  <c r="E99" i="305" s="1"/>
  <c r="E93" i="311"/>
  <c r="L100" i="305" s="1"/>
  <c r="R10" i="162"/>
  <c r="R9" i="162"/>
  <c r="L11" i="162" l="1"/>
  <c r="P11" i="162" s="1"/>
  <c r="P10" i="162"/>
  <c r="F54" i="305" l="1"/>
  <c r="F93" i="305" s="1"/>
  <c r="F132" i="305" s="1"/>
  <c r="D18" i="144" l="1"/>
  <c r="G15" i="162" l="1"/>
  <c r="M37" i="162" l="1"/>
  <c r="D88" i="311" l="1"/>
  <c r="F83" i="311" s="1"/>
  <c r="M99" i="305" s="1"/>
  <c r="D80" i="311"/>
  <c r="E75" i="311" s="1"/>
  <c r="L76" i="305" s="1"/>
  <c r="M40" i="162"/>
  <c r="N40" i="162"/>
  <c r="F131" i="311" l="1"/>
  <c r="E131" i="311"/>
  <c r="N98" i="305"/>
  <c r="O16" i="162" l="1"/>
  <c r="B10" i="318" l="1"/>
  <c r="F26" i="162" l="1"/>
  <c r="N111" i="305" l="1"/>
  <c r="N112" i="305" s="1"/>
  <c r="B26" i="318" l="1"/>
  <c r="B25" i="318"/>
  <c r="B23" i="318"/>
  <c r="B22" i="318"/>
  <c r="B21" i="318"/>
  <c r="B20" i="318"/>
  <c r="B18" i="318"/>
  <c r="B16" i="318"/>
  <c r="B15" i="318"/>
  <c r="B13" i="318"/>
  <c r="B12" i="318"/>
  <c r="B11" i="318"/>
  <c r="D19" i="144" l="1"/>
  <c r="E323" i="311" l="1"/>
  <c r="F325" i="311" l="1"/>
  <c r="F319" i="311" l="1"/>
  <c r="E317" i="311" l="1"/>
  <c r="F313" i="311" l="1"/>
  <c r="E311" i="311"/>
  <c r="F42" i="305" l="1"/>
  <c r="C17" i="339" s="1"/>
  <c r="C16" i="339" s="1"/>
  <c r="C422" i="311" l="1"/>
  <c r="G271" i="311"/>
  <c r="H249" i="311"/>
  <c r="I253" i="311"/>
  <c r="H250" i="311"/>
  <c r="I254" i="311"/>
  <c r="H251" i="311"/>
  <c r="G285" i="311"/>
  <c r="G289" i="311"/>
  <c r="H26" i="46" l="1"/>
  <c r="H25" i="46"/>
  <c r="F25" i="46"/>
  <c r="F23" i="46" s="1"/>
  <c r="F22" i="46" s="1"/>
  <c r="H23" i="46"/>
  <c r="H22" i="46" s="1"/>
  <c r="H17" i="46"/>
  <c r="H16" i="46" s="1"/>
  <c r="F17" i="46"/>
  <c r="F16" i="46" s="1"/>
  <c r="H14" i="46"/>
  <c r="F14" i="46"/>
  <c r="H11" i="46"/>
  <c r="F11" i="46"/>
  <c r="F10" i="46" l="1"/>
  <c r="F9" i="46" s="1"/>
  <c r="H10" i="46"/>
  <c r="F26" i="46"/>
  <c r="D20" i="95" l="1"/>
  <c r="D19" i="95"/>
  <c r="B26" i="94" l="1"/>
  <c r="B18" i="94"/>
  <c r="E278" i="92" l="1"/>
  <c r="D278" i="92"/>
  <c r="F265" i="92"/>
  <c r="F266" i="92" s="1"/>
  <c r="B265" i="92"/>
  <c r="E225" i="92" l="1"/>
  <c r="D23" i="94" s="1"/>
  <c r="D225" i="92"/>
  <c r="C23" i="94" s="1"/>
  <c r="C212" i="92"/>
  <c r="E23" i="94" l="1"/>
  <c r="I16" i="95" s="1"/>
  <c r="E140" i="92" l="1"/>
  <c r="D17" i="94" s="1"/>
  <c r="B23" i="92" l="1"/>
  <c r="F31" i="318" l="1"/>
  <c r="G29" i="318" l="1"/>
  <c r="G24" i="318" l="1"/>
  <c r="E24" i="318"/>
  <c r="H24" i="318" l="1"/>
  <c r="F24" i="318"/>
  <c r="J12" i="318"/>
  <c r="K21" i="144" l="1"/>
  <c r="J11" i="318"/>
  <c r="A3" i="318" l="1"/>
  <c r="A2" i="318"/>
  <c r="A1" i="318"/>
  <c r="D247" i="92" l="1"/>
  <c r="M141" i="305" l="1"/>
  <c r="L141" i="305"/>
  <c r="N141" i="305" l="1"/>
  <c r="B27" i="318"/>
  <c r="N136" i="305"/>
  <c r="B28" i="318" l="1"/>
  <c r="B38" i="318" s="1"/>
  <c r="G27" i="318"/>
  <c r="H27" i="318" s="1"/>
  <c r="E92" i="92" l="1"/>
  <c r="E104" i="92" s="1"/>
  <c r="D15" i="94" s="1"/>
  <c r="D15" i="318"/>
  <c r="E67" i="305"/>
  <c r="D67" i="305"/>
  <c r="D92" i="92" l="1"/>
  <c r="D104" i="92" s="1"/>
  <c r="C15" i="94" s="1"/>
  <c r="E15" i="94" s="1"/>
  <c r="C15" i="318"/>
  <c r="G15" i="318" l="1"/>
  <c r="E15" i="318"/>
  <c r="D18" i="95"/>
  <c r="H15" i="318" l="1"/>
  <c r="B14" i="318"/>
  <c r="B19" i="318" s="1"/>
  <c r="B37" i="318" s="1"/>
  <c r="E14" i="318" l="1"/>
  <c r="G14" i="318"/>
  <c r="C74" i="92"/>
  <c r="F74" i="92" s="1"/>
  <c r="F59" i="305"/>
  <c r="H14" i="318" l="1"/>
  <c r="F67" i="305"/>
  <c r="F14" i="318" s="1"/>
  <c r="F60" i="305"/>
  <c r="F298" i="311" l="1"/>
  <c r="E298" i="311"/>
  <c r="G293" i="311" l="1"/>
  <c r="A244" i="311" l="1"/>
  <c r="F222" i="311"/>
  <c r="E220" i="311" l="1"/>
  <c r="G216" i="311" s="1"/>
  <c r="A220" i="311"/>
  <c r="D22" i="318" l="1"/>
  <c r="E179" i="92"/>
  <c r="E191" i="92" s="1"/>
  <c r="E230" i="92" l="1"/>
  <c r="E242" i="92" s="1"/>
  <c r="D24" i="94" s="1"/>
  <c r="D110" i="92"/>
  <c r="D122" i="92" l="1"/>
  <c r="C16" i="94" s="1"/>
  <c r="D11" i="318" l="1"/>
  <c r="E24" i="92"/>
  <c r="E36" i="92" s="1"/>
  <c r="A74" i="311" l="1"/>
  <c r="A92" i="311" s="1"/>
  <c r="A110" i="311" s="1"/>
  <c r="A116" i="311" s="1"/>
  <c r="F70" i="311"/>
  <c r="A5" i="311"/>
  <c r="A7" i="311" s="1"/>
  <c r="A12" i="311" l="1"/>
  <c r="A18" i="311" s="1"/>
  <c r="A23" i="311" s="1"/>
  <c r="A33" i="311" s="1"/>
  <c r="A42" i="311" s="1"/>
  <c r="A48" i="311" s="1"/>
  <c r="A54" i="311" s="1"/>
  <c r="F139" i="311"/>
  <c r="F408" i="311" s="1"/>
  <c r="A410" i="311" s="1"/>
  <c r="A141" i="311"/>
  <c r="A143" i="311" l="1"/>
  <c r="A308" i="311"/>
  <c r="A157" i="311" l="1"/>
  <c r="A162" i="311" s="1"/>
  <c r="A168" i="311" s="1"/>
  <c r="A184" i="311" s="1"/>
  <c r="A412" i="311" s="1"/>
  <c r="A416" i="311" s="1"/>
  <c r="A148" i="311"/>
  <c r="F306" i="311"/>
  <c r="F349" i="311" s="1"/>
  <c r="A353" i="311"/>
  <c r="A351" i="311" l="1"/>
  <c r="K37" i="162"/>
  <c r="I37" i="162"/>
  <c r="G37" i="162"/>
  <c r="L37" i="162" l="1"/>
  <c r="K36" i="162"/>
  <c r="I36" i="162"/>
  <c r="G36" i="162"/>
  <c r="K35" i="162"/>
  <c r="I35" i="162"/>
  <c r="G35" i="162"/>
  <c r="K34" i="162"/>
  <c r="I34" i="162"/>
  <c r="G34" i="162"/>
  <c r="K33" i="162"/>
  <c r="I33" i="162"/>
  <c r="H33" i="162"/>
  <c r="G33" i="162"/>
  <c r="K40" i="162" l="1"/>
  <c r="I40" i="162"/>
  <c r="D40" i="162"/>
  <c r="G40" i="162"/>
  <c r="L36" i="162"/>
  <c r="L35" i="162"/>
  <c r="L34" i="162"/>
  <c r="O40" i="162"/>
  <c r="C28" i="162"/>
  <c r="P60" i="311" l="1"/>
  <c r="C40" i="162"/>
  <c r="L33" i="162"/>
  <c r="L40" i="162" s="1"/>
  <c r="O26" i="162"/>
  <c r="N26" i="162"/>
  <c r="M26" i="162"/>
  <c r="K26" i="162"/>
  <c r="I26" i="162"/>
  <c r="H26" i="162"/>
  <c r="G26" i="162"/>
  <c r="D26" i="162"/>
  <c r="C26" i="162"/>
  <c r="D128" i="92" l="1"/>
  <c r="D140" i="92" s="1"/>
  <c r="C17" i="94" s="1"/>
  <c r="E17" i="94" s="1"/>
  <c r="Q26" i="162"/>
  <c r="R26" i="162"/>
  <c r="P26" i="162"/>
  <c r="L26" i="162"/>
  <c r="N99" i="305" l="1"/>
  <c r="N100" i="305" s="1"/>
  <c r="N101" i="305" s="1"/>
  <c r="N102" i="305" s="1"/>
  <c r="N103" i="305" s="1"/>
  <c r="N104" i="305" s="1"/>
  <c r="N105" i="305"/>
  <c r="C426" i="311" s="1"/>
  <c r="D162" i="92"/>
  <c r="D174" i="92" s="1"/>
  <c r="C20" i="94" s="1"/>
  <c r="E162" i="92" l="1"/>
  <c r="E174" i="92" s="1"/>
  <c r="D20" i="94" s="1"/>
  <c r="E20" i="94" s="1"/>
  <c r="C16" i="162"/>
  <c r="O15" i="162"/>
  <c r="N27" i="162"/>
  <c r="M15" i="162"/>
  <c r="P83" i="305" s="1"/>
  <c r="K15" i="162"/>
  <c r="K16" i="162" s="1"/>
  <c r="I15" i="162"/>
  <c r="H15" i="162"/>
  <c r="G27" i="162"/>
  <c r="G28" i="162" s="1"/>
  <c r="O27" i="162" l="1"/>
  <c r="K27" i="162"/>
  <c r="K28" i="162" s="1"/>
  <c r="O83" i="305"/>
  <c r="M27" i="162"/>
  <c r="I27" i="162"/>
  <c r="F15" i="162"/>
  <c r="E15" i="162"/>
  <c r="D15" i="162"/>
  <c r="I28" i="162" l="1"/>
  <c r="D27" i="162"/>
  <c r="D28" i="162" s="1"/>
  <c r="C15" i="162"/>
  <c r="R39" i="162" l="1"/>
  <c r="Q39" i="162" l="1"/>
  <c r="R37" i="162"/>
  <c r="Q37" i="162"/>
  <c r="R11" i="162"/>
  <c r="R36" i="162" s="1"/>
  <c r="Q11" i="162"/>
  <c r="Q36" i="162" s="1"/>
  <c r="R35" i="162"/>
  <c r="Q10" i="162"/>
  <c r="Q35" i="162" s="1"/>
  <c r="Q9" i="162"/>
  <c r="Q34" i="162" s="1"/>
  <c r="P9" i="162"/>
  <c r="R8" i="162"/>
  <c r="Q8" i="162"/>
  <c r="L69" i="15"/>
  <c r="E69" i="15"/>
  <c r="K66" i="15"/>
  <c r="D66" i="15"/>
  <c r="M65" i="15"/>
  <c r="F65" i="15"/>
  <c r="L62" i="15"/>
  <c r="E62" i="15"/>
  <c r="K59" i="15"/>
  <c r="D59" i="15"/>
  <c r="M58" i="15"/>
  <c r="F58" i="15"/>
  <c r="F59" i="15" s="1"/>
  <c r="L55" i="15"/>
  <c r="E55" i="15"/>
  <c r="K52" i="15"/>
  <c r="D52" i="15"/>
  <c r="M51" i="15"/>
  <c r="F51" i="15"/>
  <c r="L46" i="15"/>
  <c r="E46" i="15"/>
  <c r="K43" i="15"/>
  <c r="D43" i="15"/>
  <c r="M42" i="15"/>
  <c r="F42" i="15"/>
  <c r="F43" i="15" s="1"/>
  <c r="H40" i="15"/>
  <c r="A40" i="15"/>
  <c r="L39" i="15"/>
  <c r="E39" i="15"/>
  <c r="K36" i="15"/>
  <c r="D36" i="15"/>
  <c r="M35" i="15"/>
  <c r="F35" i="15"/>
  <c r="F36" i="15" s="1"/>
  <c r="H33" i="15"/>
  <c r="A33" i="15"/>
  <c r="L32" i="15"/>
  <c r="E32" i="15"/>
  <c r="K29" i="15"/>
  <c r="D29" i="15"/>
  <c r="M28" i="15"/>
  <c r="F28" i="15"/>
  <c r="F29" i="15" s="1"/>
  <c r="H26" i="15"/>
  <c r="A26" i="15"/>
  <c r="L23" i="15"/>
  <c r="E23" i="15"/>
  <c r="K20" i="15"/>
  <c r="D20" i="15"/>
  <c r="M19" i="15"/>
  <c r="F19" i="15"/>
  <c r="F20" i="15" s="1"/>
  <c r="L16" i="15"/>
  <c r="E16" i="15"/>
  <c r="K13" i="15"/>
  <c r="D13" i="15"/>
  <c r="M12" i="15"/>
  <c r="F12" i="15"/>
  <c r="L9" i="15"/>
  <c r="E9" i="15"/>
  <c r="K6" i="15"/>
  <c r="D6" i="15"/>
  <c r="M5" i="15"/>
  <c r="F5" i="15"/>
  <c r="F6" i="15" s="1"/>
  <c r="B6" i="5"/>
  <c r="C276" i="4"/>
  <c r="B23" i="5" s="1"/>
  <c r="C275" i="4"/>
  <c r="B22" i="5" s="1"/>
  <c r="C274" i="4"/>
  <c r="B21" i="5" s="1"/>
  <c r="C273" i="4"/>
  <c r="B20" i="5" s="1"/>
  <c r="C272" i="4"/>
  <c r="B19" i="5" s="1"/>
  <c r="C271" i="4"/>
  <c r="B18" i="5" s="1"/>
  <c r="C270" i="4"/>
  <c r="B17" i="5" s="1"/>
  <c r="C269" i="4"/>
  <c r="B16" i="5" s="1"/>
  <c r="C268" i="4"/>
  <c r="B15" i="5" s="1"/>
  <c r="C267" i="4"/>
  <c r="B14" i="5" s="1"/>
  <c r="C266" i="4"/>
  <c r="B13" i="5" s="1"/>
  <c r="C265" i="4"/>
  <c r="B12" i="5" s="1"/>
  <c r="C264" i="4"/>
  <c r="B11" i="5" s="1"/>
  <c r="C263" i="4"/>
  <c r="E231" i="4"/>
  <c r="D231" i="4"/>
  <c r="C230" i="4"/>
  <c r="E214" i="4"/>
  <c r="D214" i="4"/>
  <c r="C213" i="4"/>
  <c r="E197" i="4"/>
  <c r="D197" i="4"/>
  <c r="C196" i="4"/>
  <c r="E180" i="4"/>
  <c r="D180" i="4"/>
  <c r="C179" i="4"/>
  <c r="E163" i="4"/>
  <c r="D163" i="4"/>
  <c r="C162" i="4"/>
  <c r="E146" i="4"/>
  <c r="D146" i="4"/>
  <c r="C145" i="4"/>
  <c r="E129" i="4"/>
  <c r="D129" i="4"/>
  <c r="C128" i="4"/>
  <c r="E112" i="4"/>
  <c r="D112" i="4"/>
  <c r="C111" i="4"/>
  <c r="E95" i="4"/>
  <c r="D95" i="4"/>
  <c r="C94" i="4"/>
  <c r="E78" i="4"/>
  <c r="D78" i="4"/>
  <c r="C77" i="4"/>
  <c r="E61" i="4"/>
  <c r="D61" i="4"/>
  <c r="C60" i="4"/>
  <c r="E44" i="4"/>
  <c r="D44" i="4"/>
  <c r="C43" i="4"/>
  <c r="E27" i="4"/>
  <c r="D27" i="4"/>
  <c r="C26" i="4"/>
  <c r="E10" i="4"/>
  <c r="D10" i="4"/>
  <c r="C9" i="4"/>
  <c r="M52" i="15" l="1"/>
  <c r="R34" i="162"/>
  <c r="F13" i="15"/>
  <c r="F52" i="15"/>
  <c r="F66" i="15"/>
  <c r="M6" i="15"/>
  <c r="M20" i="15"/>
  <c r="M36" i="15"/>
  <c r="F26" i="4"/>
  <c r="E39" i="4"/>
  <c r="F60" i="4"/>
  <c r="E73" i="4"/>
  <c r="E266" i="4" s="1"/>
  <c r="D13" i="5" s="1"/>
  <c r="F94" i="4"/>
  <c r="E107" i="4"/>
  <c r="F128" i="4"/>
  <c r="E141" i="4"/>
  <c r="F162" i="4"/>
  <c r="E175" i="4"/>
  <c r="F196" i="4"/>
  <c r="E209" i="4"/>
  <c r="F230" i="4"/>
  <c r="E243" i="4"/>
  <c r="M66" i="15"/>
  <c r="D39" i="4"/>
  <c r="K9" i="15"/>
  <c r="M13" i="15"/>
  <c r="K23" i="15"/>
  <c r="M29" i="15"/>
  <c r="K39" i="15"/>
  <c r="M39" i="15" s="1"/>
  <c r="M43" i="15"/>
  <c r="K55" i="15"/>
  <c r="M59" i="15"/>
  <c r="K69" i="15"/>
  <c r="M69" i="15" s="1"/>
  <c r="K16" i="15"/>
  <c r="M16" i="15" s="1"/>
  <c r="K32" i="15"/>
  <c r="M32" i="15" s="1"/>
  <c r="K46" i="15"/>
  <c r="K62" i="15"/>
  <c r="F9" i="4"/>
  <c r="E22" i="4"/>
  <c r="D22" i="4" s="1"/>
  <c r="F43" i="4"/>
  <c r="E56" i="4"/>
  <c r="F77" i="4"/>
  <c r="E90" i="4"/>
  <c r="D90" i="4" s="1"/>
  <c r="F111" i="4"/>
  <c r="E124" i="4"/>
  <c r="D124" i="4" s="1"/>
  <c r="F145" i="4"/>
  <c r="E158" i="4"/>
  <c r="D158" i="4" s="1"/>
  <c r="F179" i="4"/>
  <c r="E192" i="4"/>
  <c r="D192" i="4" s="1"/>
  <c r="F213" i="4"/>
  <c r="E226" i="4"/>
  <c r="D226" i="4" s="1"/>
  <c r="D9" i="15"/>
  <c r="F9" i="15" s="1"/>
  <c r="M9" i="15"/>
  <c r="D16" i="15"/>
  <c r="F16" i="15" s="1"/>
  <c r="D23" i="15"/>
  <c r="F23" i="15" s="1"/>
  <c r="D32" i="15"/>
  <c r="F32" i="15" s="1"/>
  <c r="D39" i="15"/>
  <c r="F39" i="15" s="1"/>
  <c r="D46" i="15"/>
  <c r="F46" i="15" s="1"/>
  <c r="H49" i="15"/>
  <c r="A49" i="15" s="1"/>
  <c r="D55" i="15"/>
  <c r="F55" i="15" s="1"/>
  <c r="H56" i="15"/>
  <c r="A56" i="15" s="1"/>
  <c r="D62" i="15"/>
  <c r="F62" i="15" s="1"/>
  <c r="H63" i="15"/>
  <c r="A63" i="15" s="1"/>
  <c r="D69" i="15"/>
  <c r="F69" i="15" s="1"/>
  <c r="D73" i="4"/>
  <c r="D107" i="4"/>
  <c r="D141" i="4"/>
  <c r="D175" i="4"/>
  <c r="D209" i="4"/>
  <c r="D243" i="4"/>
  <c r="C277" i="4"/>
  <c r="Q33" i="162"/>
  <c r="Q15" i="162"/>
  <c r="R33" i="162"/>
  <c r="R40" i="162" s="1"/>
  <c r="R15" i="162"/>
  <c r="D20" i="318"/>
  <c r="C12" i="318"/>
  <c r="D12" i="318"/>
  <c r="C22" i="318"/>
  <c r="E22" i="318" s="1"/>
  <c r="F61" i="305"/>
  <c r="F62" i="305" s="1"/>
  <c r="F63" i="305" s="1"/>
  <c r="F64" i="305" s="1"/>
  <c r="F65" i="305" s="1"/>
  <c r="F66" i="305" s="1"/>
  <c r="D26" i="318"/>
  <c r="C16" i="318"/>
  <c r="C18" i="318"/>
  <c r="D18" i="318"/>
  <c r="C21" i="318"/>
  <c r="D21" i="318"/>
  <c r="D25" i="318"/>
  <c r="C26" i="318"/>
  <c r="H29" i="318"/>
  <c r="E75" i="92"/>
  <c r="E87" i="92" s="1"/>
  <c r="D14" i="94" s="1"/>
  <c r="D75" i="92"/>
  <c r="D87" i="92" s="1"/>
  <c r="C14" i="94" s="1"/>
  <c r="F212" i="92"/>
  <c r="F213" i="92" s="1"/>
  <c r="F214" i="92" s="1"/>
  <c r="F215" i="92" s="1"/>
  <c r="F216" i="92" s="1"/>
  <c r="F217" i="92" s="1"/>
  <c r="F218" i="92" s="1"/>
  <c r="F219" i="92" s="1"/>
  <c r="F220" i="92" s="1"/>
  <c r="F221" i="92" s="1"/>
  <c r="F222" i="92" s="1"/>
  <c r="F223" i="92" s="1"/>
  <c r="F224" i="92" s="1"/>
  <c r="F23" i="94" s="1"/>
  <c r="D259" i="92"/>
  <c r="C25" i="94" s="1"/>
  <c r="D11" i="94"/>
  <c r="D21" i="94"/>
  <c r="I10" i="95"/>
  <c r="D23" i="95"/>
  <c r="A357" i="311"/>
  <c r="I11" i="144" l="1"/>
  <c r="P157" i="305"/>
  <c r="L17" i="162"/>
  <c r="P105" i="305"/>
  <c r="Q105" i="305" s="1"/>
  <c r="M62" i="15"/>
  <c r="M55" i="15"/>
  <c r="F75" i="92"/>
  <c r="F76" i="92" s="1"/>
  <c r="F77" i="92" s="1"/>
  <c r="F78" i="92" s="1"/>
  <c r="F79" i="92" s="1"/>
  <c r="F80" i="92" s="1"/>
  <c r="F81" i="92" s="1"/>
  <c r="F82" i="92" s="1"/>
  <c r="F83" i="92" s="1"/>
  <c r="F84" i="92" s="1"/>
  <c r="F85" i="92" s="1"/>
  <c r="F86" i="92" s="1"/>
  <c r="G86" i="92" s="1"/>
  <c r="O157" i="305"/>
  <c r="O105" i="305"/>
  <c r="D266" i="4"/>
  <c r="D56" i="4"/>
  <c r="E265" i="4"/>
  <c r="D12" i="5" s="1"/>
  <c r="E18" i="318"/>
  <c r="D25" i="144" s="1"/>
  <c r="G18" i="318"/>
  <c r="E41" i="92"/>
  <c r="E53" i="92" s="1"/>
  <c r="D12" i="94" s="1"/>
  <c r="G26" i="318"/>
  <c r="E145" i="92"/>
  <c r="E157" i="92" s="1"/>
  <c r="D19" i="94" s="1"/>
  <c r="D179" i="92"/>
  <c r="D191" i="92" s="1"/>
  <c r="C21" i="94" s="1"/>
  <c r="E21" i="94" s="1"/>
  <c r="I11" i="95" s="1"/>
  <c r="E247" i="92"/>
  <c r="E259" i="92" s="1"/>
  <c r="D25" i="94" s="1"/>
  <c r="E25" i="94" s="1"/>
  <c r="I23" i="95" s="1"/>
  <c r="K23" i="95" s="1"/>
  <c r="Q40" i="162"/>
  <c r="Q27" i="162"/>
  <c r="Q28" i="162" s="1"/>
  <c r="R27" i="162"/>
  <c r="R28" i="162" s="1"/>
  <c r="L27" i="162"/>
  <c r="P27" i="162" s="1"/>
  <c r="P28" i="162" s="1"/>
  <c r="P15" i="162"/>
  <c r="E14" i="94"/>
  <c r="E21" i="318"/>
  <c r="D41" i="92"/>
  <c r="D53" i="92" s="1"/>
  <c r="C12" i="94" s="1"/>
  <c r="G21" i="318"/>
  <c r="G22" i="318"/>
  <c r="H22" i="318" s="1"/>
  <c r="E12" i="318"/>
  <c r="D11" i="144" s="1"/>
  <c r="D24" i="92"/>
  <c r="C11" i="318"/>
  <c r="E26" i="318"/>
  <c r="I25" i="144" s="1"/>
  <c r="G12" i="318"/>
  <c r="D16" i="318"/>
  <c r="E16" i="318" s="1"/>
  <c r="D22" i="144" s="1"/>
  <c r="D230" i="92"/>
  <c r="D242" i="92" s="1"/>
  <c r="C24" i="94" s="1"/>
  <c r="E24" i="94" s="1"/>
  <c r="I17" i="95" s="1"/>
  <c r="C25" i="318"/>
  <c r="G432" i="311" l="1"/>
  <c r="S15" i="162"/>
  <c r="I10" i="144"/>
  <c r="K27" i="144"/>
  <c r="K16" i="144"/>
  <c r="M48" i="15"/>
  <c r="M46" i="15" s="1"/>
  <c r="M25" i="15" s="1"/>
  <c r="M23" i="15" s="1"/>
  <c r="N2" i="15" s="1"/>
  <c r="P42" i="305"/>
  <c r="P121" i="305"/>
  <c r="H18" i="318"/>
  <c r="F14" i="94"/>
  <c r="O28" i="162"/>
  <c r="N28" i="162" s="1"/>
  <c r="M28" i="162" s="1"/>
  <c r="L28" i="162" s="1"/>
  <c r="D265" i="4"/>
  <c r="O121" i="305"/>
  <c r="F266" i="4"/>
  <c r="C13" i="5"/>
  <c r="E13" i="5" s="1"/>
  <c r="E12" i="94"/>
  <c r="D11" i="95" s="1"/>
  <c r="H21" i="318"/>
  <c r="I24" i="95"/>
  <c r="H12" i="318"/>
  <c r="P17" i="162"/>
  <c r="D17" i="95"/>
  <c r="G217" i="311"/>
  <c r="E110" i="92"/>
  <c r="H26" i="318"/>
  <c r="K26" i="144"/>
  <c r="D36" i="92"/>
  <c r="C11" i="94" s="1"/>
  <c r="E11" i="94" s="1"/>
  <c r="G11" i="318"/>
  <c r="E11" i="318"/>
  <c r="D10" i="144" s="1"/>
  <c r="K20" i="144"/>
  <c r="K22" i="144" s="1"/>
  <c r="G25" i="318"/>
  <c r="E25" i="318"/>
  <c r="G16" i="318"/>
  <c r="H16" i="318" s="1"/>
  <c r="K32" i="144" l="1"/>
  <c r="K28" i="144"/>
  <c r="C12" i="5"/>
  <c r="E12" i="5" s="1"/>
  <c r="F265" i="4"/>
  <c r="D10" i="95"/>
  <c r="E122" i="92"/>
  <c r="D16" i="94" s="1"/>
  <c r="E16" i="94" s="1"/>
  <c r="H11" i="318"/>
  <c r="H25" i="318"/>
  <c r="D21" i="95" l="1"/>
  <c r="N137" i="305" l="1"/>
  <c r="N138" i="305" s="1"/>
  <c r="N140" i="305" l="1"/>
  <c r="N139" i="305"/>
  <c r="B40" i="92"/>
  <c r="D145" i="92" l="1"/>
  <c r="D157" i="92" s="1"/>
  <c r="C19" i="94" s="1"/>
  <c r="E19" i="94" s="1"/>
  <c r="I9" i="95" s="1"/>
  <c r="K9" i="95" s="1"/>
  <c r="C20" i="318"/>
  <c r="B57" i="92"/>
  <c r="B74" i="92" s="1"/>
  <c r="B91" i="92" s="1"/>
  <c r="B109" i="92" s="1"/>
  <c r="E20" i="318" l="1"/>
  <c r="I9" i="144" s="1"/>
  <c r="G20" i="318"/>
  <c r="F6" i="318"/>
  <c r="B144" i="92"/>
  <c r="B161" i="92" s="1"/>
  <c r="B178" i="92" s="1"/>
  <c r="B195" i="92" s="1"/>
  <c r="B212" i="92" s="1"/>
  <c r="B229" i="92" s="1"/>
  <c r="B246" i="92" s="1"/>
  <c r="B127" i="92"/>
  <c r="C127" i="92"/>
  <c r="F127" i="92" s="1"/>
  <c r="F128" i="92" s="1"/>
  <c r="F129" i="92" s="1"/>
  <c r="F130" i="92" s="1"/>
  <c r="F131" i="92" s="1"/>
  <c r="F132" i="92" s="1"/>
  <c r="F133" i="92" s="1"/>
  <c r="F134" i="92" s="1"/>
  <c r="F135" i="92" s="1"/>
  <c r="F136" i="92" s="1"/>
  <c r="F137" i="92" s="1"/>
  <c r="F138" i="92" s="1"/>
  <c r="F139" i="92" s="1"/>
  <c r="N75" i="305"/>
  <c r="N83" i="305"/>
  <c r="Q83" i="305" l="1"/>
  <c r="B14" i="342"/>
  <c r="H20" i="318"/>
  <c r="N76" i="305"/>
  <c r="N77" i="305" s="1"/>
  <c r="N78" i="305" s="1"/>
  <c r="N79" i="305" s="1"/>
  <c r="N80" i="305" s="1"/>
  <c r="N81" i="305" s="1"/>
  <c r="N82" i="305" s="1"/>
  <c r="F17" i="94"/>
  <c r="G139" i="92"/>
  <c r="F18" i="318"/>
  <c r="C161" i="92" l="1"/>
  <c r="F161" i="92" s="1"/>
  <c r="F162" i="92" s="1"/>
  <c r="F163" i="92" s="1"/>
  <c r="F164" i="92" s="1"/>
  <c r="F165" i="92" s="1"/>
  <c r="F166" i="92" s="1"/>
  <c r="F167" i="92" s="1"/>
  <c r="F168" i="92" s="1"/>
  <c r="F169" i="92" s="1"/>
  <c r="F170" i="92" s="1"/>
  <c r="F171" i="92" s="1"/>
  <c r="F172" i="92" s="1"/>
  <c r="F173" i="92" s="1"/>
  <c r="F21" i="318" l="1"/>
  <c r="F20" i="94"/>
  <c r="G173" i="92"/>
  <c r="F146" i="305" l="1"/>
  <c r="F147" i="305" s="1"/>
  <c r="F148" i="305" s="1"/>
  <c r="F149" i="305" s="1"/>
  <c r="F150" i="305" s="1"/>
  <c r="F151" i="305" s="1"/>
  <c r="F152" i="305" s="1"/>
  <c r="F153" i="305" s="1"/>
  <c r="F154" i="305" s="1"/>
  <c r="F155" i="305" s="1"/>
  <c r="F156" i="305" s="1"/>
  <c r="F157" i="305" s="1"/>
  <c r="C229" i="92"/>
  <c r="F229" i="92" s="1"/>
  <c r="F230" i="92" s="1"/>
  <c r="F231" i="92" s="1"/>
  <c r="F232" i="92" s="1"/>
  <c r="F233" i="92" s="1"/>
  <c r="F234" i="92" s="1"/>
  <c r="F235" i="92" s="1"/>
  <c r="F236" i="92" s="1"/>
  <c r="F237" i="92" s="1"/>
  <c r="F238" i="92" s="1"/>
  <c r="F239" i="92" s="1"/>
  <c r="F240" i="92" s="1"/>
  <c r="F241" i="92" s="1"/>
  <c r="F24" i="94" s="1"/>
  <c r="I18" i="144" l="1"/>
  <c r="I27" i="144" s="1"/>
  <c r="C23" i="92"/>
  <c r="F23" i="92" s="1"/>
  <c r="F24" i="92" s="1"/>
  <c r="F25" i="92" s="1"/>
  <c r="F26" i="92" s="1"/>
  <c r="F27" i="92" s="1"/>
  <c r="F28" i="92" s="1"/>
  <c r="F29" i="92" s="1"/>
  <c r="F30" i="92" s="1"/>
  <c r="F31" i="92" s="1"/>
  <c r="F32" i="92" s="1"/>
  <c r="F33" i="92" s="1"/>
  <c r="F34" i="92" s="1"/>
  <c r="F35" i="92" s="1"/>
  <c r="N10" i="305"/>
  <c r="N11" i="305" s="1"/>
  <c r="N12" i="305" s="1"/>
  <c r="N13" i="305" s="1"/>
  <c r="N14" i="305" s="1"/>
  <c r="N15" i="305" s="1"/>
  <c r="N16" i="305" s="1"/>
  <c r="N17" i="305" s="1"/>
  <c r="N18" i="305" s="1"/>
  <c r="N19" i="305" s="1"/>
  <c r="N20" i="305" s="1"/>
  <c r="N21" i="305" s="1"/>
  <c r="N22" i="305" s="1"/>
  <c r="N23" i="305" s="1"/>
  <c r="N24" i="305" s="1"/>
  <c r="N25" i="305" s="1"/>
  <c r="N26" i="305"/>
  <c r="C91" i="92"/>
  <c r="F91" i="92" s="1"/>
  <c r="F92" i="92" s="1"/>
  <c r="F93" i="92" s="1"/>
  <c r="F94" i="92" s="1"/>
  <c r="F95" i="92" s="1"/>
  <c r="F96" i="92" s="1"/>
  <c r="F97" i="92" s="1"/>
  <c r="F98" i="92" s="1"/>
  <c r="F99" i="92" s="1"/>
  <c r="F100" i="92" s="1"/>
  <c r="F101" i="92" s="1"/>
  <c r="F102" i="92" s="1"/>
  <c r="F103" i="92" s="1"/>
  <c r="N59" i="305"/>
  <c r="N60" i="305" s="1"/>
  <c r="N61" i="305" s="1"/>
  <c r="N62" i="305" s="1"/>
  <c r="N63" i="305" s="1"/>
  <c r="N64" i="305" s="1"/>
  <c r="N65" i="305" s="1"/>
  <c r="N66" i="305" s="1"/>
  <c r="N67" i="305" s="1"/>
  <c r="C421" i="311" l="1"/>
  <c r="D25" i="340"/>
  <c r="D26" i="340" s="1"/>
  <c r="D19" i="340"/>
  <c r="D20" i="340" s="1"/>
  <c r="Q67" i="305"/>
  <c r="F25" i="318"/>
  <c r="F15" i="318"/>
  <c r="F11" i="318"/>
  <c r="G35" i="92"/>
  <c r="F11" i="94"/>
  <c r="G103" i="92"/>
  <c r="F15" i="94"/>
  <c r="C246" i="92"/>
  <c r="F246" i="92" s="1"/>
  <c r="F247" i="92" s="1"/>
  <c r="F248" i="92" s="1"/>
  <c r="F249" i="92" s="1"/>
  <c r="F250" i="92" s="1"/>
  <c r="F251" i="92" s="1"/>
  <c r="F252" i="92" s="1"/>
  <c r="F253" i="92" s="1"/>
  <c r="F254" i="92" s="1"/>
  <c r="F255" i="92" s="1"/>
  <c r="F256" i="92" s="1"/>
  <c r="F257" i="92" s="1"/>
  <c r="F258" i="92" s="1"/>
  <c r="F25" i="94" s="1"/>
  <c r="N146" i="305"/>
  <c r="N147" i="305" l="1"/>
  <c r="N148" i="305" s="1"/>
  <c r="N149" i="305" s="1"/>
  <c r="N150" i="305" s="1"/>
  <c r="N151" i="305" s="1"/>
  <c r="N152" i="305" s="1"/>
  <c r="N153" i="305" s="1"/>
  <c r="N154" i="305" s="1"/>
  <c r="N155" i="305" s="1"/>
  <c r="N156" i="305" s="1"/>
  <c r="F75" i="305"/>
  <c r="C109" i="92"/>
  <c r="F109" i="92" s="1"/>
  <c r="F110" i="92" s="1"/>
  <c r="F111" i="92" s="1"/>
  <c r="F112" i="92" s="1"/>
  <c r="F113" i="92" s="1"/>
  <c r="F114" i="92" s="1"/>
  <c r="F115" i="92" s="1"/>
  <c r="F116" i="92" s="1"/>
  <c r="F117" i="92" s="1"/>
  <c r="F118" i="92" s="1"/>
  <c r="F119" i="92" s="1"/>
  <c r="F120" i="92" s="1"/>
  <c r="F121" i="92" s="1"/>
  <c r="N157" i="305" l="1"/>
  <c r="F16" i="94"/>
  <c r="F83" i="305"/>
  <c r="F76" i="305"/>
  <c r="F77" i="305" s="1"/>
  <c r="F78" i="305" s="1"/>
  <c r="F79" i="305" s="1"/>
  <c r="F80" i="305" s="1"/>
  <c r="F81" i="305" s="1"/>
  <c r="F82" i="305" s="1"/>
  <c r="Q157" i="305" l="1"/>
  <c r="D15" i="342"/>
  <c r="D21" i="342"/>
  <c r="F26" i="318"/>
  <c r="F16" i="318"/>
  <c r="G121" i="92"/>
  <c r="C40" i="92" l="1"/>
  <c r="F40" i="92" s="1"/>
  <c r="F41" i="92" s="1"/>
  <c r="F42" i="92" s="1"/>
  <c r="F43" i="92" s="1"/>
  <c r="F44" i="92" s="1"/>
  <c r="F45" i="92" s="1"/>
  <c r="F46" i="92" s="1"/>
  <c r="F47" i="92" s="1"/>
  <c r="F48" i="92" s="1"/>
  <c r="F49" i="92" s="1"/>
  <c r="F50" i="92" s="1"/>
  <c r="F51" i="92" s="1"/>
  <c r="F52" i="92" s="1"/>
  <c r="F32" i="305"/>
  <c r="F111" i="305"/>
  <c r="F112" i="305" s="1"/>
  <c r="F113" i="305" s="1"/>
  <c r="F114" i="305" s="1"/>
  <c r="F115" i="305" s="1"/>
  <c r="F116" i="305" s="1"/>
  <c r="F117" i="305" s="1"/>
  <c r="F118" i="305" s="1"/>
  <c r="F119" i="305" s="1"/>
  <c r="F120" i="305" s="1"/>
  <c r="C178" i="92"/>
  <c r="F178" i="92" s="1"/>
  <c r="F179" i="92" s="1"/>
  <c r="F180" i="92" s="1"/>
  <c r="F181" i="92" s="1"/>
  <c r="F182" i="92" s="1"/>
  <c r="F183" i="92" s="1"/>
  <c r="F184" i="92" s="1"/>
  <c r="F185" i="92" s="1"/>
  <c r="F186" i="92" s="1"/>
  <c r="F187" i="92" s="1"/>
  <c r="F188" i="92" s="1"/>
  <c r="F189" i="92" s="1"/>
  <c r="F190" i="92" s="1"/>
  <c r="F21" i="94" s="1"/>
  <c r="F121" i="305"/>
  <c r="C427" i="311" l="1"/>
  <c r="C18" i="339"/>
  <c r="F33" i="305"/>
  <c r="F34" i="305" s="1"/>
  <c r="F35" i="305" s="1"/>
  <c r="F36" i="305" s="1"/>
  <c r="F37" i="305" s="1"/>
  <c r="F38" i="305" s="1"/>
  <c r="F39" i="305" s="1"/>
  <c r="F40" i="305" s="1"/>
  <c r="F41" i="305" s="1"/>
  <c r="H5" i="318"/>
  <c r="F12" i="318"/>
  <c r="F22" i="318"/>
  <c r="F12" i="94"/>
  <c r="G52" i="92"/>
  <c r="C195" i="92" l="1"/>
  <c r="F195" i="92" s="1"/>
  <c r="N32" i="305" l="1"/>
  <c r="C57" i="92"/>
  <c r="F57" i="92" s="1"/>
  <c r="F27" i="318" l="1"/>
  <c r="F29" i="318" l="1"/>
  <c r="G19" i="318"/>
  <c r="N33" i="305" l="1"/>
  <c r="E58" i="92" l="1"/>
  <c r="E70" i="92" s="1"/>
  <c r="D13" i="94" s="1"/>
  <c r="D13" i="318"/>
  <c r="C23" i="318"/>
  <c r="D196" i="92"/>
  <c r="D208" i="92" l="1"/>
  <c r="C22" i="94" s="1"/>
  <c r="F105" i="305" l="1"/>
  <c r="C425" i="311" s="1"/>
  <c r="C428" i="311" s="1"/>
  <c r="F98" i="305"/>
  <c r="F99" i="305" s="1"/>
  <c r="F100" i="305" s="1"/>
  <c r="F101" i="305" s="1"/>
  <c r="F102" i="305" s="1"/>
  <c r="F103" i="305" s="1"/>
  <c r="F104" i="305" s="1"/>
  <c r="C144" i="92"/>
  <c r="F144" i="92" s="1"/>
  <c r="F145" i="92" s="1"/>
  <c r="F146" i="92" s="1"/>
  <c r="F147" i="92" s="1"/>
  <c r="F148" i="92" s="1"/>
  <c r="F149" i="92" s="1"/>
  <c r="F150" i="92" s="1"/>
  <c r="F151" i="92" s="1"/>
  <c r="F152" i="92" s="1"/>
  <c r="F153" i="92" s="1"/>
  <c r="F154" i="92" s="1"/>
  <c r="F155" i="92" s="1"/>
  <c r="F156" i="92" s="1"/>
  <c r="F19" i="94" l="1"/>
  <c r="G156" i="92"/>
  <c r="F20" i="318"/>
  <c r="F10" i="305" l="1"/>
  <c r="F11" i="305" s="1"/>
  <c r="F12" i="305" s="1"/>
  <c r="F13" i="305" s="1"/>
  <c r="F14" i="305" s="1"/>
  <c r="F15" i="305" s="1"/>
  <c r="F16" i="305" s="1"/>
  <c r="F17" i="305" s="1"/>
  <c r="F18" i="305" s="1"/>
  <c r="F19" i="305" s="1"/>
  <c r="F20" i="305" s="1"/>
  <c r="F21" i="305" s="1"/>
  <c r="F22" i="305" s="1"/>
  <c r="F23" i="305" s="1"/>
  <c r="F24" i="305" s="1"/>
  <c r="F25" i="305" s="1"/>
  <c r="C6" i="92" l="1"/>
  <c r="F6" i="92" s="1"/>
  <c r="F44" i="4" l="1"/>
  <c r="F45" i="4" s="1"/>
  <c r="F46" i="4" s="1"/>
  <c r="F47" i="4" s="1"/>
  <c r="F48" i="4" s="1"/>
  <c r="F49" i="4" s="1"/>
  <c r="F50" i="4" s="1"/>
  <c r="F51" i="4" s="1"/>
  <c r="F52" i="4" s="1"/>
  <c r="F53" i="4" s="1"/>
  <c r="F54" i="4" s="1"/>
  <c r="F55" i="4" s="1"/>
  <c r="F10" i="4"/>
  <c r="F11" i="4" s="1"/>
  <c r="F12" i="4" s="1"/>
  <c r="F13" i="4" s="1"/>
  <c r="F14" i="4" s="1"/>
  <c r="F15" i="4" s="1"/>
  <c r="F16" i="4" s="1"/>
  <c r="F17" i="4" s="1"/>
  <c r="F18" i="4" s="1"/>
  <c r="F19" i="4" s="1"/>
  <c r="F20" i="4" s="1"/>
  <c r="F21" i="4" s="1"/>
  <c r="F112" i="4"/>
  <c r="F113" i="4" s="1"/>
  <c r="F114" i="4" s="1"/>
  <c r="F115" i="4" s="1"/>
  <c r="F116" i="4" s="1"/>
  <c r="F117" i="4" s="1"/>
  <c r="F118" i="4" s="1"/>
  <c r="F119" i="4" s="1"/>
  <c r="F120" i="4" s="1"/>
  <c r="F121" i="4" s="1"/>
  <c r="F122" i="4" s="1"/>
  <c r="F123" i="4" s="1"/>
  <c r="F180" i="4"/>
  <c r="F181" i="4" s="1"/>
  <c r="F182" i="4" s="1"/>
  <c r="F183" i="4" s="1"/>
  <c r="F184" i="4" s="1"/>
  <c r="F185" i="4" s="1"/>
  <c r="F186" i="4" s="1"/>
  <c r="F187" i="4" s="1"/>
  <c r="F188" i="4" s="1"/>
  <c r="F189" i="4" s="1"/>
  <c r="F190" i="4" s="1"/>
  <c r="F191" i="4" s="1"/>
  <c r="F197" i="4"/>
  <c r="F198" i="4" s="1"/>
  <c r="F199" i="4" s="1"/>
  <c r="F200" i="4" s="1"/>
  <c r="F201" i="4" s="1"/>
  <c r="F202" i="4" s="1"/>
  <c r="F203" i="4" s="1"/>
  <c r="F204" i="4" s="1"/>
  <c r="F205" i="4" s="1"/>
  <c r="F206" i="4" s="1"/>
  <c r="F207" i="4" s="1"/>
  <c r="F208" i="4" s="1"/>
  <c r="F61" i="4"/>
  <c r="F62" i="4" s="1"/>
  <c r="F63" i="4" s="1"/>
  <c r="F64" i="4" s="1"/>
  <c r="F65" i="4" s="1"/>
  <c r="F66" i="4" s="1"/>
  <c r="F67" i="4" s="1"/>
  <c r="F68" i="4" s="1"/>
  <c r="F69" i="4" s="1"/>
  <c r="F70" i="4" s="1"/>
  <c r="F71" i="4" s="1"/>
  <c r="F72" i="4" s="1"/>
  <c r="M14" i="15"/>
  <c r="M15" i="15" s="1"/>
  <c r="F14" i="15"/>
  <c r="F15" i="15" s="1"/>
  <c r="M30" i="15"/>
  <c r="M31" i="15" s="1"/>
  <c r="F30" i="15"/>
  <c r="F31" i="15" s="1"/>
  <c r="M44" i="15"/>
  <c r="M45" i="15" s="1"/>
  <c r="F44" i="15"/>
  <c r="F45" i="15" s="1"/>
  <c r="M60" i="15"/>
  <c r="M61" i="15" s="1"/>
  <c r="F60" i="15"/>
  <c r="F61" i="15" s="1"/>
  <c r="F95" i="4"/>
  <c r="F96" i="4" s="1"/>
  <c r="F97" i="4" s="1"/>
  <c r="F98" i="4" s="1"/>
  <c r="F99" i="4" s="1"/>
  <c r="F100" i="4" s="1"/>
  <c r="F101" i="4" s="1"/>
  <c r="F102" i="4" s="1"/>
  <c r="F103" i="4" s="1"/>
  <c r="F104" i="4" s="1"/>
  <c r="F105" i="4" s="1"/>
  <c r="F106" i="4" s="1"/>
  <c r="F231" i="4"/>
  <c r="F232" i="4" s="1"/>
  <c r="F233" i="4" s="1"/>
  <c r="F234" i="4" s="1"/>
  <c r="F235" i="4" s="1"/>
  <c r="F236" i="4" s="1"/>
  <c r="F237" i="4" s="1"/>
  <c r="F238" i="4" s="1"/>
  <c r="F239" i="4" s="1"/>
  <c r="F240" i="4" s="1"/>
  <c r="F241" i="4" s="1"/>
  <c r="F242" i="4" s="1"/>
  <c r="F78" i="4"/>
  <c r="F79" i="4" s="1"/>
  <c r="F80" i="4" s="1"/>
  <c r="F81" i="4" s="1"/>
  <c r="F82" i="4" s="1"/>
  <c r="F83" i="4" s="1"/>
  <c r="F84" i="4" s="1"/>
  <c r="F85" i="4" s="1"/>
  <c r="F86" i="4" s="1"/>
  <c r="F87" i="4" s="1"/>
  <c r="F88" i="4" s="1"/>
  <c r="F89" i="4" s="1"/>
  <c r="F146" i="4"/>
  <c r="F147" i="4" s="1"/>
  <c r="F148" i="4" s="1"/>
  <c r="F149" i="4" s="1"/>
  <c r="F150" i="4" s="1"/>
  <c r="F151" i="4" s="1"/>
  <c r="F152" i="4" s="1"/>
  <c r="F153" i="4" s="1"/>
  <c r="F154" i="4" s="1"/>
  <c r="F155" i="4" s="1"/>
  <c r="F156" i="4" s="1"/>
  <c r="F157" i="4" s="1"/>
  <c r="F214" i="4"/>
  <c r="F215" i="4" s="1"/>
  <c r="F216" i="4" s="1"/>
  <c r="F217" i="4" s="1"/>
  <c r="F218" i="4" s="1"/>
  <c r="F219" i="4" s="1"/>
  <c r="F220" i="4" s="1"/>
  <c r="F221" i="4" s="1"/>
  <c r="F222" i="4" s="1"/>
  <c r="F223" i="4" s="1"/>
  <c r="F224" i="4" s="1"/>
  <c r="F225" i="4" s="1"/>
  <c r="F129" i="4"/>
  <c r="F130" i="4" s="1"/>
  <c r="F131" i="4" s="1"/>
  <c r="F132" i="4" s="1"/>
  <c r="F133" i="4" s="1"/>
  <c r="F134" i="4" s="1"/>
  <c r="F135" i="4" s="1"/>
  <c r="F136" i="4" s="1"/>
  <c r="F137" i="4" s="1"/>
  <c r="F138" i="4" s="1"/>
  <c r="F139" i="4" s="1"/>
  <c r="F140" i="4" s="1"/>
  <c r="M7" i="15"/>
  <c r="M8" i="15" s="1"/>
  <c r="F7" i="15"/>
  <c r="F8" i="15" s="1"/>
  <c r="M21" i="15"/>
  <c r="M22" i="15" s="1"/>
  <c r="F21" i="15"/>
  <c r="F22" i="15" s="1"/>
  <c r="M37" i="15"/>
  <c r="M38" i="15" s="1"/>
  <c r="F37" i="15"/>
  <c r="F38" i="15" s="1"/>
  <c r="M53" i="15"/>
  <c r="M54" i="15" s="1"/>
  <c r="F53" i="15"/>
  <c r="F54" i="15" s="1"/>
  <c r="M67" i="15"/>
  <c r="M68" i="15" s="1"/>
  <c r="F67" i="15"/>
  <c r="F68" i="15" s="1"/>
  <c r="F163" i="4"/>
  <c r="F164" i="4" s="1"/>
  <c r="F165" i="4" s="1"/>
  <c r="F166" i="4" s="1"/>
  <c r="F167" i="4" s="1"/>
  <c r="F168" i="4" s="1"/>
  <c r="F169" i="4" s="1"/>
  <c r="F170" i="4" s="1"/>
  <c r="F171" i="4" s="1"/>
  <c r="F172" i="4" s="1"/>
  <c r="F173" i="4" s="1"/>
  <c r="F174" i="4" s="1"/>
  <c r="D273" i="4"/>
  <c r="C20" i="5" s="1"/>
  <c r="E273" i="4"/>
  <c r="D20" i="5" s="1"/>
  <c r="D269" i="4"/>
  <c r="C16" i="5" s="1"/>
  <c r="E269" i="4"/>
  <c r="D16" i="5" s="1"/>
  <c r="B10" i="5"/>
  <c r="D263" i="4"/>
  <c r="C10" i="5" s="1"/>
  <c r="C24" i="5" s="1"/>
  <c r="E263" i="4"/>
  <c r="D10" i="5" s="1"/>
  <c r="D24" i="5" s="1"/>
  <c r="D276" i="4"/>
  <c r="C23" i="5" s="1"/>
  <c r="E276" i="4"/>
  <c r="D23" i="5" s="1"/>
  <c r="D268" i="4"/>
  <c r="C15" i="5" s="1"/>
  <c r="E268" i="4"/>
  <c r="D15" i="5" s="1"/>
  <c r="F27" i="4"/>
  <c r="F28" i="4" s="1"/>
  <c r="F29" i="4" s="1"/>
  <c r="F30" i="4" s="1"/>
  <c r="F31" i="4" s="1"/>
  <c r="F32" i="4" s="1"/>
  <c r="F33" i="4" s="1"/>
  <c r="F34" i="4" s="1"/>
  <c r="F35" i="4" s="1"/>
  <c r="F36" i="4" s="1"/>
  <c r="F37" i="4" s="1"/>
  <c r="F38" i="4" s="1"/>
  <c r="D274" i="4"/>
  <c r="C21" i="5" s="1"/>
  <c r="E274" i="4"/>
  <c r="D21" i="5" s="1"/>
  <c r="D270" i="4"/>
  <c r="C17" i="5" s="1"/>
  <c r="E270" i="4"/>
  <c r="D17" i="5" s="1"/>
  <c r="D272" i="4"/>
  <c r="C19" i="5" s="1"/>
  <c r="E272" i="4"/>
  <c r="D19" i="5" s="1"/>
  <c r="D264" i="4"/>
  <c r="C11" i="5" s="1"/>
  <c r="E264" i="4"/>
  <c r="D11" i="5" s="1"/>
  <c r="E267" i="4"/>
  <c r="D14" i="5" s="1"/>
  <c r="D267" i="4"/>
  <c r="C14" i="5" s="1"/>
  <c r="E271" i="4"/>
  <c r="D18" i="5" s="1"/>
  <c r="D271" i="4"/>
  <c r="C18" i="5" s="1"/>
  <c r="E275" i="4"/>
  <c r="D22" i="5" s="1"/>
  <c r="D275" i="4"/>
  <c r="C22" i="5" s="1"/>
  <c r="E277" i="4"/>
  <c r="F267" i="92"/>
  <c r="F268" i="92" s="1"/>
  <c r="F269" i="92" s="1"/>
  <c r="F270" i="92" s="1"/>
  <c r="F271" i="92" s="1"/>
  <c r="F272" i="92" s="1"/>
  <c r="F273" i="92" s="1"/>
  <c r="F274" i="92" s="1"/>
  <c r="F275" i="92" s="1"/>
  <c r="F276" i="92" s="1"/>
  <c r="F277" i="92" s="1"/>
  <c r="F273" i="4" l="1"/>
  <c r="F267" i="4"/>
  <c r="F268" i="4"/>
  <c r="F269" i="4"/>
  <c r="D277" i="4"/>
  <c r="F275" i="4"/>
  <c r="E18" i="5"/>
  <c r="F270" i="4"/>
  <c r="E14" i="5"/>
  <c r="F263" i="4"/>
  <c r="F277" i="4" s="1"/>
  <c r="E22" i="5"/>
  <c r="F276" i="4"/>
  <c r="F274" i="4"/>
  <c r="F264" i="4"/>
  <c r="E19" i="5"/>
  <c r="E21" i="5"/>
  <c r="E11" i="5"/>
  <c r="E17" i="5"/>
  <c r="F271" i="4"/>
  <c r="E15" i="5"/>
  <c r="E16" i="5"/>
  <c r="E23" i="5"/>
  <c r="E10" i="5"/>
  <c r="E24" i="5" s="1"/>
  <c r="E20" i="5"/>
  <c r="F272" i="4"/>
  <c r="B24" i="5"/>
  <c r="E7" i="92" l="1"/>
  <c r="E19" i="92" s="1"/>
  <c r="D10" i="94" s="1"/>
  <c r="D10" i="318" l="1"/>
  <c r="F26" i="305"/>
  <c r="D7" i="92"/>
  <c r="D19" i="92" s="1"/>
  <c r="C10" i="94" s="1"/>
  <c r="E10" i="94" s="1"/>
  <c r="C10" i="318"/>
  <c r="C420" i="311" l="1"/>
  <c r="C423" i="311" s="1"/>
  <c r="C430" i="311" s="1"/>
  <c r="F7" i="92"/>
  <c r="G7" i="92" s="1"/>
  <c r="G10" i="318"/>
  <c r="E10" i="318"/>
  <c r="D9" i="144" s="1"/>
  <c r="D14" i="144" s="1"/>
  <c r="D9" i="95"/>
  <c r="F432" i="311" l="1"/>
  <c r="M113" i="305" s="1"/>
  <c r="M121" i="305" s="1"/>
  <c r="E431" i="311"/>
  <c r="L34" i="305" s="1"/>
  <c r="L42" i="305" s="1"/>
  <c r="F8" i="92"/>
  <c r="F9" i="92" s="1"/>
  <c r="F10" i="92" s="1"/>
  <c r="F11" i="92" s="1"/>
  <c r="F12" i="92" s="1"/>
  <c r="F13" i="92" s="1"/>
  <c r="F14" i="92" s="1"/>
  <c r="F15" i="92" s="1"/>
  <c r="F16" i="92" s="1"/>
  <c r="F17" i="92" s="1"/>
  <c r="F18" i="92" s="1"/>
  <c r="G18" i="92" s="1"/>
  <c r="H10" i="318"/>
  <c r="F10" i="318"/>
  <c r="K10" i="95"/>
  <c r="L9" i="95"/>
  <c r="D12" i="95"/>
  <c r="F470" i="311" l="1"/>
  <c r="G470" i="311" s="1"/>
  <c r="E470" i="311"/>
  <c r="F10" i="94"/>
  <c r="K11" i="144"/>
  <c r="K12" i="144" s="1"/>
  <c r="K4" i="144"/>
  <c r="E400" i="311"/>
  <c r="G337" i="311"/>
  <c r="F400" i="311"/>
  <c r="N113" i="305" l="1"/>
  <c r="N114" i="305" s="1"/>
  <c r="N115" i="305" s="1"/>
  <c r="N116" i="305" s="1"/>
  <c r="N117" i="305" s="1"/>
  <c r="N118" i="305" s="1"/>
  <c r="N119" i="305" s="1"/>
  <c r="N120" i="305" s="1"/>
  <c r="N34" i="305"/>
  <c r="N35" i="305" s="1"/>
  <c r="N36" i="305" s="1"/>
  <c r="N37" i="305" s="1"/>
  <c r="N38" i="305" s="1"/>
  <c r="N39" i="305" s="1"/>
  <c r="N40" i="305" s="1"/>
  <c r="N41" i="305" s="1"/>
  <c r="G232" i="311" l="1"/>
  <c r="N42" i="305"/>
  <c r="N121" i="305"/>
  <c r="Q121" i="305" s="1"/>
  <c r="P26" i="305" l="1"/>
  <c r="B13" i="342"/>
  <c r="B15" i="342" s="1"/>
  <c r="Q42" i="305"/>
  <c r="C13" i="318"/>
  <c r="C28" i="318" s="1"/>
  <c r="C36" i="318" s="1"/>
  <c r="C37" i="318" s="1"/>
  <c r="D58" i="92"/>
  <c r="D70" i="92" s="1"/>
  <c r="C13" i="94" s="1"/>
  <c r="D23" i="318"/>
  <c r="D28" i="318" s="1"/>
  <c r="D36" i="318" s="1"/>
  <c r="D37" i="318" s="1"/>
  <c r="E196" i="92"/>
  <c r="F196" i="92" s="1"/>
  <c r="F197" i="92" s="1"/>
  <c r="F198" i="92" s="1"/>
  <c r="F199" i="92" s="1"/>
  <c r="F200" i="92" s="1"/>
  <c r="F201" i="92" s="1"/>
  <c r="F202" i="92" s="1"/>
  <c r="F203" i="92" s="1"/>
  <c r="F204" i="92" s="1"/>
  <c r="F205" i="92" s="1"/>
  <c r="F206" i="92" s="1"/>
  <c r="F207" i="92" s="1"/>
  <c r="B21" i="342" l="1"/>
  <c r="E15" i="342"/>
  <c r="G13" i="318"/>
  <c r="F58" i="92"/>
  <c r="F59" i="92" s="1"/>
  <c r="F60" i="92" s="1"/>
  <c r="F61" i="92" s="1"/>
  <c r="F62" i="92" s="1"/>
  <c r="F63" i="92" s="1"/>
  <c r="F64" i="92" s="1"/>
  <c r="F65" i="92" s="1"/>
  <c r="F66" i="92" s="1"/>
  <c r="F67" i="92" s="1"/>
  <c r="F68" i="92" s="1"/>
  <c r="F69" i="92" s="1"/>
  <c r="G69" i="92" s="1"/>
  <c r="E208" i="92"/>
  <c r="D22" i="94" s="1"/>
  <c r="E22" i="94" s="1"/>
  <c r="E13" i="318"/>
  <c r="G23" i="318"/>
  <c r="E23" i="318"/>
  <c r="Q26" i="305"/>
  <c r="G28" i="318"/>
  <c r="E13" i="94"/>
  <c r="C26" i="94"/>
  <c r="D17" i="144" l="1"/>
  <c r="D27" i="144" s="1"/>
  <c r="E19" i="318"/>
  <c r="I12" i="144"/>
  <c r="I14" i="144" s="1"/>
  <c r="E28" i="318"/>
  <c r="H28" i="318" s="1"/>
  <c r="D26" i="94"/>
  <c r="H13" i="318"/>
  <c r="J10" i="318"/>
  <c r="H19" i="318"/>
  <c r="G5" i="318"/>
  <c r="F13" i="318"/>
  <c r="F19" i="318"/>
  <c r="F23" i="318"/>
  <c r="H23" i="318"/>
  <c r="F28" i="318"/>
  <c r="K31" i="144"/>
  <c r="K33" i="144" s="1"/>
  <c r="J14" i="144"/>
  <c r="D16" i="95"/>
  <c r="E18" i="94"/>
  <c r="F13" i="94"/>
  <c r="F22" i="94"/>
  <c r="I12" i="95"/>
  <c r="I13" i="95" s="1"/>
  <c r="J9" i="95" s="1"/>
  <c r="E26" i="94"/>
  <c r="L24" i="94" s="1"/>
  <c r="J29" i="144"/>
  <c r="K3" i="144" l="1"/>
  <c r="K5" i="144" s="1"/>
  <c r="K15" i="144"/>
  <c r="K17" i="144" s="1"/>
  <c r="J28" i="144"/>
  <c r="E36" i="318"/>
  <c r="F30" i="318"/>
  <c r="F33" i="318"/>
  <c r="K26" i="95"/>
  <c r="K17" i="95"/>
  <c r="K24" i="95"/>
  <c r="D24" i="95"/>
  <c r="G229" i="311" l="1"/>
</calcChain>
</file>

<file path=xl/sharedStrings.xml><?xml version="1.0" encoding="utf-8"?>
<sst xmlns="http://schemas.openxmlformats.org/spreadsheetml/2006/main" count="2180" uniqueCount="572">
  <si>
    <t>REPUBLICA BOLIVARIANA DE VENEZUELA</t>
  </si>
  <si>
    <t>COMPROBANTE  DIARIO</t>
  </si>
  <si>
    <t>CORPORACION TRUJILLANA DE TURISMO</t>
  </si>
  <si>
    <t>TIPO</t>
  </si>
  <si>
    <t>NUMERO</t>
  </si>
  <si>
    <t>FECHA</t>
  </si>
  <si>
    <t>MENSUAL</t>
  </si>
  <si>
    <t>CODIGO</t>
  </si>
  <si>
    <t>DESCRIPCION</t>
  </si>
  <si>
    <t>CUENTAS MAYORES</t>
  </si>
  <si>
    <t>DEBE</t>
  </si>
  <si>
    <t>HABER</t>
  </si>
  <si>
    <t>MES   DIA</t>
  </si>
  <si>
    <t>INGRESOS POR RECAUDAR</t>
  </si>
  <si>
    <t>INGRESOS ORDINARIOS</t>
  </si>
  <si>
    <t>TESORERIA GENERAL</t>
  </si>
  <si>
    <t>102  TESORERIA GENERAL</t>
  </si>
  <si>
    <t>122  INGRESOS POR RECAUDAR</t>
  </si>
  <si>
    <t>CONCEPTO</t>
  </si>
  <si>
    <t>SALDO ANTERIOR</t>
  </si>
  <si>
    <t>SALDO</t>
  </si>
  <si>
    <t>SALDO INICIAL</t>
  </si>
  <si>
    <t>MOVIMIENTO DEL MES</t>
  </si>
  <si>
    <t>132  FONDOS DE TERCEROS</t>
  </si>
  <si>
    <t>200  SITUACION FISCAL DEL TESORO</t>
  </si>
  <si>
    <t>212  BIENES INMUEBLES</t>
  </si>
  <si>
    <t>214  BIENES MUEBLES</t>
  </si>
  <si>
    <t>300  GASTOS PRESUPUESTARIOS</t>
  </si>
  <si>
    <t>101  ORDENES DE PAGO</t>
  </si>
  <si>
    <t>103  GASTOS POR PAGAR</t>
  </si>
  <si>
    <t>133  DEPOSITOS DE TERCEROS</t>
  </si>
  <si>
    <t>199  SITUACION FINANCIERA DELTESORO</t>
  </si>
  <si>
    <t>203  OBLIGACIONES DIFERIDAS</t>
  </si>
  <si>
    <t>299  HACIENDA  CTT</t>
  </si>
  <si>
    <t>301  INGRESOS ORDINARIOS</t>
  </si>
  <si>
    <t>BALANCE  DE  COMPROBACION</t>
  </si>
  <si>
    <t>AL-31-01-2013</t>
  </si>
  <si>
    <t>BALANCE   GENERAL</t>
  </si>
  <si>
    <t>CUENTAS  DEL  TESORO</t>
  </si>
  <si>
    <t>ACTIVO</t>
  </si>
  <si>
    <t>PASIVO</t>
  </si>
  <si>
    <t>FONDOS DE TERCEROS</t>
  </si>
  <si>
    <t>SITUACION FINANCIERA DEL TESORO</t>
  </si>
  <si>
    <t>SUB TOTAL</t>
  </si>
  <si>
    <t>CUENTAS  DE  HACIENDA</t>
  </si>
  <si>
    <t>SITUACION FISCAL DEL TESORO</t>
  </si>
  <si>
    <t>OBLIGACIONES DIFERIDAS</t>
  </si>
  <si>
    <t>BIENES INMUEBLES</t>
  </si>
  <si>
    <t>HACIENDA DEL ESTADO</t>
  </si>
  <si>
    <t>BIENES MUEBLES</t>
  </si>
  <si>
    <t>CUENTAS  DE  PRESUPUESTO</t>
  </si>
  <si>
    <t>GASTOS PRESUPUESTARIOS</t>
  </si>
  <si>
    <t>TOTAL GENERAL</t>
  </si>
  <si>
    <t>4.01</t>
  </si>
  <si>
    <t>GASTOS  DE  PERSONAL</t>
  </si>
  <si>
    <t>4.02</t>
  </si>
  <si>
    <t>MATERIALES Y SUMINISTROS</t>
  </si>
  <si>
    <t>4.03</t>
  </si>
  <si>
    <t>SERVISIOS  NO  PERSONALES</t>
  </si>
  <si>
    <t>4.04</t>
  </si>
  <si>
    <t>ACTIVOS  REALES</t>
  </si>
  <si>
    <t>4.07</t>
  </si>
  <si>
    <t>TRANSFERENCIAS</t>
  </si>
  <si>
    <t>4.11</t>
  </si>
  <si>
    <t>DISMINUCION  DE  PASIVOS</t>
  </si>
  <si>
    <t>ACTIVOS REALES</t>
  </si>
  <si>
    <t>BALANCE DE COMPROBACION</t>
  </si>
  <si>
    <t>AL 31/12/12</t>
  </si>
  <si>
    <t>DISMINUCION DE PASIVOS</t>
  </si>
  <si>
    <t>GASTOS POR PAGAR</t>
  </si>
  <si>
    <t>ORDENES DE PAGO</t>
  </si>
  <si>
    <t>Bs.</t>
  </si>
  <si>
    <t>SALDO AL 31/12/2012</t>
  </si>
  <si>
    <t>SERVICIO ADMINISTRATIVO DEL NIÑO, NIÑA Y ADOLESCENTE DEL ESTADO TRUJILLO</t>
  </si>
  <si>
    <t>PERSONAL</t>
  </si>
  <si>
    <t>INGRESOS PROPIOS</t>
  </si>
  <si>
    <t>DIRECCION DE ADMINISTRACION -UNIDAD DE CONTABILIDAD</t>
  </si>
  <si>
    <t>300. -GASTOS PRESUPUESTARIOS</t>
  </si>
  <si>
    <t>103.- GASTOS POR PAGAR</t>
  </si>
  <si>
    <t>101.- ORDENES  DE  PAGO</t>
  </si>
  <si>
    <t>SALDO ANT./ REF.</t>
  </si>
  <si>
    <t xml:space="preserve">TOTALES BS. </t>
  </si>
  <si>
    <t xml:space="preserve">MAYOR ANALITICO ACUMULADO </t>
  </si>
  <si>
    <t>CONTABILIZADO POR:</t>
  </si>
  <si>
    <t>APROBADO POR:</t>
  </si>
  <si>
    <t>SAPNNAET</t>
  </si>
  <si>
    <t/>
  </si>
  <si>
    <t/>
  </si>
  <si>
    <t>PRESUPUESTO DE INGRESOS SAPNNAET</t>
  </si>
  <si>
    <t>EN BOLIVARES</t>
  </si>
  <si>
    <t>PRESUPUESTO 2014</t>
  </si>
  <si>
    <t>CODIGO DE RECURSOS</t>
  </si>
  <si>
    <t>DENOMINACION</t>
  </si>
  <si>
    <t>MONTO  A RECAUDAR 2014</t>
  </si>
  <si>
    <t>MONTO RECAUDADO DE ENERO A DICIEMBRE 2013</t>
  </si>
  <si>
    <t>RAMO</t>
  </si>
  <si>
    <t>GEN</t>
  </si>
  <si>
    <t>ESP</t>
  </si>
  <si>
    <t>SUB-ES</t>
  </si>
  <si>
    <t>3.00</t>
  </si>
  <si>
    <t>00</t>
  </si>
  <si>
    <t>RECURSOS</t>
  </si>
  <si>
    <t>3.01</t>
  </si>
  <si>
    <t>10</t>
  </si>
  <si>
    <t>Ingresos de la propiedad</t>
  </si>
  <si>
    <t>04</t>
  </si>
  <si>
    <t>01</t>
  </si>
  <si>
    <t>Intereses por depósitos a la vista</t>
  </si>
  <si>
    <t>08</t>
  </si>
  <si>
    <t>03</t>
  </si>
  <si>
    <t>Alquileres de instalaciones culturales y recreativas</t>
  </si>
  <si>
    <t>3.02</t>
  </si>
  <si>
    <t>99</t>
  </si>
  <si>
    <t>Otros ingresos extraordinario</t>
  </si>
  <si>
    <t>3,02</t>
  </si>
  <si>
    <t xml:space="preserve">Otros ingresos extraordinarios </t>
  </si>
  <si>
    <t>3.03</t>
  </si>
  <si>
    <t>INGRESOS DE OPERACIÓN</t>
  </si>
  <si>
    <t>02</t>
  </si>
  <si>
    <t>Venta de productos del sector comercial</t>
  </si>
  <si>
    <t>Venta de huevos</t>
  </si>
  <si>
    <t>Venta de Cerdos</t>
  </si>
  <si>
    <t>Venta de gallinas</t>
  </si>
  <si>
    <t>3.05</t>
  </si>
  <si>
    <t>TRANSFERENCIAS Y DONACIONES</t>
  </si>
  <si>
    <t>Transferencias de capital internas del sector público</t>
  </si>
  <si>
    <t>TOTAL BS.</t>
  </si>
  <si>
    <t>Transferencias de capital internas de instituciones de protección social</t>
  </si>
  <si>
    <t>Conejos</t>
  </si>
  <si>
    <t>05</t>
  </si>
  <si>
    <t xml:space="preserve">NOTA: </t>
  </si>
  <si>
    <t>Donativo</t>
  </si>
  <si>
    <t>Consumo de la Institucion (huevos y agricola)</t>
  </si>
  <si>
    <t>AUDITOR IV</t>
  </si>
  <si>
    <t>REVISION PRESUPUESTARIA POR PARTIDA</t>
  </si>
  <si>
    <t xml:space="preserve"> CONSOLIDADA</t>
  </si>
  <si>
    <t>DEPENDENCIA U ORGANISMO: SAPNNAET</t>
  </si>
  <si>
    <t>CTA. BALANCE</t>
  </si>
  <si>
    <t>CÓDIGO  DE LA PARTIDA</t>
  </si>
  <si>
    <t>DESCRIPCIÓN DE LA PARTIDA</t>
  </si>
  <si>
    <t>ASIGNACIÓN PRESUPUESTARIA SEGÚN LEY (Bs.)</t>
  </si>
  <si>
    <t>MODIFICACIONES DEL PRESUPUESTO EN Bs.</t>
  </si>
  <si>
    <t>PRESUPUESTO MODIFICADO
 Bs.</t>
  </si>
  <si>
    <t>PRESUPUESTO COMPROMETIDO 
 Bs.</t>
  </si>
  <si>
    <t>PRESUPUESTO CAUSADO
  Bs.</t>
  </si>
  <si>
    <t>PRESUPUESTO PAGADO
  Bs.</t>
  </si>
  <si>
    <t>101</t>
  </si>
  <si>
    <t>103</t>
  </si>
  <si>
    <t>AUMENTO</t>
  </si>
  <si>
    <t>DISMINUCION</t>
  </si>
  <si>
    <t>MAT. Y SUMINISTRO</t>
  </si>
  <si>
    <t>SERV. NO PERSONALES</t>
  </si>
  <si>
    <t>TRASFERENCIAS Y DONACIONES</t>
  </si>
  <si>
    <t>TOTALES Bs.F.</t>
  </si>
  <si>
    <t>DIFERENCIA</t>
  </si>
  <si>
    <t xml:space="preserve">ACUMULADO </t>
  </si>
  <si>
    <t>ASIGNACIÓN ACTUALIZADO ENERO 2014</t>
  </si>
  <si>
    <t>REPÚBLICA BOLIVARIANA DE VENEZUELA</t>
  </si>
  <si>
    <t>SERVICIO ADMINISTRATIVO DE PROTECCIÓN DEL NIÑO, NIÑA Y ADOLESCENTE DEL ESTADO TRUJILLO</t>
  </si>
  <si>
    <t>SUB-CUENTA</t>
  </si>
  <si>
    <t>TOTAL…..</t>
  </si>
  <si>
    <t>DIRECCIÓN DE ADMINISTRACIÓN - UNIDAD DE CONTABILIDAD</t>
  </si>
  <si>
    <t>M A Y O R    A N A L Í T I C O</t>
  </si>
  <si>
    <t>ELABORADO POR:</t>
  </si>
  <si>
    <t>REVISADO POR:</t>
  </si>
  <si>
    <t/>
  </si>
  <si>
    <t/>
  </si>
  <si>
    <t/>
  </si>
  <si>
    <t/>
  </si>
  <si>
    <t/>
  </si>
  <si>
    <t/>
  </si>
  <si>
    <t/>
  </si>
  <si>
    <t/>
  </si>
  <si>
    <t/>
  </si>
  <si>
    <t/>
  </si>
  <si>
    <t/>
  </si>
  <si>
    <t/>
  </si>
  <si>
    <t/>
  </si>
  <si>
    <t/>
  </si>
  <si>
    <t>DIRECCION DE ADMINISTRACION-UNIDAD DE CONTABILIDAD</t>
  </si>
  <si>
    <t>DEPOSITOS A TERCEROS</t>
  </si>
  <si>
    <t>PROVEDURÍA Y ALMACENES</t>
  </si>
  <si>
    <t xml:space="preserve">PRODUCTOS FARMACÉUTICOS </t>
  </si>
  <si>
    <t>PAPELERÍA Y ÚTILES DE OFICINA</t>
  </si>
  <si>
    <t>TOCADOR, LIMPIEZA ENTRE OTROS</t>
  </si>
  <si>
    <t>216  PROVEDURÍAS Y ALMACENES</t>
  </si>
  <si>
    <t/>
  </si>
  <si>
    <t>Lcdo. Romulo Zambrano</t>
  </si>
  <si>
    <t>DIRECTORA DE ADMINISTRACIÓN</t>
  </si>
  <si>
    <t>DIRECTOR GENERAL</t>
  </si>
  <si>
    <t>BANCO</t>
  </si>
  <si>
    <t>TOTAL………………</t>
  </si>
  <si>
    <t>INCREMENTO/DISMINUCIÓN</t>
  </si>
  <si>
    <t>216  PROVEDURÍAS Y ALMACENENES</t>
  </si>
  <si>
    <t>BALANCE  DE  COMPROBACIÓN</t>
  </si>
  <si>
    <t>ACUMULADO</t>
  </si>
  <si>
    <t>MOVIMIENTO DICIEMBRE</t>
  </si>
  <si>
    <t>BIENES MUEBLES 214</t>
  </si>
  <si>
    <t>ADQUISICIÓN POR COMPRAS</t>
  </si>
  <si>
    <t>(+) ACTIVOS EN DESUSO DE LOS MESES ANTERIORES.</t>
  </si>
  <si>
    <t>SALDO ACTIVOS EN USO</t>
  </si>
  <si>
    <t>SALDO ACTIVOS EN DESUSO</t>
  </si>
  <si>
    <t>SALDO EN MAYOR DE LA 214</t>
  </si>
  <si>
    <t>309  EJECUCIÓN DEL PRESUPUESTO</t>
  </si>
  <si>
    <t>ACTIVOS EN DESUSO</t>
  </si>
  <si>
    <t xml:space="preserve">          ACTIVOS EN USO</t>
  </si>
  <si>
    <t>Lcda. Marisol González</t>
  </si>
  <si>
    <t>Lcdo. Salvador Monaca</t>
  </si>
  <si>
    <t>TOTAL CTA. 102 DEL MAYOR………………</t>
  </si>
  <si>
    <r>
      <rPr>
        <b/>
        <sz val="12"/>
        <rFont val="Arial"/>
        <family val="2"/>
      </rPr>
      <t>102</t>
    </r>
    <r>
      <rPr>
        <sz val="12"/>
        <rFont val="Arial"/>
        <family val="2"/>
      </rPr>
      <t xml:space="preserve">  TESORERIA GENERAL</t>
    </r>
  </si>
  <si>
    <r>
      <rPr>
        <b/>
        <sz val="12"/>
        <rFont val="Arial"/>
        <family val="2"/>
      </rPr>
      <t xml:space="preserve">122 </t>
    </r>
    <r>
      <rPr>
        <sz val="12"/>
        <rFont val="Arial"/>
        <family val="2"/>
      </rPr>
      <t xml:space="preserve"> INGRESOS POR RECAUDAR</t>
    </r>
  </si>
  <si>
    <r>
      <rPr>
        <b/>
        <sz val="12"/>
        <rFont val="Arial"/>
        <family val="2"/>
      </rPr>
      <t>132</t>
    </r>
    <r>
      <rPr>
        <sz val="12"/>
        <rFont val="Arial"/>
        <family val="2"/>
      </rPr>
      <t xml:space="preserve">  FONDOS DE TERCEROS</t>
    </r>
  </si>
  <si>
    <r>
      <rPr>
        <b/>
        <sz val="12"/>
        <rFont val="Arial"/>
        <family val="2"/>
      </rPr>
      <t>200</t>
    </r>
    <r>
      <rPr>
        <sz val="12"/>
        <rFont val="Arial"/>
        <family val="2"/>
      </rPr>
      <t xml:space="preserve">  SITUACION FISCAL DEL TESORO</t>
    </r>
  </si>
  <si>
    <r>
      <rPr>
        <b/>
        <sz val="12"/>
        <rFont val="Arial"/>
        <family val="2"/>
      </rPr>
      <t>212</t>
    </r>
    <r>
      <rPr>
        <sz val="12"/>
        <rFont val="Arial"/>
        <family val="2"/>
      </rPr>
      <t xml:space="preserve">  BIENES INMUEBLES</t>
    </r>
  </si>
  <si>
    <r>
      <rPr>
        <b/>
        <sz val="12"/>
        <rFont val="Arial"/>
        <family val="2"/>
      </rPr>
      <t>214</t>
    </r>
    <r>
      <rPr>
        <sz val="12"/>
        <rFont val="Arial"/>
        <family val="2"/>
      </rPr>
      <t xml:space="preserve">  BIENES MUEBLES</t>
    </r>
  </si>
  <si>
    <r>
      <rPr>
        <b/>
        <sz val="12"/>
        <rFont val="Arial"/>
        <family val="2"/>
      </rPr>
      <t xml:space="preserve">216 </t>
    </r>
    <r>
      <rPr>
        <sz val="12"/>
        <rFont val="Arial"/>
        <family val="2"/>
      </rPr>
      <t xml:space="preserve"> PROVEDURÍA Y ALMACENES</t>
    </r>
  </si>
  <si>
    <r>
      <rPr>
        <b/>
        <sz val="12"/>
        <rFont val="Arial"/>
        <family val="2"/>
      </rPr>
      <t xml:space="preserve">300  </t>
    </r>
    <r>
      <rPr>
        <sz val="12"/>
        <rFont val="Arial"/>
        <family val="2"/>
      </rPr>
      <t>GASTOS PRESUPUESTARIOS</t>
    </r>
  </si>
  <si>
    <r>
      <rPr>
        <b/>
        <sz val="12"/>
        <rFont val="Arial"/>
        <family val="2"/>
      </rPr>
      <t>101</t>
    </r>
    <r>
      <rPr>
        <sz val="12"/>
        <rFont val="Arial"/>
        <family val="2"/>
      </rPr>
      <t xml:space="preserve">  ORDENES DE PAGO</t>
    </r>
  </si>
  <si>
    <r>
      <rPr>
        <b/>
        <sz val="12"/>
        <rFont val="Arial"/>
        <family val="2"/>
      </rPr>
      <t>103</t>
    </r>
    <r>
      <rPr>
        <sz val="12"/>
        <rFont val="Arial"/>
        <family val="2"/>
      </rPr>
      <t xml:space="preserve">  GASTOS POR PAGAR</t>
    </r>
  </si>
  <si>
    <r>
      <rPr>
        <b/>
        <sz val="12"/>
        <rFont val="Arial"/>
        <family val="2"/>
      </rPr>
      <t>133</t>
    </r>
    <r>
      <rPr>
        <sz val="12"/>
        <rFont val="Arial"/>
        <family val="2"/>
      </rPr>
      <t xml:space="preserve">  DEPOSITOS DE TERCEROS</t>
    </r>
  </si>
  <si>
    <r>
      <rPr>
        <b/>
        <sz val="12"/>
        <rFont val="Arial"/>
        <family val="2"/>
      </rPr>
      <t>199</t>
    </r>
    <r>
      <rPr>
        <sz val="12"/>
        <rFont val="Arial"/>
        <family val="2"/>
      </rPr>
      <t xml:space="preserve">  SITUACION FINANCIERA DELTESORO</t>
    </r>
  </si>
  <si>
    <r>
      <rPr>
        <b/>
        <sz val="12"/>
        <rFont val="Arial"/>
        <family val="2"/>
      </rPr>
      <t xml:space="preserve">203 </t>
    </r>
    <r>
      <rPr>
        <sz val="12"/>
        <rFont val="Arial"/>
        <family val="2"/>
      </rPr>
      <t xml:space="preserve"> OBLIGACIONES DIFERIDAS</t>
    </r>
  </si>
  <si>
    <r>
      <rPr>
        <b/>
        <sz val="12"/>
        <rFont val="Arial"/>
        <family val="2"/>
      </rPr>
      <t>299</t>
    </r>
    <r>
      <rPr>
        <sz val="12"/>
        <rFont val="Arial"/>
        <family val="2"/>
      </rPr>
      <t xml:space="preserve">  HACIENDA  CTT</t>
    </r>
  </si>
  <si>
    <r>
      <rPr>
        <b/>
        <sz val="12"/>
        <rFont val="Arial"/>
        <family val="2"/>
      </rPr>
      <t>301</t>
    </r>
    <r>
      <rPr>
        <sz val="12"/>
        <rFont val="Arial"/>
        <family val="2"/>
      </rPr>
      <t xml:space="preserve">  INGRESOS ORDINARIOS</t>
    </r>
  </si>
  <si>
    <t xml:space="preserve">   </t>
  </si>
  <si>
    <t xml:space="preserve">                               ACTIVOS EN DESUSO</t>
  </si>
  <si>
    <t>LCDA. HELENMAR PEREZ</t>
  </si>
  <si>
    <t>LCDA. MIRIAN MENDOZA</t>
  </si>
  <si>
    <t>DIRECTORA GENERAL</t>
  </si>
  <si>
    <t>DISMINUCION PRESUPUESTARIA</t>
  </si>
  <si>
    <t>DISPONIBILIDAD PRESUPUESTARIA Bs.</t>
  </si>
  <si>
    <t>MES ANTERIOR</t>
  </si>
  <si>
    <t>CREDITOS</t>
  </si>
  <si>
    <t>TOTAL MES ANTERIOR</t>
  </si>
  <si>
    <t>CONTADOR II</t>
  </si>
  <si>
    <t>TESORERIA</t>
  </si>
  <si>
    <t>DEPOSITOS DE TERCEROS</t>
  </si>
  <si>
    <t>GASTOS DE PERSONAL</t>
  </si>
  <si>
    <t>INAM</t>
  </si>
  <si>
    <t>TOTAL CTA. 216 DEL MAYOR…</t>
  </si>
  <si>
    <t>SALDO AL 31/12/2017</t>
  </si>
  <si>
    <t>SUMINISTRO DE BIENES A OTRAS ENTIDADES</t>
  </si>
  <si>
    <t>(-) SUMINISTRO DE BIENES A OTRAS ENTIDADES, SEGÚN MOTIVO 54, DE ACUERDO A LA PUBLICACIÓN 20.</t>
  </si>
  <si>
    <t>MATERIALES, SUMINISTROS Y MERCANCIAS</t>
  </si>
  <si>
    <t>SERVICIOS NO PERSONALES</t>
  </si>
  <si>
    <t>DISMINUCIÓN DE PASIVOS</t>
  </si>
  <si>
    <t>P/R Los compromisos ejecutados en el mes, según Ejecución Presupuestaria.</t>
  </si>
  <si>
    <t>FONDO DE TERCEROS</t>
  </si>
  <si>
    <t>BANCO DEL TESORO CTA. CTE. Nº 0116</t>
  </si>
  <si>
    <t>BANCO DE VENEZUELA  CTA. CTE. Nº 196</t>
  </si>
  <si>
    <t>BANCO DEL TESORO CTA. CTE. Nº 5889</t>
  </si>
  <si>
    <t>(+) OMISICIÓN DE INVENTARIO SEGÚN MOTIVO 14, DE ACUERDO A LA PUBLICACÓN Nº 20.</t>
  </si>
  <si>
    <t>303 INGRESOS EXTRAORDINARIOS</t>
  </si>
  <si>
    <r>
      <rPr>
        <b/>
        <sz val="12"/>
        <rFont val="Arial"/>
        <family val="2"/>
      </rPr>
      <t>303</t>
    </r>
    <r>
      <rPr>
        <sz val="12"/>
        <rFont val="Arial"/>
        <family val="2"/>
      </rPr>
      <t xml:space="preserve"> INGRESOS EXTRAORDINARIOS</t>
    </r>
  </si>
  <si>
    <t>INGRSOS EXTRAORDINARIOS</t>
  </si>
  <si>
    <t xml:space="preserve">      ACTIVOS EN USO</t>
  </si>
  <si>
    <t>(+) INCORPORACIÓN POR OTROS CONCEPTOS POR MOTIVO 18. SEGÚN PUBLICACIÓN Nº 20.</t>
  </si>
  <si>
    <t>OMISIÓN DE INVENTARIO POR EL MOTIVO 14</t>
  </si>
  <si>
    <t>(-) DESINCORPORACIÓN POR DONACIÓN SEGÚN MOTIVO 62, DE ACUERDO A LA PUBILICACIÓN Nº 20.</t>
  </si>
  <si>
    <t xml:space="preserve"> </t>
  </si>
  <si>
    <t>(+) ADQUISICIONES POR EL MOTIVO 11. SEGÚN PUBLICACIÓN Nº 20.</t>
  </si>
  <si>
    <t>(+) ADQUISICIONES POR EL MOTIVO 03. SEGÚN PUBLICACIÓN Nº 20.</t>
  </si>
  <si>
    <t>ADQUISICIÓN POR DONACIÓN 11</t>
  </si>
  <si>
    <t>INCORPORACIÓN POR OTROS CONCEPTOS 18</t>
  </si>
  <si>
    <t>31/11/2018</t>
  </si>
  <si>
    <t>ALIMENTOS Y BEBIDAS EN CARÁCTER DE DONACIÓN</t>
  </si>
  <si>
    <t>+</t>
  </si>
  <si>
    <t>DIF X PAG COM</t>
  </si>
  <si>
    <t>TESORO NACIONAL ( IVA DE MARZO )</t>
  </si>
  <si>
    <t>TESORO NACIONAL ( IVA DE ABRIL )</t>
  </si>
  <si>
    <t>P/R CANCELACIÓN DE I.V.A 2DA QUINCENA DEL MES DE MAZO  Y 1ERA QUINCENA DE ABRIL 2019)</t>
  </si>
  <si>
    <t>PAGARON EN ABRIL DE MARZO</t>
  </si>
  <si>
    <t>ADMINISTRADOR I</t>
  </si>
  <si>
    <t>LCDO. ALEXANDER BRICEÑO</t>
  </si>
  <si>
    <t>4-5</t>
  </si>
  <si>
    <t>4-4</t>
  </si>
  <si>
    <t>PAGARON EN MAYO DE ABRIL</t>
  </si>
  <si>
    <t>REPÚBLICA BOLIVARIANA D VENEZUELA</t>
  </si>
  <si>
    <t>5-5</t>
  </si>
  <si>
    <t>PRODUCTOS FARMACÉUTICOS (DONACIÓN)</t>
  </si>
  <si>
    <t>Situac. Finan. Del teso.</t>
  </si>
  <si>
    <t>Teso. Gen. + Ingres. p/recaud</t>
  </si>
  <si>
    <t>BANCO DEL TESORO CTA. CTE. 116</t>
  </si>
  <si>
    <t>BANCO BOD CTA CTE 499</t>
  </si>
  <si>
    <t>BANCO BOD CTA CTE 5889</t>
  </si>
  <si>
    <t>P/R TRASPASO ENTRE CTAS PARA CUBRIR ----- DE  COMISIONES BANCARIAS  TE0000790534 - TE0000790542</t>
  </si>
  <si>
    <t>P/R TRASPASO ENTRE CTAS PARA CUBRIR ------ DE  COMISIONES BANCARIAS  TE0000790534 - TE0000790542</t>
  </si>
  <si>
    <t xml:space="preserve">SESPREVALCA </t>
  </si>
  <si>
    <t xml:space="preserve">P/R. REVERSO SEGÚN CHEQUE Nº CORREP. DEL MES DE NOVIEMBRE 2019 </t>
  </si>
  <si>
    <t>DESCRIPCIÓN</t>
  </si>
  <si>
    <t>HURTO GENÉRICO OMITIDO EN OCTUBRE 2019</t>
  </si>
  <si>
    <t>CORRECIÓN DESINCORPORACION 17</t>
  </si>
  <si>
    <t>SALDO DISPONIBLE EN EL LIBRO DE BANCO DE TESORERIA</t>
  </si>
  <si>
    <t xml:space="preserve">APROBADO POR: </t>
  </si>
  <si>
    <t>Orden de P. + Gasto Por p.+ Situación Finannc. Del Teso</t>
  </si>
  <si>
    <t>Ingresos por recaudar</t>
  </si>
  <si>
    <t>CÓDIGO</t>
  </si>
  <si>
    <t>MES   DÍA</t>
  </si>
  <si>
    <t>NÚMERO</t>
  </si>
  <si>
    <t>CTA.</t>
  </si>
  <si>
    <t>PROYECC DE F A D</t>
  </si>
  <si>
    <t>PROYECC DE M A D</t>
  </si>
  <si>
    <t>PROYECC DE A A D</t>
  </si>
  <si>
    <t>PROYECC IONES POR USAR EL CANAL IB</t>
  </si>
  <si>
    <t xml:space="preserve">PAGO EFECTUADO EN JULIO CORRESP. DE JUNIO </t>
  </si>
  <si>
    <t>PROYECCIONES DESDE FEBRERO A JULIO</t>
  </si>
  <si>
    <t>PAGO EFECTUADO EN AGOSTO CORRESP. DE JULIO</t>
  </si>
  <si>
    <t>PAGO EFECTUADO EN SEPT. CORRESP. DE AGOSTO</t>
  </si>
  <si>
    <t>PROYECCIONES DESDE SEPT. A DICIEMBRE.</t>
  </si>
  <si>
    <t>PAGO EFECTUADO EN OCTUBRE. CORRESP. DE SEPT.</t>
  </si>
  <si>
    <t>PROYECCIONES DESDE OCTUBRE. A DICIEMBRE.</t>
  </si>
  <si>
    <t>PAGO EFECTUADO EN NOV. CORRESP. DE OCTUBRE.</t>
  </si>
  <si>
    <t>PROYECCIONES DESDE NOVIEM. A DICIEMBRE.</t>
  </si>
  <si>
    <t>PAGO EFECTUADO EN NOVIEM. CORRESP. DE DICIEMBRE.</t>
  </si>
  <si>
    <t>0116</t>
  </si>
  <si>
    <t>LICDO. ALEXANDER BRICEÑO</t>
  </si>
  <si>
    <t>personal</t>
  </si>
  <si>
    <t xml:space="preserve">LICDO. ALEXANDER BRICEÑO </t>
  </si>
  <si>
    <t>Disminuciòn de Presupuesto</t>
  </si>
  <si>
    <t>DEBITA DESDE MARZO A MAYO</t>
  </si>
  <si>
    <t>DESINCORPORACIÓN POR OTROS CONCEPTO</t>
  </si>
  <si>
    <t>(-)DESINCORPORACIÓN POR OTRO CONCEPTO Nº 67</t>
  </si>
  <si>
    <t>COMISIONES</t>
  </si>
  <si>
    <t>Situacion Fiscal del tesoro</t>
  </si>
  <si>
    <t>(+)Gasto Presupuestario</t>
  </si>
  <si>
    <t>Ingresos Ordinario</t>
  </si>
  <si>
    <t>Proveduría Almance</t>
  </si>
  <si>
    <t>(+) Bienes Muebles</t>
  </si>
  <si>
    <t>Hacienda del Estado</t>
  </si>
  <si>
    <t>Ingresos Ordinarios</t>
  </si>
  <si>
    <t>(-) Gasto Presupuestario</t>
  </si>
  <si>
    <t>Situación Fiscal del Tesoro</t>
  </si>
  <si>
    <t xml:space="preserve">(-)Tesoreria </t>
  </si>
  <si>
    <t>(-)Ingresos por Recaudar</t>
  </si>
  <si>
    <t>Tesoreria</t>
  </si>
  <si>
    <t>LICDA. MIRIAN MENDOZA</t>
  </si>
  <si>
    <t>TOCADOR, LIMPIEZA EN DONACIÓN.</t>
  </si>
  <si>
    <t>JEFA (E) DE DIRECCIÓN DE ADMINISTRACIÓN</t>
  </si>
  <si>
    <t>JEFA (E) DE DIRECCIÓN DE ADMINSTRACIÓN</t>
  </si>
  <si>
    <t>JEFA (E) DE DIRECCIÓN DE ADMINISTRACIÓN.</t>
  </si>
  <si>
    <t>DESINCORPORACIÓN POR OTRO CONCEPTO Nº 67</t>
  </si>
  <si>
    <t>EQUIPOS Y MOBILIARIOS</t>
  </si>
  <si>
    <t>UTENSILIOS DE COCINA</t>
  </si>
  <si>
    <t>DICIEMBRE</t>
  </si>
  <si>
    <t xml:space="preserve"> COM DE ENERO </t>
  </si>
  <si>
    <t>PAGARON EN ENERO DE DICIEMBRE</t>
  </si>
  <si>
    <t>PROYECC DE E A D</t>
  </si>
  <si>
    <t xml:space="preserve"> COM DE FEBRERO</t>
  </si>
  <si>
    <t>PAGARON EN FEBRERO  DE  ENERO</t>
  </si>
  <si>
    <t>DIRECCIÓN DE ADMINISTRACIÓN-UNIDAD DE CONTABILIDAD</t>
  </si>
  <si>
    <t xml:space="preserve"> COM DE  MARZO</t>
  </si>
  <si>
    <t>MATERIAL DE PELUQUERIA Y BARBERIA</t>
  </si>
  <si>
    <t xml:space="preserve"> COM DE ABRIL</t>
  </si>
  <si>
    <t>SITUADO CONSTITUCIONAL</t>
  </si>
  <si>
    <t>TEXTILES Y CALZADO</t>
  </si>
  <si>
    <t>(-) CORRECION POR DESINCORPORACION 66</t>
  </si>
  <si>
    <t xml:space="preserve"> COM DE MAYO</t>
  </si>
  <si>
    <t>EQUIPOS Y MOBILIARIOS (DONACIÓN)</t>
  </si>
  <si>
    <t xml:space="preserve"> COM DE JUNIO</t>
  </si>
  <si>
    <t>INGRESO DE CREDITO ADICIONAL SITUADO CONSTITUCIONAL</t>
  </si>
  <si>
    <t xml:space="preserve"> COM DE JULIO</t>
  </si>
  <si>
    <t>PROYECCIONES DESDE JULIO A DICIEMBRE</t>
  </si>
  <si>
    <t>Cta 1739</t>
  </si>
  <si>
    <t xml:space="preserve"> COM DE AGOSTO.</t>
  </si>
  <si>
    <t>CORRECIÓN DE DESINCORPORACIÓN 66</t>
  </si>
  <si>
    <t xml:space="preserve"> COM DE SEPTIEMBRE.</t>
  </si>
  <si>
    <t>(+) CORRECIÓN DESINCORPORACION SEGÚN MOTIVO 17, DE ACUERDO A LA PUBLICACÓN Nº 20.</t>
  </si>
  <si>
    <t>LAB. CLINICO VIDA 1*1000 2DA QUINCENA</t>
  </si>
  <si>
    <t>VARIEDADES OSWALDO 1*1000 1ERA QUINCENA</t>
  </si>
  <si>
    <t xml:space="preserve"> COM DE OCTUBRE.</t>
  </si>
  <si>
    <t xml:space="preserve"> COM DE NOVIEMBRE.</t>
  </si>
  <si>
    <t xml:space="preserve"> COM DE DICIEMBRE.</t>
  </si>
  <si>
    <t>Traspaso a la cta cte 5007. comisiones no consumio en su totalidad</t>
  </si>
  <si>
    <t>1-1</t>
  </si>
  <si>
    <t>ASIENTOS DE APERTURA N° 1</t>
  </si>
  <si>
    <t>P/ABRIR LOS NUEVOS LIBROS DE CUENTAS DEL ESTADO DE CONFORMIDAD CON LAS NORMAS PRESCRITAS POR LA CONTRALORIA GENERAL DE LA REPUBLICA EN LA PUBLICACIÓN N° 20.</t>
  </si>
  <si>
    <t>BANCOS</t>
  </si>
  <si>
    <t>Situado Constitucional (Gastos de personal)</t>
  </si>
  <si>
    <t>Situado Constitucional (Gastos de Funcionamiento)</t>
  </si>
  <si>
    <t>Situado Constitucional (Gastos de Inversion)</t>
  </si>
  <si>
    <t>Terreno Complejo Carmania (15 Hectareas)</t>
  </si>
  <si>
    <t>Colonia Vacacional Timotes (5 Hectareas)</t>
  </si>
  <si>
    <t>Inventario INAM CENTRAL</t>
  </si>
  <si>
    <t xml:space="preserve">            - Activos en uso</t>
  </si>
  <si>
    <t xml:space="preserve">            - Activos en desuso</t>
  </si>
  <si>
    <t>Inventario SAPNNAET</t>
  </si>
  <si>
    <t xml:space="preserve">TOTAL  ASIENTO DE APERTURA Nº 1                               </t>
  </si>
  <si>
    <t>ASIENTO DE APERTURA N°2</t>
  </si>
  <si>
    <t>PARA ESTABLECER LA SITUACIÓN FINANCIERA DEL TESORO, MEDIANTE LA COMPARACIÓN DEL ACTIVO CON EL PASIVO CORRIENTE, CON BASE EN LAS CIFRAS DEL ASIENTO DE APERTURA Nº 1, EN LA SIGUIENTE FORMA:</t>
  </si>
  <si>
    <t>ACTIVO CORRIENTE</t>
  </si>
  <si>
    <t>PASIVO CORRIENTE</t>
  </si>
  <si>
    <t xml:space="preserve">102 -TESORERÍA                                                   </t>
  </si>
  <si>
    <t>101-ORDENES DE PAGO</t>
  </si>
  <si>
    <t xml:space="preserve">122- INGRESOS POR RECAUDAR                     </t>
  </si>
  <si>
    <t xml:space="preserve">132- FONDOS DE TERCEROS                              </t>
  </si>
  <si>
    <t>133-DEPOSITOS DE TERCEROS</t>
  </si>
  <si>
    <t>TOTALES</t>
  </si>
  <si>
    <t>SUPERAVIT FISCAL</t>
  </si>
  <si>
    <t xml:space="preserve">TOTALES IGUALES ASIENTO DE APERTURA Nº 2                                   </t>
  </si>
  <si>
    <t>GASTOS DE FUCIONAMIENTO</t>
  </si>
  <si>
    <t>TRASPASO DE COMISIONES</t>
  </si>
  <si>
    <t>PROVEEDURÍA Y ALMACENES</t>
  </si>
  <si>
    <t>I.V.S.S.</t>
  </si>
  <si>
    <t>S.P.F.</t>
  </si>
  <si>
    <t>BANAVIH</t>
  </si>
  <si>
    <t>OTRAS  RETENCIONES LABORALES</t>
  </si>
  <si>
    <t>INTERESES POR DEPÓSITO A LA VISTA</t>
  </si>
  <si>
    <t>I.V.A</t>
  </si>
  <si>
    <t>I.S.L.R</t>
  </si>
  <si>
    <t>1x1000</t>
  </si>
  <si>
    <t>C.R.S</t>
  </si>
  <si>
    <t>ACTIVO CORRIENTE:</t>
  </si>
  <si>
    <t>- PASIVO CORRIENTE:</t>
  </si>
  <si>
    <t>NUEVA SITUACION FINANCIERA:</t>
  </si>
  <si>
    <t>A.P.F.</t>
  </si>
  <si>
    <t>GASTOS BANCARIOS CTA. CT.E 196</t>
  </si>
  <si>
    <t>GASTOS BANCARIOS CTA. CT.E 5889</t>
  </si>
  <si>
    <t>GASTOS BANCARIOS CTA. CT.E 116</t>
  </si>
  <si>
    <t>1-4</t>
  </si>
  <si>
    <t>2-4</t>
  </si>
  <si>
    <t>3-4</t>
  </si>
  <si>
    <t>SITUADO CONSTITUCIONAL (GASTOS DE FUNCIONAMIENTO E INVERSIÓN)</t>
  </si>
  <si>
    <t>ALIMENTOS Y BEBIDAS PEDECEDEROS Y NO PEDECEDEROS (PEPS)</t>
  </si>
  <si>
    <t xml:space="preserve">  Traspaso de comisiones </t>
  </si>
  <si>
    <t>Banco de Venezuela Cta. Cte. N° 0102-0373-20-0000106328</t>
  </si>
  <si>
    <t>Banco de Venezuela Cta. Cte. Nº 0102-0373-27-00-00037196</t>
  </si>
  <si>
    <t>Banco del Tesoro Cta. Cte. Nº 0163-0308-98-3083010116</t>
  </si>
  <si>
    <t>Banco del Tesoro Cta. Cte. Nº 0163-0308-18-9003005889</t>
  </si>
  <si>
    <t>BANCO DEL TESORO CTA. CTE. Nº 0163-0308-90-3083000216</t>
  </si>
  <si>
    <t>Banco de Venezuela Cta. Cte. Nº  0102-0373-21-0005875007</t>
  </si>
  <si>
    <t>BANCO DE VENEZUELA CTA. CTE. N° 0102-0373-21-0005875007</t>
  </si>
  <si>
    <t>BANCO DE VENEZUELA CTA. CTE. N°  0102-0373-21-0005875007</t>
  </si>
  <si>
    <t>BANCO DE VENEZUELA CTA. CTE. N°  0102-0373-20-0000106328</t>
  </si>
  <si>
    <t>Banco del Tesoro Cta. Cte. Nº  0163-0308-90-3083000216</t>
  </si>
  <si>
    <t>BANCO DEL TESORO CTA. CTE. N°  0163-0308-90-3083000216</t>
  </si>
  <si>
    <t>BANCO DEL TESORO CTA. CTE. Nº 0163-0308-18-9003005889</t>
  </si>
  <si>
    <t>BANCO DEL TESORO CTA. CTE. Nº 0163-0308-98-3083010116</t>
  </si>
  <si>
    <t xml:space="preserve">Mayor MARÍA ALMAZAN </t>
  </si>
  <si>
    <t>X</t>
  </si>
  <si>
    <t>INSERVIBLES, DETERIORO O DESARME 55/56/57</t>
  </si>
  <si>
    <t>BANCO DE VENEZUELA  CTA. CTE. Nº 0102-0373-27-00-00037196</t>
  </si>
  <si>
    <t>BANCO DE VENEZUELA CTA. CTE. 0102-0373-20-0000106328</t>
  </si>
  <si>
    <t>BANCO DE VENEZUELA CTA. CTE. 0102-0373-21-0005875007</t>
  </si>
  <si>
    <t>BANCO DEL TESORO CTA. CTE. 0163-0308-90-3083000216</t>
  </si>
  <si>
    <t>BANCO NACIONAL DE CRÉDITO CTA. CTE. 0191-0551-27-2100001739</t>
  </si>
  <si>
    <t>(+) ACTIVOS EN DESUSO DEL MES DE ENERO</t>
  </si>
  <si>
    <t>(-) DESINCORPORACIONES EN EL MES DE ENERO POR LOS MOTIVOS 55/56/57. SEGÚN PUBILICACIÓN Nº 20.</t>
  </si>
  <si>
    <t>OTROS GASTOS</t>
  </si>
  <si>
    <t>4.08</t>
  </si>
  <si>
    <t>GASTOS DE INVERSIÓN</t>
  </si>
  <si>
    <t>BANCO DE VENEZUELA CTA. CTE. Nº 0005875007        (GASTO DE FUNCIONAMIENTO E INVERSIÓN)</t>
  </si>
  <si>
    <t>BANCO DE VENEZUELA CTA. CTE. Nº 0000106328 (GASTO DE PERSONAL)</t>
  </si>
  <si>
    <t>BANCO DEL TESORO CTA. CTE. Nº 3083000216 (INGRESOS PROPIOS)</t>
  </si>
  <si>
    <t>102 - TESORERÍA</t>
  </si>
  <si>
    <t>S/ Estados de cuentas y conciliaciones bancarias al 31/12/2024</t>
  </si>
  <si>
    <t>S/ mayor al 31/12/20204</t>
  </si>
  <si>
    <t>S/ Estados de cuentas y conciliaciones bancarias al 31-12-2024</t>
  </si>
  <si>
    <t>,</t>
  </si>
  <si>
    <t>S/ inventario de provedurías y almacenes al 31/12/24.</t>
  </si>
  <si>
    <t>S/ inventario al 31/12/2024</t>
  </si>
  <si>
    <t>AL 31/12/2024</t>
  </si>
  <si>
    <t>P/R Cancelación de saldo del disponible de ingresos propios; correspondiente al Ejercicio Economico-Financiero 2024.</t>
  </si>
  <si>
    <r>
      <t xml:space="preserve">BANCO DEL TESORO CTA. CTE. Nº </t>
    </r>
    <r>
      <rPr>
        <b/>
        <sz val="12"/>
        <rFont val="Arial"/>
        <family val="2"/>
      </rPr>
      <t>0163-0308-90-3083000216</t>
    </r>
  </si>
  <si>
    <r>
      <rPr>
        <b/>
        <sz val="12"/>
        <rFont val="Arial"/>
        <family val="2"/>
      </rPr>
      <t>240</t>
    </r>
    <r>
      <rPr>
        <sz val="12"/>
        <rFont val="Arial"/>
        <family val="2"/>
      </rPr>
      <t xml:space="preserve"> OTROS ACTIVO</t>
    </r>
  </si>
  <si>
    <t>240 OTROS ACTIVOS</t>
  </si>
  <si>
    <t>OTROS ACTIVOS</t>
  </si>
  <si>
    <t>P/R Ingresos por recursos disponibles de Fondos Propios al cierre del Ejercicio Económico-Financiero 2024. Según Resolución Administrativa DG/ADM Nº 002 de Fecha 02/01/2025</t>
  </si>
  <si>
    <r>
      <t xml:space="preserve">P/R Ingresos a la tesoreria del Ejercico Económico-Financiero 2025. Por los recursos disponibles del Ejercicio Economico-Financiero 2024 en la Cta. Cte. N° </t>
    </r>
    <r>
      <rPr>
        <b/>
        <sz val="11"/>
        <rFont val="Arial"/>
        <family val="2"/>
      </rPr>
      <t>0163-0308-90-3083000216</t>
    </r>
    <r>
      <rPr>
        <sz val="11"/>
        <rFont val="Arial"/>
        <family val="2"/>
      </rPr>
      <t>. Según Resolución Administrativa DG/ADM Nº 002</t>
    </r>
  </si>
  <si>
    <t>SITUADO CONSTITUCIONAL (GASTOS DE PERSONAL)</t>
  </si>
  <si>
    <t>P/R Reintegro a la Gobernacion del Estado por el saldo disponible en la Cta. Cte. N° 0005875007, 0000106328, según transferencia Nº 38734263 - 38732946 ; correspondiente al Ejercicio Economico-Financiero 2024.</t>
  </si>
  <si>
    <t>P/R Traspaso entre Ctas. Para cubrir Comisiones Bancarias según Nota de Debito Nº 0001, Numero de Transferencia38733793</t>
  </si>
  <si>
    <t>INGRESO DE CREDITO ADICIONAL DE  INGRESOS PROPIOS</t>
  </si>
  <si>
    <r>
      <t xml:space="preserve">P/R Ordenes de pago, </t>
    </r>
    <r>
      <rPr>
        <b/>
        <u/>
        <sz val="12"/>
        <rFont val="Arial"/>
        <family val="2"/>
      </rPr>
      <t>Cta. Cte. 5007</t>
    </r>
    <r>
      <rPr>
        <sz val="12"/>
        <rFont val="Arial"/>
        <family val="2"/>
      </rPr>
      <t xml:space="preserve">: N° Desde la 0001 hasta la 0029, y 0031 </t>
    </r>
    <r>
      <rPr>
        <b/>
        <u/>
        <sz val="12"/>
        <rFont val="Arial"/>
        <family val="2"/>
      </rPr>
      <t>Cta. Cte. 1739</t>
    </r>
    <r>
      <rPr>
        <sz val="12"/>
        <rFont val="Arial"/>
        <family val="2"/>
      </rPr>
      <t xml:space="preserve">: Nº 0030. </t>
    </r>
    <r>
      <rPr>
        <b/>
        <u/>
        <sz val="12"/>
        <rFont val="Arial"/>
        <family val="2"/>
      </rPr>
      <t>Cta. Cte. 6328:</t>
    </r>
    <r>
      <rPr>
        <sz val="12"/>
        <rFont val="Arial"/>
        <family val="2"/>
      </rPr>
      <t xml:space="preserve"> Nº 0032 </t>
    </r>
    <r>
      <rPr>
        <b/>
        <u/>
        <sz val="12"/>
        <rFont val="Arial"/>
        <family val="2"/>
      </rPr>
      <t>Cta. Cte. 216:</t>
    </r>
    <r>
      <rPr>
        <sz val="12"/>
        <rFont val="Arial"/>
        <family val="2"/>
      </rPr>
      <t xml:space="preserve"> 0033.   Emitidas en el mes.</t>
    </r>
  </si>
  <si>
    <r>
      <t xml:space="preserve">P/R Notas de debitos emitidas en la   </t>
    </r>
    <r>
      <rPr>
        <b/>
        <u val="double"/>
        <sz val="12"/>
        <color theme="1"/>
        <rFont val="Arial"/>
        <family val="2"/>
      </rPr>
      <t>Cta. Cte. 5007:</t>
    </r>
    <r>
      <rPr>
        <u val="double"/>
        <sz val="12"/>
        <color theme="1"/>
        <rFont val="Arial"/>
        <family val="2"/>
      </rPr>
      <t xml:space="preserve"> </t>
    </r>
    <r>
      <rPr>
        <sz val="12"/>
        <color theme="1"/>
        <rFont val="Arial"/>
        <family val="2"/>
      </rPr>
      <t xml:space="preserve">Nº 0001, 0002, 0003, 0004, 0005 y 0007.  </t>
    </r>
    <r>
      <rPr>
        <b/>
        <u val="double"/>
        <sz val="12"/>
        <color theme="1"/>
        <rFont val="Arial"/>
        <family val="2"/>
      </rPr>
      <t>Cta. Cte. 1739</t>
    </r>
    <r>
      <rPr>
        <u val="double"/>
        <sz val="12"/>
        <color theme="1"/>
        <rFont val="Arial"/>
        <family val="2"/>
      </rPr>
      <t>:</t>
    </r>
    <r>
      <rPr>
        <sz val="12"/>
        <color theme="1"/>
        <rFont val="Arial"/>
        <family val="2"/>
      </rPr>
      <t xml:space="preserve"> Nº 0006  </t>
    </r>
    <r>
      <rPr>
        <b/>
        <u val="double"/>
        <sz val="12"/>
        <color theme="1"/>
        <rFont val="Arial"/>
        <family val="2"/>
      </rPr>
      <t>Cta. Cte. 6328:</t>
    </r>
    <r>
      <rPr>
        <sz val="12"/>
        <color theme="1"/>
        <rFont val="Arial"/>
        <family val="2"/>
      </rPr>
      <t xml:space="preserve"> Nº 0008 </t>
    </r>
    <r>
      <rPr>
        <b/>
        <u val="double"/>
        <sz val="12"/>
        <color theme="1"/>
        <rFont val="Arial"/>
        <family val="2"/>
      </rPr>
      <t>Cta. Cte. 216</t>
    </r>
    <r>
      <rPr>
        <b/>
        <u/>
        <sz val="12"/>
        <color theme="1"/>
        <rFont val="Arial"/>
        <family val="2"/>
      </rPr>
      <t>:</t>
    </r>
    <r>
      <rPr>
        <sz val="12"/>
        <color theme="1"/>
        <rFont val="Arial"/>
        <family val="2"/>
      </rPr>
      <t xml:space="preserve"> Nº 0009 Emitidas en el mes.</t>
    </r>
  </si>
  <si>
    <r>
      <t xml:space="preserve">P/R Notas de debitos emitidas en la </t>
    </r>
    <r>
      <rPr>
        <b/>
        <u/>
        <sz val="12"/>
        <rFont val="Arial"/>
        <family val="2"/>
      </rPr>
      <t xml:space="preserve"> Cta. Cte. 5007:</t>
    </r>
    <r>
      <rPr>
        <sz val="12"/>
        <rFont val="Arial"/>
        <family val="2"/>
      </rPr>
      <t xml:space="preserve"> N º0862/2024</t>
    </r>
  </si>
  <si>
    <t xml:space="preserve">    Comisiones </t>
  </si>
  <si>
    <t xml:space="preserve">Pago de mas de CRIKET según comprobante Nº  según O/p </t>
  </si>
  <si>
    <t>Pago errado por la cta a banavih</t>
  </si>
  <si>
    <t>Devolución del proveedor</t>
  </si>
  <si>
    <t xml:space="preserve">Reintegro a la Gobernacion </t>
  </si>
  <si>
    <t>Pago de Viatico año 2024</t>
  </si>
  <si>
    <t>AL 31-01-2025</t>
  </si>
  <si>
    <t xml:space="preserve">216 - PROVEDURÍA Y ALMACENES </t>
  </si>
  <si>
    <t>DICIEMBRE Bs. DCS-DA-012-2024</t>
  </si>
  <si>
    <r>
      <t xml:space="preserve">P/R Aumento del inventario de proveduría y almacenes según soportes anexos a oficio </t>
    </r>
    <r>
      <rPr>
        <b/>
        <sz val="11"/>
        <rFont val="Arial"/>
        <family val="2"/>
      </rPr>
      <t>N° DCS-DA-0001-2025</t>
    </r>
    <r>
      <rPr>
        <sz val="11"/>
        <rFont val="Arial"/>
        <family val="2"/>
      </rPr>
      <t>.</t>
    </r>
  </si>
  <si>
    <r>
      <t xml:space="preserve">P/R Disminución del inventario de proveduría y almacenes según soportes anexos a oficio </t>
    </r>
    <r>
      <rPr>
        <b/>
        <sz val="11"/>
        <rFont val="Arial"/>
        <family val="2"/>
      </rPr>
      <t>N° DCS-DA-0001-2025</t>
    </r>
    <r>
      <rPr>
        <sz val="11"/>
        <rFont val="Arial"/>
        <family val="2"/>
      </rPr>
      <t>.</t>
    </r>
  </si>
  <si>
    <t>BIENES EN USO AL 31/12/2024</t>
  </si>
  <si>
    <t>BIENES EN DESUSO AL 31/12/2024</t>
  </si>
  <si>
    <t>TOTAL SALDO DE INVENTARIO DEL MES DE ENERO 2025.</t>
  </si>
  <si>
    <t>SALDO EN BIENES AL 31/12/2024</t>
  </si>
  <si>
    <t>TOTAL SALDO EN BIENES SEGÚN OFICIO ENERO B2025 Nº 01, 02.</t>
  </si>
  <si>
    <r>
      <t xml:space="preserve">P/R Aumento del inventario de Bienes Muebles según resumen de movimiento anexo a oficio </t>
    </r>
    <r>
      <rPr>
        <b/>
        <sz val="11"/>
        <rFont val="Arial"/>
        <family val="2"/>
      </rPr>
      <t>N° B2025 Nº  0001, 0002.</t>
    </r>
  </si>
  <si>
    <t xml:space="preserve">P/R Traspaso entre Ctas para Cubrir  Comisiones Bancarias del mes de Enero según Nº de Trasferencia 18693466 </t>
  </si>
  <si>
    <t>P/R Traspaso entre Ctas. Para cubrir Comisiones Bancarias según Nota de Debito Nº 0002</t>
  </si>
  <si>
    <r>
      <t>P/R Depósitos realizados en el mes de Agosto registrados en los libros de movimiento de banco y relación de gastos Depósitos:</t>
    </r>
    <r>
      <rPr>
        <b/>
        <u/>
        <sz val="11"/>
        <rFont val="Arial"/>
        <family val="2"/>
      </rPr>
      <t>Cta. Cte. 5889:</t>
    </r>
    <r>
      <rPr>
        <sz val="11"/>
        <rFont val="Arial"/>
        <family val="2"/>
      </rPr>
      <t xml:space="preserve"> Nº 18859733  </t>
    </r>
    <r>
      <rPr>
        <b/>
        <sz val="11"/>
        <rFont val="Arial"/>
        <family val="2"/>
      </rPr>
      <t xml:space="preserve"> </t>
    </r>
    <r>
      <rPr>
        <b/>
        <u/>
        <sz val="11"/>
        <rFont val="Arial"/>
        <family val="2"/>
      </rPr>
      <t>Cta. Cte. 0116</t>
    </r>
    <r>
      <rPr>
        <b/>
        <sz val="11"/>
        <rFont val="Arial"/>
        <family val="2"/>
      </rPr>
      <t xml:space="preserve">: </t>
    </r>
    <r>
      <rPr>
        <sz val="11"/>
        <rFont val="Arial"/>
        <family val="2"/>
      </rPr>
      <t>N° 18859800</t>
    </r>
  </si>
  <si>
    <r>
      <t xml:space="preserve">P/R  </t>
    </r>
    <r>
      <rPr>
        <b/>
        <u/>
        <sz val="11"/>
        <rFont val="Arial"/>
        <family val="2"/>
      </rPr>
      <t>Cta. Cte. 5889</t>
    </r>
    <r>
      <rPr>
        <sz val="11"/>
        <rFont val="Arial"/>
        <family val="2"/>
      </rPr>
      <t xml:space="preserve">: Nº de Comprobante  0001, 0002, 0003, Nota de Debito Nº 0010 y Orden de Apgo Nº 0034.  </t>
    </r>
    <r>
      <rPr>
        <b/>
        <u/>
        <sz val="11"/>
        <rFont val="Arial"/>
        <family val="2"/>
      </rPr>
      <t>Cta. Cte. 116:</t>
    </r>
    <r>
      <rPr>
        <sz val="11"/>
        <rFont val="Arial"/>
        <family val="2"/>
      </rPr>
      <t xml:space="preserve">  Nº de Comprobante  0001,  Nota de Dedito Nº 0011 y Orden de Pago Nº 0035 Emitidas en el mes.</t>
    </r>
  </si>
  <si>
    <r>
      <t xml:space="preserve">P/R Cancelacion de saldo del </t>
    </r>
    <r>
      <rPr>
        <b/>
        <sz val="11"/>
        <rFont val="Arial"/>
        <family val="2"/>
      </rPr>
      <t>31/12/2024</t>
    </r>
    <r>
      <rPr>
        <sz val="11"/>
        <rFont val="Arial"/>
        <family val="2"/>
      </rPr>
      <t xml:space="preserve"> entre los Activos y Pasivos del Tesoro.</t>
    </r>
  </si>
  <si>
    <r>
      <t xml:space="preserve">Para establecer la nueva situacion financiera del tesoro al </t>
    </r>
    <r>
      <rPr>
        <b/>
        <sz val="12"/>
        <rFont val="Arial"/>
        <family val="2"/>
      </rPr>
      <t xml:space="preserve">31/01/2025 </t>
    </r>
    <r>
      <rPr>
        <sz val="12"/>
        <rFont val="Arial"/>
        <family val="2"/>
      </rPr>
      <t>entre los activos y pasivos del tesoro, de acuerdo a lo siguiente demostración:</t>
    </r>
  </si>
  <si>
    <t>P/R Nueva situacion financiera al 31/01/2025.</t>
  </si>
  <si>
    <t xml:space="preserve"> AL 31/01/2025</t>
  </si>
  <si>
    <t>MOVIMIENTO AL 31/01/2025</t>
  </si>
  <si>
    <t>AL 31/01/2025</t>
  </si>
  <si>
    <t>A1</t>
  </si>
  <si>
    <t>A2</t>
  </si>
  <si>
    <t>A3</t>
  </si>
  <si>
    <t>A4</t>
  </si>
  <si>
    <t>A5</t>
  </si>
  <si>
    <t>A6</t>
  </si>
  <si>
    <t>A7</t>
  </si>
  <si>
    <t>A8</t>
  </si>
  <si>
    <t>A9</t>
  </si>
  <si>
    <t>A10</t>
  </si>
  <si>
    <t>A11</t>
  </si>
  <si>
    <t>A12</t>
  </si>
  <si>
    <t>A13</t>
  </si>
  <si>
    <t>A14</t>
  </si>
  <si>
    <t>A15</t>
  </si>
  <si>
    <t>A16</t>
  </si>
  <si>
    <t>A17</t>
  </si>
  <si>
    <t>A18</t>
  </si>
  <si>
    <t>A19</t>
  </si>
  <si>
    <t>A20</t>
  </si>
  <si>
    <t>132 - FONDO DE TERCERO</t>
  </si>
  <si>
    <t>BANCO DEL TESORO CTA. CTE. Nº  3083000328</t>
  </si>
  <si>
    <r>
      <t xml:space="preserve">BANCO DE VENEZUELA CTA. CTE. Nº </t>
    </r>
    <r>
      <rPr>
        <b/>
        <sz val="17"/>
        <rFont val="Arial"/>
        <family val="2"/>
      </rPr>
      <t>0102-0373-27-00-00037196</t>
    </r>
    <r>
      <rPr>
        <sz val="17"/>
        <rFont val="Arial"/>
        <family val="2"/>
      </rPr>
      <t xml:space="preserve"> ( IVSS, FAOV, OTRAS RETENCIONES LABORALES)</t>
    </r>
  </si>
  <si>
    <r>
      <t xml:space="preserve">BANCO DEL TESORO CTA. CTE. Nº </t>
    </r>
    <r>
      <rPr>
        <b/>
        <sz val="18"/>
        <rFont val="Arial"/>
        <family val="2"/>
      </rPr>
      <t xml:space="preserve">0163-0308-90-9003005889 </t>
    </r>
    <r>
      <rPr>
        <sz val="18"/>
        <rFont val="Arial"/>
        <family val="2"/>
      </rPr>
      <t>( IVA, ISLR, 1*1000)</t>
    </r>
  </si>
  <si>
    <r>
      <t xml:space="preserve">BANCO DEL TESORO CTA. CTE. Nº </t>
    </r>
    <r>
      <rPr>
        <b/>
        <sz val="16"/>
        <rFont val="Arial"/>
        <family val="2"/>
      </rPr>
      <t>0163-0308-98-3083010116 (FONDO NEGRO PRIMERO)</t>
    </r>
  </si>
  <si>
    <t xml:space="preserve">SALDO DISPONIBLE EN EL LIBRO DE BANCO DE LA CUENTA FONDO DE TERCEROS </t>
  </si>
  <si>
    <t>TOTAL CTA. 132 DEL MAYOR………</t>
  </si>
  <si>
    <t>122 - INGRESOS POR RECAUDAR</t>
  </si>
  <si>
    <t>Mes</t>
  </si>
  <si>
    <t>VENEZUELA    0000106328</t>
  </si>
  <si>
    <t>VENEZUELA     0005875007</t>
  </si>
  <si>
    <t>TESORO    3083000216</t>
  </si>
  <si>
    <t>SISTEMA PATRIA</t>
  </si>
  <si>
    <t>ASIGNACIÓN PRESUPUESTARIA SEGÚN LEY</t>
  </si>
  <si>
    <t xml:space="preserve">Enero </t>
  </si>
  <si>
    <t>Febrero</t>
  </si>
  <si>
    <t>Marzo</t>
  </si>
  <si>
    <t>(-) TOTAL DOZAVOS TRANSFERIDOS POR LA GOBERNACIÓN</t>
  </si>
  <si>
    <t>Abril</t>
  </si>
  <si>
    <t>Mayo</t>
  </si>
  <si>
    <t>Junio</t>
  </si>
  <si>
    <t>Julio</t>
  </si>
  <si>
    <t>Agosto</t>
  </si>
  <si>
    <t>Septiembre</t>
  </si>
  <si>
    <t>Octubre</t>
  </si>
  <si>
    <t>Noviembre</t>
  </si>
  <si>
    <t>Diciembre</t>
  </si>
  <si>
    <t>TOTAL CTA. 122 DEL MAYOR………………</t>
  </si>
  <si>
    <t>Totales</t>
  </si>
  <si>
    <t xml:space="preserve">  </t>
  </si>
  <si>
    <t>TOTAL CTA. 301 DEL MAYOR………………</t>
  </si>
  <si>
    <t>TOTAL DE INGRESOS ORDINARIOS</t>
  </si>
  <si>
    <t>200 - SITUACION FISCAL DEL TESORO</t>
  </si>
  <si>
    <t>PAGARON EN FEBRERO A DICIEMBRE</t>
  </si>
  <si>
    <t>BANCO NACIONAL DE CRÉDITO CTA. CTE. Nº 0191-0551-27-2100001739, GASTO DE FUNCIONAMIENTO E INVERSIÓN. (SIN USO)</t>
  </si>
  <si>
    <t>1739</t>
  </si>
  <si>
    <r>
      <t xml:space="preserve">(-) COMISIONES GENERADA EN EL MES DE ENERO DE LA CTA. CTE. Nº </t>
    </r>
    <r>
      <rPr>
        <b/>
        <sz val="18"/>
        <rFont val="Arial"/>
        <family val="2"/>
      </rPr>
      <t xml:space="preserve">0163-0308-98-3083010116 </t>
    </r>
    <r>
      <rPr>
        <sz val="18"/>
        <rFont val="Arial"/>
        <family val="2"/>
      </rPr>
      <t xml:space="preserve">DE FONDO DE TERCERO PENDIENTE POR TRANSPASAR A LA CUENTA </t>
    </r>
  </si>
  <si>
    <t>(+) META DEL POA DE INGRESOS PROPIOS 2025</t>
  </si>
  <si>
    <r>
      <t xml:space="preserve">(-) COMISIONES GENERADA EN EL MES DE ENERO DE LA CTA. CTE. Nº </t>
    </r>
    <r>
      <rPr>
        <b/>
        <sz val="18"/>
        <rFont val="Arial"/>
        <family val="2"/>
      </rPr>
      <t xml:space="preserve">0163-0308-90-9003005889 </t>
    </r>
    <r>
      <rPr>
        <sz val="18"/>
        <rFont val="Arial"/>
        <family val="2"/>
      </rPr>
      <t xml:space="preserve">DE FONDO DE TERCERO PENDIENTE POR TRANSPASAR A LA CUENTA </t>
    </r>
  </si>
  <si>
    <t>ENERO Bs. DCS-DA-001-2025</t>
  </si>
  <si>
    <t>(-) Orden de pago + Gasto por Pagar</t>
  </si>
  <si>
    <t>301 - INGRESOS ORDINARIOS</t>
  </si>
  <si>
    <t>P/R Ingresos recaudados en el mes S/Planilla de Liquidación Nº 002/2025</t>
  </si>
  <si>
    <t>P/R Ingresos del Ejercicio Económico-Financiero 2025 distribuido de la siguiente manera: Gastos de Personal, Funcionamiento e Inversion, según Estructura de Ingresos anexa a Resolución Administrativa DG-ADM 001/2025, articulo Nº 01.02</t>
  </si>
  <si>
    <r>
      <t xml:space="preserve">(-) COMISIONES GENERADA EN EL MES DE ENERO DE LA CTA. CTE. Nº </t>
    </r>
    <r>
      <rPr>
        <b/>
        <sz val="18"/>
        <rFont val="Arial"/>
        <family val="2"/>
      </rPr>
      <t xml:space="preserve">0191-0551-27-2100001739 </t>
    </r>
    <r>
      <rPr>
        <sz val="18"/>
        <rFont val="Arial"/>
        <family val="2"/>
      </rPr>
      <t xml:space="preserve">DE GASTOS DE FUNCIONAMIENTO E INVERSIÓN PENDIENTE  POR TRANSPASAR A LA CUENTA </t>
    </r>
  </si>
  <si>
    <t>TOTAL POR RECAUDAR AÑO 2025</t>
  </si>
  <si>
    <t xml:space="preserve">(+) CRÉDITO ORDINARIO DE INGRESOS PROPIOS </t>
  </si>
  <si>
    <t>(-) INGRESOS PROPIOS (VENTAS)</t>
  </si>
  <si>
    <t>(-) INGRESOS PROPIOS (CRÉDITO ORDINARIO)</t>
  </si>
  <si>
    <t>INGRESOS POR RECAUDAR AL 31/01/2025</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</si>
</sst>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43" formatCode="_ * #,##0.00_ ;_ * \-#,##0.00_ ;_ * &quot;-&quot;??_ ;_ @_ "/>
    <numFmt numFmtId="164" formatCode="dd\-mm\-yy;@"/>
    <numFmt numFmtId="165" formatCode="d/m/yy;@"/>
    <numFmt numFmtId="166" formatCode="dd/mm/yyyy;@"/>
    <numFmt numFmtId="167" formatCode="#,##0.00;[Red]#,##0.00"/>
    <numFmt numFmtId="168" formatCode="#,##0.00\ _€"/>
    <numFmt numFmtId="169" formatCode="#,##0.000"/>
    <numFmt numFmtId="170" formatCode="#,##0.000000"/>
    <numFmt numFmtId="171" formatCode="#,##0.0000000"/>
    <numFmt numFmtId="172" formatCode="0.0000000"/>
    <numFmt numFmtId="173" formatCode="#,##0.0000"/>
    <numFmt numFmtId="174" formatCode="#,##0.00000000"/>
    <numFmt numFmtId="175" formatCode="#,##0.0"/>
    <numFmt numFmtId="176" formatCode="[$-C0A]d\-mmm;@"/>
    <numFmt numFmtId="177" formatCode="[$-C0A]d\ &quot;de&quot;\ mmmm\ &quot;de&quot;\ yyyy;@"/>
    <numFmt numFmtId="178" formatCode="[$-200A]d&quot; de &quot;mmmm&quot; de &quot;yyyy;@"/>
    <numFmt numFmtId="179" formatCode="_([$€-2]\ * #,##0.00_);_([$€-2]\ * \(#,##0.00\);_([$€-2]\ * &quot;-&quot;??_)"/>
    <numFmt numFmtId="180" formatCode="_(* #,##0.00_);_(* \(#,##0.00\);_(* &quot;-&quot;??_);_(@_)"/>
  </numFmts>
  <fonts count="146" x14ac:knownFonts="1">
    <font>
      <sz val="11"/>
      <color theme="1"/>
      <name val="Calibri"/>
      <family val="2"/>
      <scheme val="minor"/>
    </font>
    <font>
      <b/>
      <sz val="11"/>
      <color theme="1"/>
      <name val="Calibri"/>
      <family val="2"/>
      <scheme val="minor"/>
    </font>
    <font>
      <sz val="10"/>
      <name val="Arial"/>
      <family val="2"/>
    </font>
    <font>
      <b/>
      <sz val="10"/>
      <name val="Arial"/>
      <family val="2"/>
    </font>
    <font>
      <sz val="12"/>
      <name val="Arial"/>
      <family val="2"/>
    </font>
    <font>
      <b/>
      <sz val="12"/>
      <name val="Arial"/>
      <family val="2"/>
    </font>
    <font>
      <sz val="9"/>
      <name val="Arial"/>
      <family val="2"/>
    </font>
    <font>
      <b/>
      <sz val="12"/>
      <color theme="1"/>
      <name val="Calibri"/>
      <family val="2"/>
      <scheme val="minor"/>
    </font>
    <font>
      <sz val="10"/>
      <name val="Calibri"/>
      <family val="2"/>
      <scheme val="minor"/>
    </font>
    <font>
      <sz val="10"/>
      <name val="Calibri"/>
      <family val="2"/>
    </font>
    <font>
      <sz val="11"/>
      <color indexed="8"/>
      <name val="Calibri"/>
      <family val="2"/>
    </font>
    <font>
      <b/>
      <sz val="14"/>
      <name val="Arial"/>
      <family val="2"/>
    </font>
    <font>
      <b/>
      <sz val="11"/>
      <name val="Arial"/>
      <family val="2"/>
    </font>
    <font>
      <sz val="11"/>
      <name val="Calibri"/>
      <family val="2"/>
    </font>
    <font>
      <b/>
      <sz val="11"/>
      <name val="Calibri"/>
      <family val="2"/>
    </font>
    <font>
      <b/>
      <sz val="12"/>
      <color indexed="8"/>
      <name val="Calibri"/>
      <family val="2"/>
    </font>
    <font>
      <sz val="11"/>
      <name val="Arial"/>
      <family val="2"/>
    </font>
    <font>
      <sz val="11"/>
      <name val="Calibri"/>
      <family val="2"/>
      <scheme val="minor"/>
    </font>
    <font>
      <b/>
      <sz val="14"/>
      <color theme="1"/>
      <name val="Calibri"/>
      <family val="2"/>
      <scheme val="minor"/>
    </font>
    <font>
      <sz val="10"/>
      <color theme="1"/>
      <name val="Calibri"/>
      <family val="2"/>
      <scheme val="minor"/>
    </font>
    <font>
      <sz val="12"/>
      <color theme="1"/>
      <name val="Arial"/>
      <family val="2"/>
    </font>
    <font>
      <b/>
      <sz val="12"/>
      <color theme="1"/>
      <name val="Arial"/>
      <family val="2"/>
    </font>
    <font>
      <b/>
      <sz val="10"/>
      <color theme="0"/>
      <name val="Arial"/>
      <family val="2"/>
    </font>
    <font>
      <b/>
      <sz val="8"/>
      <name val="Arial"/>
      <family val="2"/>
    </font>
    <font>
      <sz val="16"/>
      <name val="Arial"/>
      <family val="2"/>
    </font>
    <font>
      <sz val="12"/>
      <color theme="1"/>
      <name val="Calibri"/>
      <family val="2"/>
      <scheme val="minor"/>
    </font>
    <font>
      <sz val="14"/>
      <color theme="1"/>
      <name val="Calibri"/>
      <family val="2"/>
      <scheme val="minor"/>
    </font>
    <font>
      <sz val="11"/>
      <color theme="1"/>
      <name val="Calibri"/>
      <family val="2"/>
    </font>
    <font>
      <b/>
      <sz val="11"/>
      <color indexed="8"/>
      <name val="Calibri"/>
      <family val="2"/>
    </font>
    <font>
      <b/>
      <u/>
      <sz val="11"/>
      <name val="Calibri"/>
      <family val="2"/>
    </font>
    <font>
      <u/>
      <sz val="11"/>
      <name val="Calibri"/>
      <family val="2"/>
    </font>
    <font>
      <sz val="8"/>
      <name val="Calibri"/>
      <family val="2"/>
    </font>
    <font>
      <sz val="12"/>
      <name val="Calibri"/>
      <family val="2"/>
    </font>
    <font>
      <sz val="12"/>
      <color indexed="8"/>
      <name val="Calibri"/>
      <family val="2"/>
    </font>
    <font>
      <sz val="14"/>
      <name val="Arial"/>
      <family val="2"/>
    </font>
    <font>
      <b/>
      <sz val="14"/>
      <color theme="1"/>
      <name val="Arial"/>
      <family val="2"/>
    </font>
    <font>
      <sz val="8"/>
      <name val="Arial"/>
      <family val="2"/>
    </font>
    <font>
      <b/>
      <sz val="12"/>
      <name val="Calibri"/>
      <family val="2"/>
    </font>
    <font>
      <b/>
      <sz val="10"/>
      <color theme="1"/>
      <name val="Arial"/>
      <family val="2"/>
    </font>
    <font>
      <sz val="14"/>
      <color theme="1"/>
      <name val="Arial"/>
      <family val="2"/>
    </font>
    <font>
      <sz val="10"/>
      <color theme="1"/>
      <name val="Arial"/>
      <family val="2"/>
    </font>
    <font>
      <b/>
      <sz val="10"/>
      <color indexed="10"/>
      <name val="Arial"/>
      <family val="2"/>
    </font>
    <font>
      <sz val="11"/>
      <color theme="1"/>
      <name val="Arial"/>
      <family val="2"/>
    </font>
    <font>
      <b/>
      <sz val="16"/>
      <name val="Arial"/>
      <family val="2"/>
    </font>
    <font>
      <b/>
      <sz val="16"/>
      <color theme="1"/>
      <name val="Arial"/>
      <family val="2"/>
    </font>
    <font>
      <sz val="16"/>
      <color theme="1"/>
      <name val="Arial"/>
      <family val="2"/>
    </font>
    <font>
      <b/>
      <sz val="18"/>
      <name val="Arial"/>
      <family val="2"/>
    </font>
    <font>
      <sz val="18"/>
      <name val="Arial"/>
      <family val="2"/>
    </font>
    <font>
      <sz val="18"/>
      <color theme="1"/>
      <name val="Arial"/>
      <family val="2"/>
    </font>
    <font>
      <b/>
      <sz val="18"/>
      <color theme="1"/>
      <name val="Arial"/>
      <family val="2"/>
    </font>
    <font>
      <sz val="16"/>
      <color theme="1"/>
      <name val="Calibri"/>
      <family val="2"/>
      <scheme val="minor"/>
    </font>
    <font>
      <sz val="18"/>
      <color theme="1"/>
      <name val="Calibri"/>
      <family val="2"/>
      <scheme val="minor"/>
    </font>
    <font>
      <sz val="16"/>
      <name val="Calibri"/>
      <family val="2"/>
      <scheme val="minor"/>
    </font>
    <font>
      <b/>
      <sz val="16"/>
      <name val="Calibri"/>
      <family val="2"/>
      <scheme val="minor"/>
    </font>
    <font>
      <sz val="8"/>
      <color theme="1"/>
      <name val="Arial"/>
      <family val="2"/>
    </font>
    <font>
      <b/>
      <sz val="8"/>
      <color theme="1"/>
      <name val="Arial"/>
      <family val="2"/>
    </font>
    <font>
      <b/>
      <sz val="9"/>
      <color indexed="8"/>
      <name val="Calibri"/>
      <family val="2"/>
    </font>
    <font>
      <sz val="10"/>
      <name val="Arial"/>
      <family val="2"/>
    </font>
    <font>
      <sz val="12"/>
      <color rgb="FFFF0000"/>
      <name val="Calibri"/>
      <family val="2"/>
      <scheme val="minor"/>
    </font>
    <font>
      <sz val="18"/>
      <name val="Calibri"/>
      <family val="2"/>
      <scheme val="minor"/>
    </font>
    <font>
      <sz val="12"/>
      <color theme="0"/>
      <name val="Arial"/>
      <family val="2"/>
    </font>
    <font>
      <sz val="28"/>
      <name val="Arial"/>
      <family val="2"/>
    </font>
    <font>
      <b/>
      <sz val="10"/>
      <color indexed="8"/>
      <name val="Calibri"/>
      <family val="2"/>
    </font>
    <font>
      <sz val="10"/>
      <color theme="1"/>
      <name val="Calibri"/>
      <family val="2"/>
    </font>
    <font>
      <b/>
      <sz val="10"/>
      <color rgb="FF000000"/>
      <name val="Arial"/>
      <family val="2"/>
    </font>
    <font>
      <sz val="10"/>
      <color rgb="FF000000"/>
      <name val="Calibri"/>
      <family val="2"/>
    </font>
    <font>
      <sz val="18"/>
      <name val="Calibri"/>
      <family val="2"/>
    </font>
    <font>
      <b/>
      <u/>
      <sz val="10"/>
      <name val="Arial"/>
      <family val="2"/>
    </font>
    <font>
      <sz val="12"/>
      <color rgb="FFFF0000"/>
      <name val="Arial"/>
      <family val="2"/>
    </font>
    <font>
      <b/>
      <sz val="16"/>
      <color theme="1"/>
      <name val="Calibri"/>
      <family val="2"/>
      <scheme val="minor"/>
    </font>
    <font>
      <sz val="9"/>
      <color theme="1"/>
      <name val="Arial"/>
      <family val="2"/>
    </font>
    <font>
      <b/>
      <sz val="9"/>
      <name val="Arial"/>
      <family val="2"/>
    </font>
    <font>
      <b/>
      <sz val="12"/>
      <color rgb="FF000000"/>
      <name val="Arial"/>
      <family val="2"/>
    </font>
    <font>
      <sz val="12"/>
      <color theme="1"/>
      <name val="Calibri"/>
      <family val="2"/>
    </font>
    <font>
      <sz val="12"/>
      <color rgb="FF000000"/>
      <name val="Calibri"/>
      <family val="2"/>
    </font>
    <font>
      <sz val="12"/>
      <color rgb="FF000000"/>
      <name val="Arial"/>
      <family val="2"/>
    </font>
    <font>
      <b/>
      <sz val="10"/>
      <color indexed="8"/>
      <name val="Arial"/>
      <family val="2"/>
    </font>
    <font>
      <b/>
      <sz val="11"/>
      <color indexed="8"/>
      <name val="Arial"/>
      <family val="2"/>
    </font>
    <font>
      <b/>
      <sz val="18"/>
      <color indexed="8"/>
      <name val="Calibri"/>
      <family val="2"/>
    </font>
    <font>
      <b/>
      <sz val="18"/>
      <color indexed="8"/>
      <name val="Arial"/>
      <family val="2"/>
    </font>
    <font>
      <sz val="13"/>
      <name val="Arial"/>
      <family val="2"/>
    </font>
    <font>
      <b/>
      <sz val="14"/>
      <color indexed="8"/>
      <name val="Calibri"/>
      <family val="2"/>
    </font>
    <font>
      <b/>
      <sz val="16"/>
      <color indexed="8"/>
      <name val="Calibri"/>
      <family val="2"/>
    </font>
    <font>
      <b/>
      <sz val="18"/>
      <color theme="1"/>
      <name val="Calibri"/>
      <family val="2"/>
      <scheme val="minor"/>
    </font>
    <font>
      <b/>
      <sz val="20"/>
      <color theme="1"/>
      <name val="Calibri"/>
      <family val="2"/>
      <scheme val="minor"/>
    </font>
    <font>
      <sz val="14"/>
      <color theme="1"/>
      <name val="Calibri"/>
      <family val="2"/>
    </font>
    <font>
      <b/>
      <sz val="13"/>
      <name val="Arial"/>
      <family val="2"/>
    </font>
    <font>
      <sz val="13"/>
      <color theme="1"/>
      <name val="Arial"/>
      <family val="2"/>
    </font>
    <font>
      <sz val="22"/>
      <name val="Arial"/>
      <family val="2"/>
    </font>
    <font>
      <sz val="20"/>
      <name val="Arial"/>
      <family val="2"/>
    </font>
    <font>
      <sz val="11"/>
      <color rgb="FFFF0000"/>
      <name val="Arial"/>
      <family val="2"/>
    </font>
    <font>
      <b/>
      <sz val="20"/>
      <name val="Arial"/>
      <family val="2"/>
    </font>
    <font>
      <b/>
      <sz val="18"/>
      <name val="Calibri"/>
      <family val="2"/>
    </font>
    <font>
      <b/>
      <sz val="18"/>
      <color indexed="8"/>
      <name val="Calibri"/>
      <family val="2"/>
      <scheme val="minor"/>
    </font>
    <font>
      <sz val="20"/>
      <color theme="1"/>
      <name val="Calibri"/>
      <family val="2"/>
      <scheme val="minor"/>
    </font>
    <font>
      <sz val="9"/>
      <color theme="1"/>
      <name val="Calibri"/>
      <family val="2"/>
      <scheme val="minor"/>
    </font>
    <font>
      <b/>
      <sz val="26"/>
      <name val="Arial"/>
      <family val="2"/>
    </font>
    <font>
      <sz val="20"/>
      <color theme="1"/>
      <name val="Arial"/>
      <family val="2"/>
    </font>
    <font>
      <sz val="24"/>
      <name val="Arial"/>
      <family val="2"/>
    </font>
    <font>
      <sz val="24"/>
      <color theme="1"/>
      <name val="Arial"/>
      <family val="2"/>
    </font>
    <font>
      <sz val="15"/>
      <name val="Arial"/>
      <family val="2"/>
    </font>
    <font>
      <b/>
      <u/>
      <sz val="11"/>
      <name val="Arial"/>
      <family val="2"/>
    </font>
    <font>
      <sz val="20"/>
      <name val="Calibri"/>
      <family val="2"/>
      <scheme val="minor"/>
    </font>
    <font>
      <sz val="24"/>
      <color theme="1"/>
      <name val="Calibri"/>
      <family val="2"/>
      <scheme val="minor"/>
    </font>
    <font>
      <sz val="22"/>
      <color theme="1"/>
      <name val="Calibri"/>
      <family val="2"/>
      <scheme val="minor"/>
    </font>
    <font>
      <b/>
      <sz val="22"/>
      <color theme="1"/>
      <name val="Calibri"/>
      <family val="2"/>
      <scheme val="minor"/>
    </font>
    <font>
      <b/>
      <sz val="14"/>
      <color rgb="FF000000"/>
      <name val="Arial"/>
      <family val="2"/>
    </font>
    <font>
      <b/>
      <u/>
      <sz val="14"/>
      <name val="Arial"/>
      <family val="2"/>
    </font>
    <font>
      <b/>
      <sz val="11"/>
      <color theme="1"/>
      <name val="Arial"/>
      <family val="2"/>
    </font>
    <font>
      <b/>
      <sz val="7"/>
      <name val="Arial"/>
      <family val="2"/>
    </font>
    <font>
      <b/>
      <sz val="12"/>
      <color indexed="8"/>
      <name val="Arial"/>
      <family val="2"/>
    </font>
    <font>
      <sz val="10"/>
      <color rgb="FF000000"/>
      <name val="Arial"/>
      <family val="2"/>
    </font>
    <font>
      <b/>
      <sz val="22"/>
      <name val="Arial"/>
      <family val="2"/>
    </font>
    <font>
      <b/>
      <sz val="20"/>
      <color theme="1"/>
      <name val="Arial"/>
      <family val="2"/>
    </font>
    <font>
      <b/>
      <sz val="16"/>
      <color rgb="FF000000"/>
      <name val="Arial"/>
      <family val="2"/>
    </font>
    <font>
      <sz val="22"/>
      <color theme="1"/>
      <name val="Arial"/>
      <family val="2"/>
    </font>
    <font>
      <sz val="22"/>
      <color rgb="FFFF0000"/>
      <name val="Arial"/>
      <family val="2"/>
    </font>
    <font>
      <b/>
      <u/>
      <sz val="12"/>
      <name val="Arial"/>
      <family val="2"/>
    </font>
    <font>
      <b/>
      <u val="double"/>
      <sz val="12"/>
      <color theme="1"/>
      <name val="Arial"/>
      <family val="2"/>
    </font>
    <font>
      <u val="double"/>
      <sz val="12"/>
      <color theme="1"/>
      <name val="Arial"/>
      <family val="2"/>
    </font>
    <font>
      <b/>
      <u/>
      <sz val="12"/>
      <color theme="1"/>
      <name val="Arial"/>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5"/>
      <color indexed="56"/>
      <name val="Calibri"/>
      <family val="2"/>
    </font>
    <font>
      <b/>
      <sz val="13"/>
      <color indexed="56"/>
      <name val="Calibri"/>
      <family val="2"/>
    </font>
    <font>
      <b/>
      <sz val="18"/>
      <color indexed="56"/>
      <name val="Cambria"/>
      <family val="2"/>
    </font>
    <font>
      <sz val="17"/>
      <name val="Arial"/>
      <family val="2"/>
    </font>
    <font>
      <b/>
      <sz val="17"/>
      <name val="Arial"/>
      <family val="2"/>
    </font>
    <font>
      <sz val="26"/>
      <name val="Arial"/>
      <family val="2"/>
    </font>
    <font>
      <b/>
      <sz val="30"/>
      <name val="Arial"/>
      <family val="2"/>
    </font>
    <font>
      <b/>
      <sz val="12"/>
      <color theme="1"/>
      <name val="Times New Roman"/>
      <family val="1"/>
    </font>
    <font>
      <b/>
      <sz val="10"/>
      <color theme="1"/>
      <name val="Times New Roman"/>
      <family val="1"/>
    </font>
    <font>
      <b/>
      <sz val="14"/>
      <color theme="1"/>
      <name val="Times New Roman"/>
      <family val="1"/>
    </font>
    <font>
      <sz val="16"/>
      <color theme="1"/>
      <name val="Times New Roman"/>
      <family val="1"/>
    </font>
    <font>
      <sz val="13"/>
      <color theme="1"/>
      <name val="Calibri"/>
      <family val="2"/>
      <scheme val="minor"/>
    </font>
    <font>
      <b/>
      <sz val="19"/>
      <name val="Arial"/>
      <family val="2"/>
    </font>
  </fonts>
  <fills count="40">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indexed="13"/>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00B0F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FF0000"/>
        <bgColor indexed="64"/>
      </patternFill>
    </fill>
    <fill>
      <patternFill patternType="solid">
        <fgColor rgb="FF00BDEA"/>
        <bgColor indexed="64"/>
      </patternFill>
    </fill>
    <fill>
      <patternFill patternType="solid">
        <fgColor rgb="FF65E2FF"/>
        <bgColor indexed="64"/>
      </patternFill>
    </fill>
    <fill>
      <patternFill patternType="solid">
        <fgColor theme="5" tint="0.59999389629810485"/>
        <bgColor indexed="64"/>
      </patternFill>
    </fill>
    <fill>
      <patternFill patternType="solid">
        <fgColor rgb="FFFFC0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right/>
      <top/>
      <bottom style="medium">
        <color indexed="64"/>
      </bottom>
      <diagonal/>
    </border>
    <border>
      <left/>
      <right/>
      <top/>
      <bottom style="double">
        <color indexed="64"/>
      </bottom>
      <diagonal/>
    </border>
    <border>
      <left/>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medium">
        <color indexed="64"/>
      </top>
      <bottom/>
      <diagonal/>
    </border>
    <border>
      <left style="medium">
        <color indexed="64"/>
      </left>
      <right style="medium">
        <color indexed="64"/>
      </right>
      <top/>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thin">
        <color indexed="64"/>
      </left>
      <right style="thin">
        <color indexed="64"/>
      </right>
      <top/>
      <bottom style="medium">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bottom/>
      <diagonal/>
    </border>
    <border>
      <left/>
      <right style="medium">
        <color indexed="64"/>
      </right>
      <top style="medium">
        <color indexed="64"/>
      </top>
      <bottom/>
      <diagonal/>
    </border>
    <border>
      <left style="thin">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style="thin">
        <color indexed="64"/>
      </right>
      <top/>
      <bottom style="medium">
        <color indexed="64"/>
      </bottom>
      <diagonal/>
    </border>
    <border>
      <left/>
      <right style="medium">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right/>
      <top/>
      <bottom style="thick">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s>
  <cellStyleXfs count="290">
    <xf numFmtId="0" fontId="0" fillId="0" borderId="0"/>
    <xf numFmtId="0" fontId="2" fillId="0" borderId="0"/>
    <xf numFmtId="0" fontId="10" fillId="0" borderId="0"/>
    <xf numFmtId="0" fontId="2" fillId="0" borderId="0"/>
    <xf numFmtId="43" fontId="2" fillId="0" borderId="0" applyFont="0" applyFill="0" applyBorder="0" applyAlignment="0" applyProtection="0"/>
    <xf numFmtId="0" fontId="2" fillId="0" borderId="0"/>
    <xf numFmtId="0" fontId="2" fillId="0" borderId="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xf numFmtId="0" fontId="57" fillId="0" borderId="0"/>
    <xf numFmtId="0" fontId="2" fillId="0" borderId="0"/>
    <xf numFmtId="0" fontId="2" fillId="0" borderId="0"/>
    <xf numFmtId="0" fontId="2" fillId="0" borderId="0"/>
    <xf numFmtId="0" fontId="2" fillId="0" borderId="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21" fillId="28" borderId="0" applyNumberFormat="0" applyBorder="0" applyAlignment="0" applyProtection="0"/>
    <xf numFmtId="0" fontId="121" fillId="28" borderId="0" applyNumberFormat="0" applyBorder="0" applyAlignment="0" applyProtection="0"/>
    <xf numFmtId="0" fontId="121" fillId="28" borderId="0" applyNumberFormat="0" applyBorder="0" applyAlignment="0" applyProtection="0"/>
    <xf numFmtId="0" fontId="121" fillId="28" borderId="0" applyNumberFormat="0" applyBorder="0" applyAlignment="0" applyProtection="0"/>
    <xf numFmtId="0" fontId="121" fillId="28" borderId="0" applyNumberFormat="0" applyBorder="0" applyAlignment="0" applyProtection="0"/>
    <xf numFmtId="0" fontId="121" fillId="28" borderId="0" applyNumberFormat="0" applyBorder="0" applyAlignment="0" applyProtection="0"/>
    <xf numFmtId="0" fontId="121" fillId="25" borderId="0" applyNumberFormat="0" applyBorder="0" applyAlignment="0" applyProtection="0"/>
    <xf numFmtId="0" fontId="121" fillId="25" borderId="0" applyNumberFormat="0" applyBorder="0" applyAlignment="0" applyProtection="0"/>
    <xf numFmtId="0" fontId="121" fillId="25" borderId="0" applyNumberFormat="0" applyBorder="0" applyAlignment="0" applyProtection="0"/>
    <xf numFmtId="0" fontId="121" fillId="25" borderId="0" applyNumberFormat="0" applyBorder="0" applyAlignment="0" applyProtection="0"/>
    <xf numFmtId="0" fontId="121" fillId="25" borderId="0" applyNumberFormat="0" applyBorder="0" applyAlignment="0" applyProtection="0"/>
    <xf numFmtId="0" fontId="121" fillId="25"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3" fillId="32" borderId="77" applyNumberFormat="0" applyAlignment="0" applyProtection="0"/>
    <xf numFmtId="0" fontId="123" fillId="32" borderId="77" applyNumberFormat="0" applyAlignment="0" applyProtection="0"/>
    <xf numFmtId="0" fontId="123" fillId="32" borderId="77" applyNumberFormat="0" applyAlignment="0" applyProtection="0"/>
    <xf numFmtId="0" fontId="123" fillId="32" borderId="77" applyNumberFormat="0" applyAlignment="0" applyProtection="0"/>
    <xf numFmtId="0" fontId="123" fillId="32" borderId="77" applyNumberFormat="0" applyAlignment="0" applyProtection="0"/>
    <xf numFmtId="0" fontId="123" fillId="32" borderId="77" applyNumberFormat="0" applyAlignment="0" applyProtection="0"/>
    <xf numFmtId="0" fontId="124" fillId="33" borderId="78" applyNumberFormat="0" applyAlignment="0" applyProtection="0"/>
    <xf numFmtId="0" fontId="124" fillId="33" borderId="78" applyNumberFormat="0" applyAlignment="0" applyProtection="0"/>
    <xf numFmtId="0" fontId="124" fillId="33" borderId="78" applyNumberFormat="0" applyAlignment="0" applyProtection="0"/>
    <xf numFmtId="0" fontId="124" fillId="33" borderId="78" applyNumberFormat="0" applyAlignment="0" applyProtection="0"/>
    <xf numFmtId="0" fontId="124" fillId="33" borderId="78" applyNumberFormat="0" applyAlignment="0" applyProtection="0"/>
    <xf numFmtId="0" fontId="124" fillId="33" borderId="78" applyNumberFormat="0" applyAlignment="0" applyProtection="0"/>
    <xf numFmtId="0" fontId="125" fillId="0" borderId="79" applyNumberFormat="0" applyFill="0" applyAlignment="0" applyProtection="0"/>
    <xf numFmtId="0" fontId="125" fillId="0" borderId="79" applyNumberFormat="0" applyFill="0" applyAlignment="0" applyProtection="0"/>
    <xf numFmtId="0" fontId="125" fillId="0" borderId="79" applyNumberFormat="0" applyFill="0" applyAlignment="0" applyProtection="0"/>
    <xf numFmtId="0" fontId="125" fillId="0" borderId="79" applyNumberFormat="0" applyFill="0" applyAlignment="0" applyProtection="0"/>
    <xf numFmtId="0" fontId="125" fillId="0" borderId="79" applyNumberFormat="0" applyFill="0" applyAlignment="0" applyProtection="0"/>
    <xf numFmtId="0" fontId="125" fillId="0" borderId="79" applyNumberFormat="0" applyFill="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1" fillId="34" borderId="0" applyNumberFormat="0" applyBorder="0" applyAlignment="0" applyProtection="0"/>
    <xf numFmtId="0" fontId="121" fillId="34" borderId="0" applyNumberFormat="0" applyBorder="0" applyAlignment="0" applyProtection="0"/>
    <xf numFmtId="0" fontId="121" fillId="34" borderId="0" applyNumberFormat="0" applyBorder="0" applyAlignment="0" applyProtection="0"/>
    <xf numFmtId="0" fontId="121" fillId="34" borderId="0" applyNumberFormat="0" applyBorder="0" applyAlignment="0" applyProtection="0"/>
    <xf numFmtId="0" fontId="121" fillId="34" borderId="0" applyNumberFormat="0" applyBorder="0" applyAlignment="0" applyProtection="0"/>
    <xf numFmtId="0" fontId="121" fillId="34" borderId="0" applyNumberFormat="0" applyBorder="0" applyAlignment="0" applyProtection="0"/>
    <xf numFmtId="0" fontId="121" fillId="35" borderId="0" applyNumberFormat="0" applyBorder="0" applyAlignment="0" applyProtection="0"/>
    <xf numFmtId="0" fontId="121" fillId="35" borderId="0" applyNumberFormat="0" applyBorder="0" applyAlignment="0" applyProtection="0"/>
    <xf numFmtId="0" fontId="121" fillId="35" borderId="0" applyNumberFormat="0" applyBorder="0" applyAlignment="0" applyProtection="0"/>
    <xf numFmtId="0" fontId="121" fillId="35" borderId="0" applyNumberFormat="0" applyBorder="0" applyAlignment="0" applyProtection="0"/>
    <xf numFmtId="0" fontId="121" fillId="35" borderId="0" applyNumberFormat="0" applyBorder="0" applyAlignment="0" applyProtection="0"/>
    <xf numFmtId="0" fontId="121" fillId="35" borderId="0" applyNumberFormat="0" applyBorder="0" applyAlignment="0" applyProtection="0"/>
    <xf numFmtId="0" fontId="121" fillId="36" borderId="0" applyNumberFormat="0" applyBorder="0" applyAlignment="0" applyProtection="0"/>
    <xf numFmtId="0" fontId="121" fillId="36" borderId="0" applyNumberFormat="0" applyBorder="0" applyAlignment="0" applyProtection="0"/>
    <xf numFmtId="0" fontId="121" fillId="36" borderId="0" applyNumberFormat="0" applyBorder="0" applyAlignment="0" applyProtection="0"/>
    <xf numFmtId="0" fontId="121" fillId="36" borderId="0" applyNumberFormat="0" applyBorder="0" applyAlignment="0" applyProtection="0"/>
    <xf numFmtId="0" fontId="121" fillId="36" borderId="0" applyNumberFormat="0" applyBorder="0" applyAlignment="0" applyProtection="0"/>
    <xf numFmtId="0" fontId="121" fillId="36"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29"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7" borderId="0" applyNumberFormat="0" applyBorder="0" applyAlignment="0" applyProtection="0"/>
    <xf numFmtId="0" fontId="121" fillId="37" borderId="0" applyNumberFormat="0" applyBorder="0" applyAlignment="0" applyProtection="0"/>
    <xf numFmtId="0" fontId="121" fillId="37" borderId="0" applyNumberFormat="0" applyBorder="0" applyAlignment="0" applyProtection="0"/>
    <xf numFmtId="0" fontId="121" fillId="37" borderId="0" applyNumberFormat="0" applyBorder="0" applyAlignment="0" applyProtection="0"/>
    <xf numFmtId="0" fontId="121" fillId="37" borderId="0" applyNumberFormat="0" applyBorder="0" applyAlignment="0" applyProtection="0"/>
    <xf numFmtId="0" fontId="121" fillId="37" borderId="0" applyNumberFormat="0" applyBorder="0" applyAlignment="0" applyProtection="0"/>
    <xf numFmtId="0" fontId="127" fillId="23" borderId="77" applyNumberFormat="0" applyAlignment="0" applyProtection="0"/>
    <xf numFmtId="0" fontId="127" fillId="23" borderId="77" applyNumberFormat="0" applyAlignment="0" applyProtection="0"/>
    <xf numFmtId="0" fontId="127" fillId="23" borderId="77" applyNumberFormat="0" applyAlignment="0" applyProtection="0"/>
    <xf numFmtId="0" fontId="127" fillId="23" borderId="77" applyNumberFormat="0" applyAlignment="0" applyProtection="0"/>
    <xf numFmtId="0" fontId="127" fillId="23" borderId="77" applyNumberFormat="0" applyAlignment="0" applyProtection="0"/>
    <xf numFmtId="0" fontId="127" fillId="23" borderId="77" applyNumberFormat="0" applyAlignment="0" applyProtection="0"/>
    <xf numFmtId="179" fontId="2" fillId="0" borderId="0" applyFont="0" applyFill="0" applyBorder="0" applyAlignment="0" applyProtection="0"/>
    <xf numFmtId="179" fontId="2" fillId="0" borderId="0" applyFont="0" applyFill="0" applyBorder="0" applyAlignment="0" applyProtection="0"/>
    <xf numFmtId="0" fontId="128" fillId="19" borderId="0" applyNumberFormat="0" applyBorder="0" applyAlignment="0" applyProtection="0"/>
    <xf numFmtId="0" fontId="128" fillId="19" borderId="0" applyNumberFormat="0" applyBorder="0" applyAlignment="0" applyProtection="0"/>
    <xf numFmtId="0" fontId="128" fillId="19" borderId="0" applyNumberFormat="0" applyBorder="0" applyAlignment="0" applyProtection="0"/>
    <xf numFmtId="0" fontId="128" fillId="19" borderId="0" applyNumberFormat="0" applyBorder="0" applyAlignment="0" applyProtection="0"/>
    <xf numFmtId="0" fontId="128" fillId="19" borderId="0" applyNumberFormat="0" applyBorder="0" applyAlignment="0" applyProtection="0"/>
    <xf numFmtId="0" fontId="128" fillId="19" borderId="0" applyNumberFormat="0" applyBorder="0" applyAlignment="0" applyProtection="0"/>
    <xf numFmtId="180" fontId="2" fillId="0" borderId="0" applyFont="0" applyFill="0" applyBorder="0" applyAlignment="0" applyProtection="0"/>
    <xf numFmtId="180" fontId="2" fillId="0" borderId="0" applyFont="0" applyFill="0" applyBorder="0" applyAlignment="0" applyProtection="0"/>
    <xf numFmtId="180" fontId="2" fillId="0" borderId="0" applyFont="0" applyFill="0" applyBorder="0" applyAlignment="0" applyProtection="0"/>
    <xf numFmtId="180" fontId="2" fillId="0" borderId="0" applyFont="0" applyFill="0" applyBorder="0" applyAlignment="0" applyProtection="0"/>
    <xf numFmtId="180" fontId="2" fillId="0" borderId="0" applyFont="0" applyFill="0" applyBorder="0" applyAlignment="0" applyProtection="0"/>
    <xf numFmtId="180" fontId="2" fillId="0" borderId="0" applyFont="0" applyFill="0" applyBorder="0" applyAlignment="0" applyProtection="0"/>
    <xf numFmtId="180" fontId="2" fillId="0" borderId="0" applyFont="0" applyFill="0" applyBorder="0" applyAlignment="0" applyProtection="0"/>
    <xf numFmtId="0" fontId="129" fillId="38" borderId="0" applyNumberFormat="0" applyBorder="0" applyAlignment="0" applyProtection="0"/>
    <xf numFmtId="0" fontId="129" fillId="38" borderId="0" applyNumberFormat="0" applyBorder="0" applyAlignment="0" applyProtection="0"/>
    <xf numFmtId="0" fontId="129" fillId="38" borderId="0" applyNumberFormat="0" applyBorder="0" applyAlignment="0" applyProtection="0"/>
    <xf numFmtId="0" fontId="129" fillId="38" borderId="0" applyNumberFormat="0" applyBorder="0" applyAlignment="0" applyProtection="0"/>
    <xf numFmtId="0" fontId="129" fillId="38" borderId="0" applyNumberFormat="0" applyBorder="0" applyAlignment="0" applyProtection="0"/>
    <xf numFmtId="0" fontId="129" fillId="38" borderId="0" applyNumberFormat="0" applyBorder="0" applyAlignment="0" applyProtection="0"/>
    <xf numFmtId="0" fontId="2" fillId="0" borderId="0"/>
    <xf numFmtId="0" fontId="2" fillId="0" borderId="0"/>
    <xf numFmtId="0" fontId="2" fillId="0" borderId="0"/>
    <xf numFmtId="0" fontId="2" fillId="0" borderId="0"/>
    <xf numFmtId="0" fontId="2" fillId="39" borderId="80" applyNumberFormat="0" applyFont="0" applyAlignment="0" applyProtection="0"/>
    <xf numFmtId="0" fontId="2" fillId="39" borderId="80" applyNumberFormat="0" applyFont="0" applyAlignment="0" applyProtection="0"/>
    <xf numFmtId="0" fontId="2" fillId="39" borderId="80" applyNumberFormat="0" applyFont="0" applyAlignment="0" applyProtection="0"/>
    <xf numFmtId="0" fontId="2" fillId="39" borderId="80" applyNumberFormat="0" applyFont="0" applyAlignment="0" applyProtection="0"/>
    <xf numFmtId="0" fontId="2" fillId="39" borderId="80" applyNumberFormat="0" applyFont="0" applyAlignment="0" applyProtection="0"/>
    <xf numFmtId="0" fontId="2" fillId="39" borderId="80" applyNumberFormat="0" applyFont="0" applyAlignment="0" applyProtection="0"/>
    <xf numFmtId="0" fontId="130" fillId="32" borderId="81" applyNumberFormat="0" applyAlignment="0" applyProtection="0"/>
    <xf numFmtId="0" fontId="130" fillId="32" borderId="81" applyNumberFormat="0" applyAlignment="0" applyProtection="0"/>
    <xf numFmtId="0" fontId="130" fillId="32" borderId="81" applyNumberFormat="0" applyAlignment="0" applyProtection="0"/>
    <xf numFmtId="0" fontId="130" fillId="32" borderId="81" applyNumberFormat="0" applyAlignment="0" applyProtection="0"/>
    <xf numFmtId="0" fontId="130" fillId="32" borderId="81" applyNumberFormat="0" applyAlignment="0" applyProtection="0"/>
    <xf numFmtId="0" fontId="130" fillId="32" borderId="81" applyNumberFormat="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33" fillId="0" borderId="82" applyNumberFormat="0" applyFill="0" applyAlignment="0" applyProtection="0"/>
    <xf numFmtId="0" fontId="133" fillId="0" borderId="82" applyNumberFormat="0" applyFill="0" applyAlignment="0" applyProtection="0"/>
    <xf numFmtId="0" fontId="133" fillId="0" borderId="82" applyNumberFormat="0" applyFill="0" applyAlignment="0" applyProtection="0"/>
    <xf numFmtId="0" fontId="133" fillId="0" borderId="82" applyNumberFormat="0" applyFill="0" applyAlignment="0" applyProtection="0"/>
    <xf numFmtId="0" fontId="133" fillId="0" borderId="82" applyNumberFormat="0" applyFill="0" applyAlignment="0" applyProtection="0"/>
    <xf numFmtId="0" fontId="133" fillId="0" borderId="82" applyNumberFormat="0" applyFill="0" applyAlignment="0" applyProtection="0"/>
    <xf numFmtId="0" fontId="134" fillId="0" borderId="83" applyNumberFormat="0" applyFill="0" applyAlignment="0" applyProtection="0"/>
    <xf numFmtId="0" fontId="134" fillId="0" borderId="83" applyNumberFormat="0" applyFill="0" applyAlignment="0" applyProtection="0"/>
    <xf numFmtId="0" fontId="134" fillId="0" borderId="83" applyNumberFormat="0" applyFill="0" applyAlignment="0" applyProtection="0"/>
    <xf numFmtId="0" fontId="134" fillId="0" borderId="83" applyNumberFormat="0" applyFill="0" applyAlignment="0" applyProtection="0"/>
    <xf numFmtId="0" fontId="134" fillId="0" borderId="83" applyNumberFormat="0" applyFill="0" applyAlignment="0" applyProtection="0"/>
    <xf numFmtId="0" fontId="134" fillId="0" borderId="83" applyNumberFormat="0" applyFill="0" applyAlignment="0" applyProtection="0"/>
    <xf numFmtId="0" fontId="126" fillId="0" borderId="84" applyNumberFormat="0" applyFill="0" applyAlignment="0" applyProtection="0"/>
    <xf numFmtId="0" fontId="126" fillId="0" borderId="84" applyNumberFormat="0" applyFill="0" applyAlignment="0" applyProtection="0"/>
    <xf numFmtId="0" fontId="126" fillId="0" borderId="84" applyNumberFormat="0" applyFill="0" applyAlignment="0" applyProtection="0"/>
    <xf numFmtId="0" fontId="126" fillId="0" borderId="84" applyNumberFormat="0" applyFill="0" applyAlignment="0" applyProtection="0"/>
    <xf numFmtId="0" fontId="126" fillId="0" borderId="84" applyNumberFormat="0" applyFill="0" applyAlignment="0" applyProtection="0"/>
    <xf numFmtId="0" fontId="126" fillId="0" borderId="84" applyNumberFormat="0" applyFill="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28" fillId="0" borderId="85" applyNumberFormat="0" applyFill="0" applyAlignment="0" applyProtection="0"/>
    <xf numFmtId="0" fontId="28" fillId="0" borderId="85" applyNumberFormat="0" applyFill="0" applyAlignment="0" applyProtection="0"/>
    <xf numFmtId="0" fontId="28" fillId="0" borderId="85" applyNumberFormat="0" applyFill="0" applyAlignment="0" applyProtection="0"/>
    <xf numFmtId="0" fontId="28" fillId="0" borderId="85" applyNumberFormat="0" applyFill="0" applyAlignment="0" applyProtection="0"/>
    <xf numFmtId="0" fontId="28" fillId="0" borderId="85" applyNumberFormat="0" applyFill="0" applyAlignment="0" applyProtection="0"/>
    <xf numFmtId="0" fontId="28" fillId="0" borderId="85" applyNumberFormat="0" applyFill="0" applyAlignment="0" applyProtection="0"/>
  </cellStyleXfs>
  <cellXfs count="1904">
    <xf numFmtId="0" fontId="0" fillId="0" borderId="0" xfId="0"/>
    <xf numFmtId="0" fontId="2" fillId="0" borderId="0" xfId="0" applyFont="1" applyAlignment="1">
      <alignment shrinkToFit="1"/>
    </xf>
    <xf numFmtId="4" fontId="2" fillId="2" borderId="1" xfId="0" applyNumberFormat="1" applyFont="1" applyFill="1" applyBorder="1" applyAlignment="1">
      <alignment shrinkToFit="1"/>
    </xf>
    <xf numFmtId="0" fontId="2" fillId="0" borderId="0" xfId="2" applyFont="1" applyAlignment="1">
      <alignment shrinkToFit="1"/>
    </xf>
    <xf numFmtId="4" fontId="10" fillId="0" borderId="0" xfId="2" applyNumberFormat="1" applyAlignment="1"/>
    <xf numFmtId="4" fontId="3" fillId="0" borderId="0" xfId="2" applyNumberFormat="1" applyFont="1" applyAlignment="1"/>
    <xf numFmtId="0" fontId="0" fillId="0" borderId="0" xfId="0" applyFont="1" applyAlignment="1">
      <alignment shrinkToFit="1"/>
    </xf>
    <xf numFmtId="4" fontId="0" fillId="0" borderId="0" xfId="0" applyNumberFormat="1" applyFont="1" applyAlignment="1">
      <alignment shrinkToFit="1"/>
    </xf>
    <xf numFmtId="4" fontId="2" fillId="0" borderId="0" xfId="0" applyNumberFormat="1" applyFont="1" applyAlignment="1">
      <alignment shrinkToFit="1"/>
    </xf>
    <xf numFmtId="0" fontId="4" fillId="0" borderId="0" xfId="0" applyFont="1" applyAlignment="1"/>
    <xf numFmtId="0" fontId="2" fillId="0" borderId="14" xfId="0" applyFont="1" applyBorder="1" applyAlignment="1">
      <alignment shrinkToFit="1"/>
    </xf>
    <xf numFmtId="4" fontId="2" fillId="0" borderId="15" xfId="0" applyNumberFormat="1" applyFont="1" applyBorder="1" applyAlignment="1">
      <alignment horizontal="center" shrinkToFit="1"/>
    </xf>
    <xf numFmtId="4" fontId="0" fillId="0" borderId="18" xfId="0" applyNumberFormat="1" applyFont="1" applyBorder="1" applyAlignment="1">
      <alignment shrinkToFit="1"/>
    </xf>
    <xf numFmtId="4" fontId="2" fillId="0" borderId="18" xfId="0" applyNumberFormat="1" applyFont="1" applyBorder="1" applyAlignment="1">
      <alignment shrinkToFit="1"/>
    </xf>
    <xf numFmtId="0" fontId="0" fillId="0" borderId="20" xfId="0" applyFont="1" applyBorder="1" applyAlignment="1">
      <alignment shrinkToFit="1"/>
    </xf>
    <xf numFmtId="4" fontId="0" fillId="0" borderId="1" xfId="0" applyNumberFormat="1" applyFont="1" applyBorder="1" applyAlignment="1">
      <alignment shrinkToFit="1"/>
    </xf>
    <xf numFmtId="4" fontId="2" fillId="0" borderId="1" xfId="0" applyNumberFormat="1" applyFont="1" applyBorder="1" applyAlignment="1">
      <alignment shrinkToFit="1"/>
    </xf>
    <xf numFmtId="0" fontId="0" fillId="0" borderId="26" xfId="0" applyFont="1" applyBorder="1" applyAlignment="1">
      <alignment shrinkToFit="1"/>
    </xf>
    <xf numFmtId="4" fontId="0" fillId="0" borderId="27" xfId="0" applyNumberFormat="1" applyFont="1" applyBorder="1" applyAlignment="1">
      <alignment shrinkToFit="1"/>
    </xf>
    <xf numFmtId="4" fontId="2" fillId="0" borderId="27" xfId="0" applyNumberFormat="1" applyFont="1" applyBorder="1" applyAlignment="1">
      <alignment shrinkToFit="1"/>
    </xf>
    <xf numFmtId="4" fontId="2" fillId="0" borderId="24" xfId="0" applyNumberFormat="1" applyFont="1" applyBorder="1" applyAlignment="1">
      <alignment shrinkToFit="1"/>
    </xf>
    <xf numFmtId="0" fontId="4" fillId="0" borderId="0" xfId="0" applyFont="1" applyAlignment="1">
      <alignment horizontal="left"/>
    </xf>
    <xf numFmtId="4" fontId="0" fillId="0" borderId="0" xfId="0" applyNumberFormat="1"/>
    <xf numFmtId="0" fontId="3" fillId="0" borderId="0" xfId="0" applyFont="1" applyAlignment="1">
      <alignment shrinkToFit="1"/>
    </xf>
    <xf numFmtId="4" fontId="11" fillId="0" borderId="0" xfId="0" applyNumberFormat="1" applyFont="1" applyBorder="1" applyAlignment="1">
      <alignment horizontal="center"/>
    </xf>
    <xf numFmtId="0" fontId="2" fillId="0" borderId="0" xfId="0" applyFont="1" applyBorder="1" applyAlignment="1">
      <alignment shrinkToFit="1"/>
    </xf>
    <xf numFmtId="4" fontId="2" fillId="0" borderId="5" xfId="0" applyNumberFormat="1" applyFont="1" applyBorder="1" applyAlignment="1">
      <alignment horizontal="center"/>
    </xf>
    <xf numFmtId="4" fontId="2" fillId="0" borderId="6" xfId="0" applyNumberFormat="1" applyFont="1" applyBorder="1" applyAlignment="1">
      <alignment horizontal="center"/>
    </xf>
    <xf numFmtId="4" fontId="2" fillId="0" borderId="31" xfId="0" applyNumberFormat="1" applyFont="1" applyBorder="1" applyAlignment="1">
      <alignment shrinkToFit="1"/>
    </xf>
    <xf numFmtId="4" fontId="2" fillId="0" borderId="10" xfId="0" applyNumberFormat="1" applyFont="1" applyBorder="1"/>
    <xf numFmtId="4" fontId="2" fillId="0" borderId="32" xfId="0" applyNumberFormat="1" applyFont="1" applyBorder="1"/>
    <xf numFmtId="4" fontId="2" fillId="0" borderId="20" xfId="0" applyNumberFormat="1" applyFont="1" applyBorder="1" applyAlignment="1">
      <alignment shrinkToFit="1"/>
    </xf>
    <xf numFmtId="0" fontId="2" fillId="0" borderId="0" xfId="0" applyFont="1" applyBorder="1" applyAlignment="1"/>
    <xf numFmtId="4" fontId="2" fillId="0" borderId="26" xfId="0" applyNumberFormat="1" applyFont="1" applyBorder="1" applyAlignment="1">
      <alignment shrinkToFit="1"/>
    </xf>
    <xf numFmtId="4" fontId="3" fillId="0" borderId="0" xfId="0" applyNumberFormat="1" applyFont="1" applyBorder="1"/>
    <xf numFmtId="4" fontId="3" fillId="0" borderId="24" xfId="0" applyNumberFormat="1" applyFont="1" applyBorder="1"/>
    <xf numFmtId="4" fontId="0" fillId="0" borderId="0" xfId="0" applyNumberFormat="1" applyBorder="1"/>
    <xf numFmtId="0" fontId="19" fillId="0" borderId="0" xfId="0" applyFont="1" applyAlignment="1">
      <alignment shrinkToFit="1"/>
    </xf>
    <xf numFmtId="0" fontId="2" fillId="0" borderId="0" xfId="0" applyFont="1" applyAlignment="1">
      <alignment horizontal="left" shrinkToFit="1"/>
    </xf>
    <xf numFmtId="0" fontId="2" fillId="0" borderId="0" xfId="0" applyFont="1" applyAlignment="1">
      <alignment horizontal="left"/>
    </xf>
    <xf numFmtId="0" fontId="2" fillId="0" borderId="0" xfId="0" applyFont="1" applyBorder="1" applyAlignment="1">
      <alignment horizontal="left" shrinkToFit="1"/>
    </xf>
    <xf numFmtId="4" fontId="2" fillId="0" borderId="14" xfId="0" applyNumberFormat="1" applyFont="1" applyBorder="1" applyAlignment="1">
      <alignment horizontal="center" shrinkToFit="1"/>
    </xf>
    <xf numFmtId="4" fontId="2" fillId="0" borderId="17" xfId="0" applyNumberFormat="1" applyFont="1" applyBorder="1" applyAlignment="1">
      <alignment shrinkToFit="1"/>
    </xf>
    <xf numFmtId="0" fontId="2" fillId="0" borderId="0" xfId="0" applyFont="1" applyBorder="1" applyAlignment="1">
      <alignment horizontal="left"/>
    </xf>
    <xf numFmtId="4" fontId="2" fillId="0" borderId="0" xfId="0" applyNumberFormat="1" applyFont="1" applyBorder="1" applyAlignment="1">
      <alignment shrinkToFit="1"/>
    </xf>
    <xf numFmtId="0" fontId="0" fillId="3" borderId="0" xfId="0" applyFill="1"/>
    <xf numFmtId="0" fontId="8" fillId="3" borderId="0" xfId="0" applyFont="1" applyFill="1" applyAlignment="1">
      <alignment shrinkToFit="1"/>
    </xf>
    <xf numFmtId="4" fontId="2" fillId="3" borderId="0" xfId="0" applyNumberFormat="1" applyFont="1" applyFill="1" applyAlignment="1">
      <alignment shrinkToFit="1"/>
    </xf>
    <xf numFmtId="0" fontId="2" fillId="3" borderId="0" xfId="0" applyFont="1" applyFill="1" applyAlignment="1">
      <alignment shrinkToFit="1"/>
    </xf>
    <xf numFmtId="4" fontId="2" fillId="3" borderId="16" xfId="0" applyNumberFormat="1" applyFont="1" applyFill="1" applyBorder="1" applyAlignment="1">
      <alignment horizontal="center" shrinkToFit="1"/>
    </xf>
    <xf numFmtId="4" fontId="2" fillId="3" borderId="0" xfId="0" applyNumberFormat="1" applyFont="1" applyFill="1" applyBorder="1" applyAlignment="1">
      <alignment shrinkToFit="1"/>
    </xf>
    <xf numFmtId="4" fontId="2" fillId="0" borderId="18" xfId="0" applyNumberFormat="1" applyFont="1" applyBorder="1"/>
    <xf numFmtId="4" fontId="2" fillId="0" borderId="19" xfId="0" applyNumberFormat="1" applyFont="1" applyBorder="1"/>
    <xf numFmtId="4" fontId="2" fillId="0" borderId="52" xfId="0" applyNumberFormat="1" applyFont="1" applyBorder="1"/>
    <xf numFmtId="4" fontId="2" fillId="0" borderId="33" xfId="0" applyNumberFormat="1" applyFont="1" applyBorder="1"/>
    <xf numFmtId="4" fontId="0" fillId="3" borderId="0" xfId="0" applyNumberFormat="1" applyFont="1" applyFill="1" applyAlignment="1">
      <alignment shrinkToFit="1"/>
    </xf>
    <xf numFmtId="4" fontId="0" fillId="3" borderId="19" xfId="0" applyNumberFormat="1" applyFont="1" applyFill="1" applyBorder="1" applyAlignment="1">
      <alignment shrinkToFit="1"/>
    </xf>
    <xf numFmtId="4" fontId="0" fillId="3" borderId="21" xfId="0" applyNumberFormat="1" applyFont="1" applyFill="1" applyBorder="1" applyAlignment="1">
      <alignment shrinkToFit="1"/>
    </xf>
    <xf numFmtId="4" fontId="0" fillId="3" borderId="28" xfId="0" applyNumberFormat="1" applyFont="1" applyFill="1" applyBorder="1" applyAlignment="1">
      <alignment shrinkToFit="1"/>
    </xf>
    <xf numFmtId="4" fontId="2" fillId="3" borderId="19" xfId="0" applyNumberFormat="1" applyFont="1" applyFill="1" applyBorder="1" applyAlignment="1">
      <alignment shrinkToFit="1"/>
    </xf>
    <xf numFmtId="4" fontId="2" fillId="3" borderId="21" xfId="0" applyNumberFormat="1" applyFont="1" applyFill="1" applyBorder="1" applyAlignment="1">
      <alignment shrinkToFit="1"/>
    </xf>
    <xf numFmtId="4" fontId="2" fillId="3" borderId="28" xfId="0" applyNumberFormat="1" applyFont="1" applyFill="1" applyBorder="1" applyAlignment="1">
      <alignment shrinkToFit="1"/>
    </xf>
    <xf numFmtId="0" fontId="0" fillId="0" borderId="31" xfId="0" applyFont="1" applyBorder="1" applyAlignment="1">
      <alignment shrinkToFit="1"/>
    </xf>
    <xf numFmtId="4" fontId="0" fillId="0" borderId="10" xfId="0" applyNumberFormat="1" applyFont="1" applyBorder="1" applyAlignment="1">
      <alignment shrinkToFit="1"/>
    </xf>
    <xf numFmtId="4" fontId="2" fillId="0" borderId="10" xfId="0" applyNumberFormat="1" applyFont="1" applyBorder="1" applyAlignment="1">
      <alignment shrinkToFit="1"/>
    </xf>
    <xf numFmtId="4" fontId="0" fillId="3" borderId="32" xfId="0" applyNumberFormat="1" applyFont="1" applyFill="1" applyBorder="1" applyAlignment="1">
      <alignment shrinkToFit="1"/>
    </xf>
    <xf numFmtId="14" fontId="0" fillId="0" borderId="17" xfId="0" applyNumberFormat="1" applyBorder="1" applyAlignment="1">
      <alignment shrinkToFit="1"/>
    </xf>
    <xf numFmtId="165" fontId="19" fillId="0" borderId="0" xfId="0" applyNumberFormat="1" applyFont="1" applyAlignment="1">
      <alignment shrinkToFit="1"/>
    </xf>
    <xf numFmtId="165" fontId="19" fillId="0" borderId="0" xfId="0" applyNumberFormat="1" applyFont="1" applyBorder="1" applyAlignment="1">
      <alignment shrinkToFit="1"/>
    </xf>
    <xf numFmtId="166" fontId="2" fillId="0" borderId="4" xfId="0" applyNumberFormat="1" applyFont="1" applyBorder="1" applyAlignment="1">
      <alignment horizontal="center"/>
    </xf>
    <xf numFmtId="4" fontId="22" fillId="3" borderId="0" xfId="0" applyNumberFormat="1" applyFont="1" applyFill="1" applyBorder="1"/>
    <xf numFmtId="4" fontId="22" fillId="0" borderId="0" xfId="0" applyNumberFormat="1" applyFont="1" applyBorder="1"/>
    <xf numFmtId="0" fontId="0" fillId="0" borderId="0" xfId="0" applyAlignment="1">
      <alignment vertical="center" shrinkToFit="1"/>
    </xf>
    <xf numFmtId="0" fontId="0" fillId="0" borderId="0" xfId="0" applyAlignment="1">
      <alignment vertical="center"/>
    </xf>
    <xf numFmtId="4" fontId="0" fillId="0" borderId="0" xfId="0" applyNumberFormat="1" applyAlignment="1">
      <alignment vertical="center"/>
    </xf>
    <xf numFmtId="4" fontId="0" fillId="0" borderId="0" xfId="0" applyNumberFormat="1" applyAlignment="1">
      <alignment vertical="center" shrinkToFit="1"/>
    </xf>
    <xf numFmtId="4" fontId="0" fillId="4" borderId="3" xfId="0" applyNumberFormat="1" applyFont="1" applyFill="1" applyBorder="1" applyAlignment="1">
      <alignment vertical="center"/>
    </xf>
    <xf numFmtId="0" fontId="9" fillId="2" borderId="1" xfId="0" applyFont="1" applyFill="1" applyBorder="1" applyAlignment="1">
      <alignment vertical="center" shrinkToFit="1"/>
    </xf>
    <xf numFmtId="16" fontId="0" fillId="0" borderId="0" xfId="0" applyNumberFormat="1" applyAlignment="1">
      <alignment vertical="center" shrinkToFit="1"/>
    </xf>
    <xf numFmtId="4" fontId="0" fillId="0" borderId="1" xfId="0" applyNumberFormat="1" applyBorder="1" applyAlignment="1">
      <alignment vertical="center"/>
    </xf>
    <xf numFmtId="4" fontId="17" fillId="0" borderId="1" xfId="0" applyNumberFormat="1" applyFont="1" applyBorder="1" applyAlignment="1">
      <alignment vertical="center"/>
    </xf>
    <xf numFmtId="4" fontId="1" fillId="4" borderId="3" xfId="0" applyNumberFormat="1" applyFont="1" applyFill="1" applyBorder="1" applyAlignment="1">
      <alignment vertical="center"/>
    </xf>
    <xf numFmtId="4" fontId="0" fillId="0" borderId="0" xfId="0" applyNumberFormat="1" applyBorder="1" applyAlignment="1">
      <alignment vertical="center"/>
    </xf>
    <xf numFmtId="0" fontId="9" fillId="6" borderId="1" xfId="0" applyFont="1" applyFill="1" applyBorder="1" applyAlignment="1">
      <alignment horizontal="center" vertical="center" shrinkToFit="1"/>
    </xf>
    <xf numFmtId="4" fontId="23" fillId="6" borderId="1" xfId="0" applyNumberFormat="1" applyFont="1" applyFill="1" applyBorder="1" applyAlignment="1">
      <alignment horizontal="center" vertical="center" wrapText="1" shrinkToFit="1"/>
    </xf>
    <xf numFmtId="4" fontId="3" fillId="6" borderId="1" xfId="0" applyNumberFormat="1" applyFont="1" applyFill="1" applyBorder="1" applyAlignment="1">
      <alignment horizontal="center" vertical="center" shrinkToFit="1"/>
    </xf>
    <xf numFmtId="4" fontId="0" fillId="6" borderId="1" xfId="0" applyNumberFormat="1" applyFill="1" applyBorder="1" applyAlignment="1">
      <alignment vertical="center"/>
    </xf>
    <xf numFmtId="0" fontId="24" fillId="3" borderId="0" xfId="0" applyFont="1" applyFill="1" applyAlignment="1">
      <alignment shrinkToFit="1"/>
    </xf>
    <xf numFmtId="0" fontId="5" fillId="0" borderId="0" xfId="2" applyFont="1" applyAlignment="1">
      <alignment wrapText="1"/>
    </xf>
    <xf numFmtId="0" fontId="6" fillId="3" borderId="0" xfId="0" applyFont="1" applyFill="1" applyAlignment="1">
      <alignment shrinkToFit="1"/>
    </xf>
    <xf numFmtId="0" fontId="2" fillId="7" borderId="14" xfId="0" applyFont="1" applyFill="1" applyBorder="1" applyAlignment="1">
      <alignment shrinkToFit="1"/>
    </xf>
    <xf numFmtId="4" fontId="2" fillId="7" borderId="15" xfId="0" applyNumberFormat="1" applyFont="1" applyFill="1" applyBorder="1" applyAlignment="1">
      <alignment horizontal="center" shrinkToFit="1"/>
    </xf>
    <xf numFmtId="4" fontId="2" fillId="7" borderId="16" xfId="0" applyNumberFormat="1" applyFont="1" applyFill="1" applyBorder="1" applyAlignment="1">
      <alignment horizontal="center" shrinkToFit="1"/>
    </xf>
    <xf numFmtId="4" fontId="2" fillId="7" borderId="24" xfId="0" applyNumberFormat="1" applyFont="1" applyFill="1" applyBorder="1" applyAlignment="1">
      <alignment shrinkToFit="1"/>
    </xf>
    <xf numFmtId="4" fontId="2" fillId="7" borderId="34" xfId="0" applyNumberFormat="1" applyFont="1" applyFill="1" applyBorder="1" applyAlignment="1">
      <alignment shrinkToFit="1"/>
    </xf>
    <xf numFmtId="4" fontId="13" fillId="0" borderId="42" xfId="0" applyNumberFormat="1" applyFont="1" applyFill="1" applyBorder="1" applyAlignment="1">
      <alignment vertical="center"/>
    </xf>
    <xf numFmtId="4" fontId="13" fillId="0" borderId="37" xfId="0" applyNumberFormat="1" applyFont="1" applyFill="1" applyBorder="1" applyAlignment="1">
      <alignment vertical="center"/>
    </xf>
    <xf numFmtId="4" fontId="27" fillId="0" borderId="61" xfId="0" applyNumberFormat="1" applyFont="1" applyFill="1" applyBorder="1" applyAlignment="1">
      <alignment vertical="center"/>
    </xf>
    <xf numFmtId="4" fontId="10" fillId="0" borderId="60" xfId="0" applyNumberFormat="1" applyFont="1" applyFill="1" applyBorder="1" applyAlignment="1">
      <alignment vertical="center"/>
    </xf>
    <xf numFmtId="4" fontId="13" fillId="0" borderId="0" xfId="0" applyNumberFormat="1" applyFont="1" applyFill="1" applyBorder="1" applyAlignment="1">
      <alignment vertical="center"/>
    </xf>
    <xf numFmtId="4" fontId="27" fillId="0" borderId="38" xfId="0" applyNumberFormat="1" applyFont="1" applyFill="1" applyBorder="1" applyAlignment="1">
      <alignment vertical="center"/>
    </xf>
    <xf numFmtId="167" fontId="14" fillId="0" borderId="41" xfId="0" applyNumberFormat="1" applyFont="1" applyFill="1" applyBorder="1" applyAlignment="1">
      <alignment vertical="center"/>
    </xf>
    <xf numFmtId="4" fontId="13" fillId="0" borderId="35" xfId="0" applyNumberFormat="1" applyFont="1" applyFill="1" applyBorder="1" applyAlignment="1">
      <alignment vertical="center"/>
    </xf>
    <xf numFmtId="4" fontId="27" fillId="0" borderId="25" xfId="0" applyNumberFormat="1" applyFont="1" applyFill="1" applyBorder="1" applyAlignment="1">
      <alignment vertical="center"/>
    </xf>
    <xf numFmtId="4" fontId="13" fillId="0" borderId="38" xfId="0" applyNumberFormat="1" applyFont="1" applyFill="1" applyBorder="1" applyAlignment="1">
      <alignment vertical="center"/>
    </xf>
    <xf numFmtId="4" fontId="14" fillId="0" borderId="20" xfId="0" applyNumberFormat="1" applyFont="1" applyFill="1" applyBorder="1" applyAlignment="1">
      <alignment vertical="center" textRotation="90"/>
    </xf>
    <xf numFmtId="4" fontId="14" fillId="0" borderId="1" xfId="0" applyNumberFormat="1" applyFont="1" applyFill="1" applyBorder="1" applyAlignment="1">
      <alignment vertical="center" textRotation="90"/>
    </xf>
    <xf numFmtId="49" fontId="14" fillId="0" borderId="60" xfId="0" applyNumberFormat="1" applyFont="1" applyFill="1" applyBorder="1" applyAlignment="1">
      <alignment vertical="center"/>
    </xf>
    <xf numFmtId="49" fontId="14" fillId="0" borderId="9" xfId="0" applyNumberFormat="1" applyFont="1" applyFill="1" applyBorder="1" applyAlignment="1">
      <alignment vertical="center"/>
    </xf>
    <xf numFmtId="49" fontId="14" fillId="0" borderId="0" xfId="0" applyNumberFormat="1" applyFont="1" applyFill="1" applyBorder="1" applyAlignment="1">
      <alignment vertical="center"/>
    </xf>
    <xf numFmtId="4" fontId="14" fillId="0" borderId="9" xfId="0" applyNumberFormat="1" applyFont="1" applyFill="1" applyBorder="1" applyAlignment="1">
      <alignment vertical="center"/>
    </xf>
    <xf numFmtId="4" fontId="14" fillId="0" borderId="54" xfId="0" applyNumberFormat="1" applyFont="1" applyFill="1" applyBorder="1" applyAlignment="1">
      <alignment vertical="center" wrapText="1"/>
    </xf>
    <xf numFmtId="4" fontId="14" fillId="0" borderId="62" xfId="0" applyNumberFormat="1" applyFont="1" applyFill="1" applyBorder="1" applyAlignment="1">
      <alignment vertical="center"/>
    </xf>
    <xf numFmtId="4" fontId="29" fillId="0" borderId="9" xfId="0" applyNumberFormat="1" applyFont="1" applyFill="1" applyBorder="1" applyAlignment="1">
      <alignment vertical="center"/>
    </xf>
    <xf numFmtId="4" fontId="29" fillId="0" borderId="54" xfId="0" applyNumberFormat="1" applyFont="1" applyFill="1" applyBorder="1" applyAlignment="1">
      <alignment vertical="center" wrapText="1"/>
    </xf>
    <xf numFmtId="4" fontId="30" fillId="0" borderId="54" xfId="0" applyNumberFormat="1" applyFont="1" applyFill="1" applyBorder="1" applyAlignment="1">
      <alignment vertical="center" wrapText="1"/>
    </xf>
    <xf numFmtId="49" fontId="13" fillId="0" borderId="60" xfId="0" applyNumberFormat="1" applyFont="1" applyFill="1" applyBorder="1" applyAlignment="1">
      <alignment vertical="center"/>
    </xf>
    <xf numFmtId="49" fontId="13" fillId="0" borderId="9" xfId="0" applyNumberFormat="1" applyFont="1" applyFill="1" applyBorder="1" applyAlignment="1">
      <alignment vertical="center"/>
    </xf>
    <xf numFmtId="49" fontId="13" fillId="0" borderId="0" xfId="0" applyNumberFormat="1" applyFont="1" applyFill="1" applyBorder="1" applyAlignment="1">
      <alignment vertical="center"/>
    </xf>
    <xf numFmtId="4" fontId="13" fillId="0" borderId="9" xfId="0" applyNumberFormat="1" applyFont="1" applyFill="1" applyBorder="1" applyAlignment="1">
      <alignment vertical="center"/>
    </xf>
    <xf numFmtId="4" fontId="13" fillId="0" borderId="54" xfId="0" applyNumberFormat="1" applyFont="1" applyFill="1" applyBorder="1" applyAlignment="1">
      <alignment vertical="center" wrapText="1"/>
    </xf>
    <xf numFmtId="4" fontId="13" fillId="0" borderId="62" xfId="0" applyNumberFormat="1" applyFont="1" applyFill="1" applyBorder="1" applyAlignment="1">
      <alignment vertical="center"/>
    </xf>
    <xf numFmtId="4" fontId="31" fillId="0" borderId="62" xfId="0" applyNumberFormat="1" applyFont="1" applyFill="1" applyBorder="1" applyAlignment="1">
      <alignment vertical="center" wrapText="1"/>
    </xf>
    <xf numFmtId="4" fontId="30" fillId="0" borderId="9" xfId="0" applyNumberFormat="1" applyFont="1" applyFill="1" applyBorder="1" applyAlignment="1">
      <alignment vertical="center" wrapText="1"/>
    </xf>
    <xf numFmtId="4" fontId="30" fillId="0" borderId="62" xfId="0" applyNumberFormat="1" applyFont="1" applyFill="1" applyBorder="1" applyAlignment="1">
      <alignment vertical="center"/>
    </xf>
    <xf numFmtId="4" fontId="13" fillId="0" borderId="9" xfId="0" applyNumberFormat="1" applyFont="1" applyFill="1" applyBorder="1" applyAlignment="1">
      <alignment vertical="center" wrapText="1"/>
    </xf>
    <xf numFmtId="4" fontId="13" fillId="0" borderId="57" xfId="0" applyNumberFormat="1" applyFont="1" applyFill="1" applyBorder="1" applyAlignment="1">
      <alignment vertical="center"/>
    </xf>
    <xf numFmtId="49" fontId="13" fillId="0" borderId="53" xfId="0" applyNumberFormat="1" applyFont="1" applyFill="1" applyBorder="1" applyAlignment="1">
      <alignment vertical="center"/>
    </xf>
    <xf numFmtId="4" fontId="14" fillId="0" borderId="5" xfId="0" applyNumberFormat="1" applyFont="1" applyFill="1" applyBorder="1" applyAlignment="1">
      <alignment vertical="center" wrapText="1"/>
    </xf>
    <xf numFmtId="167" fontId="14" fillId="0" borderId="6" xfId="0" applyNumberFormat="1" applyFont="1" applyFill="1" applyBorder="1" applyAlignment="1">
      <alignment vertical="center"/>
    </xf>
    <xf numFmtId="4" fontId="14" fillId="0" borderId="0" xfId="0" applyNumberFormat="1" applyFont="1" applyFill="1" applyBorder="1" applyAlignment="1">
      <alignment vertical="center"/>
    </xf>
    <xf numFmtId="4" fontId="13" fillId="0" borderId="0" xfId="0" applyNumberFormat="1" applyFont="1" applyFill="1" applyBorder="1" applyAlignment="1">
      <alignment vertical="center"/>
    </xf>
    <xf numFmtId="4" fontId="1" fillId="0" borderId="0" xfId="0" applyNumberFormat="1" applyFont="1"/>
    <xf numFmtId="4" fontId="20" fillId="0" borderId="0" xfId="0" applyNumberFormat="1" applyFont="1" applyFill="1" applyBorder="1" applyAlignment="1">
      <alignment vertical="center"/>
    </xf>
    <xf numFmtId="4" fontId="5" fillId="0" borderId="0" xfId="0" applyNumberFormat="1" applyFont="1" applyFill="1" applyBorder="1" applyAlignment="1">
      <alignment vertical="center"/>
    </xf>
    <xf numFmtId="4" fontId="32" fillId="3" borderId="0" xfId="0" applyNumberFormat="1" applyFont="1" applyFill="1" applyAlignment="1">
      <alignment shrinkToFit="1"/>
    </xf>
    <xf numFmtId="4" fontId="33" fillId="0" borderId="0" xfId="2" applyNumberFormat="1" applyFont="1" applyAlignment="1"/>
    <xf numFmtId="4" fontId="5" fillId="0" borderId="0" xfId="2" applyNumberFormat="1" applyFont="1" applyAlignment="1"/>
    <xf numFmtId="4" fontId="25" fillId="0" borderId="0" xfId="0" applyNumberFormat="1" applyFont="1"/>
    <xf numFmtId="0" fontId="33" fillId="0" borderId="0" xfId="2" applyFont="1"/>
    <xf numFmtId="0" fontId="15" fillId="0" borderId="0" xfId="2" applyFont="1"/>
    <xf numFmtId="0" fontId="20" fillId="0" borderId="0" xfId="0" applyFont="1" applyAlignment="1">
      <alignment vertical="center"/>
    </xf>
    <xf numFmtId="0" fontId="5" fillId="0" borderId="0" xfId="2" applyFont="1" applyAlignment="1">
      <alignment vertical="center" wrapText="1"/>
    </xf>
    <xf numFmtId="0" fontId="20" fillId="0" borderId="0" xfId="0" applyFont="1" applyBorder="1" applyAlignment="1">
      <alignment vertical="center"/>
    </xf>
    <xf numFmtId="4" fontId="20" fillId="0" borderId="0" xfId="0" applyNumberFormat="1" applyFont="1" applyAlignment="1">
      <alignment vertical="center"/>
    </xf>
    <xf numFmtId="0" fontId="20" fillId="0" borderId="0" xfId="0" applyFont="1" applyFill="1" applyBorder="1" applyAlignment="1">
      <alignment vertical="center"/>
    </xf>
    <xf numFmtId="4" fontId="4" fillId="0" borderId="0" xfId="0" applyNumberFormat="1" applyFont="1" applyFill="1" applyAlignment="1">
      <alignment vertical="center"/>
    </xf>
    <xf numFmtId="0" fontId="5" fillId="0" borderId="0" xfId="0" applyFont="1" applyFill="1" applyAlignment="1">
      <alignment vertical="center"/>
    </xf>
    <xf numFmtId="0" fontId="20" fillId="0" borderId="0" xfId="0" applyFont="1" applyFill="1" applyAlignment="1">
      <alignment vertical="center"/>
    </xf>
    <xf numFmtId="4" fontId="20" fillId="0" borderId="0" xfId="0" applyNumberFormat="1" applyFont="1" applyFill="1" applyAlignment="1">
      <alignment vertical="center"/>
    </xf>
    <xf numFmtId="4" fontId="28" fillId="0" borderId="0" xfId="2" applyNumberFormat="1" applyFont="1" applyAlignment="1"/>
    <xf numFmtId="0" fontId="1" fillId="0" borderId="0" xfId="0" applyFont="1"/>
    <xf numFmtId="4" fontId="5" fillId="0" borderId="0" xfId="2" applyNumberFormat="1" applyFont="1" applyFill="1" applyBorder="1" applyAlignment="1">
      <alignment vertical="center"/>
    </xf>
    <xf numFmtId="0" fontId="4" fillId="0" borderId="0" xfId="2" applyFont="1" applyBorder="1" applyAlignment="1">
      <alignment vertical="center" shrinkToFit="1"/>
    </xf>
    <xf numFmtId="0" fontId="4" fillId="0" borderId="0" xfId="2" applyFont="1" applyBorder="1" applyAlignment="1">
      <alignment vertical="center" wrapText="1" shrinkToFit="1"/>
    </xf>
    <xf numFmtId="0" fontId="4" fillId="0" borderId="0" xfId="2" applyFont="1" applyBorder="1" applyAlignment="1">
      <alignment vertical="center" wrapText="1"/>
    </xf>
    <xf numFmtId="0" fontId="15" fillId="8" borderId="39" xfId="2" applyFont="1" applyFill="1" applyBorder="1" applyAlignment="1">
      <alignment vertical="top"/>
    </xf>
    <xf numFmtId="0" fontId="25" fillId="0" borderId="0" xfId="0" applyFont="1" applyAlignment="1">
      <alignment vertical="center"/>
    </xf>
    <xf numFmtId="4" fontId="25" fillId="0" borderId="0" xfId="0" applyNumberFormat="1" applyFont="1" applyAlignment="1">
      <alignment vertical="center"/>
    </xf>
    <xf numFmtId="4" fontId="25" fillId="0" borderId="35" xfId="0" applyNumberFormat="1" applyFont="1" applyBorder="1" applyAlignment="1">
      <alignment vertical="center"/>
    </xf>
    <xf numFmtId="0" fontId="5" fillId="0" borderId="0" xfId="0" applyFont="1" applyAlignment="1">
      <alignment vertical="center"/>
    </xf>
    <xf numFmtId="4" fontId="5" fillId="0" borderId="36" xfId="0" applyNumberFormat="1" applyFont="1" applyBorder="1" applyAlignment="1">
      <alignment vertical="center"/>
    </xf>
    <xf numFmtId="4" fontId="5" fillId="0" borderId="0" xfId="0" applyNumberFormat="1" applyFont="1" applyBorder="1" applyAlignment="1">
      <alignment vertical="center"/>
    </xf>
    <xf numFmtId="4" fontId="5" fillId="0" borderId="36" xfId="0" applyNumberFormat="1" applyFont="1" applyBorder="1" applyAlignment="1">
      <alignment horizontal="center" vertical="center"/>
    </xf>
    <xf numFmtId="4" fontId="5" fillId="0" borderId="0" xfId="0" applyNumberFormat="1" applyFont="1" applyBorder="1" applyAlignment="1">
      <alignment horizontal="center" vertical="center"/>
    </xf>
    <xf numFmtId="0" fontId="25" fillId="0" borderId="0" xfId="0" applyFont="1" applyBorder="1" applyAlignment="1">
      <alignment vertical="center"/>
    </xf>
    <xf numFmtId="4" fontId="25" fillId="0" borderId="0" xfId="0" applyNumberFormat="1" applyFont="1" applyBorder="1" applyAlignment="1">
      <alignment vertical="center"/>
    </xf>
    <xf numFmtId="0" fontId="0" fillId="0" borderId="0" xfId="0" applyAlignment="1">
      <alignment horizontal="center" vertical="center"/>
    </xf>
    <xf numFmtId="0" fontId="13" fillId="0" borderId="0" xfId="2" applyFont="1" applyAlignment="1">
      <alignment horizontal="center" vertical="center"/>
    </xf>
    <xf numFmtId="0" fontId="25" fillId="0" borderId="0" xfId="0" applyFont="1" applyAlignment="1">
      <alignment horizontal="center" vertical="center"/>
    </xf>
    <xf numFmtId="0" fontId="32" fillId="0" borderId="0" xfId="2" applyFont="1" applyAlignment="1">
      <alignment horizontal="center" vertical="center"/>
    </xf>
    <xf numFmtId="0" fontId="26" fillId="0" borderId="0" xfId="0" applyFont="1"/>
    <xf numFmtId="0" fontId="36" fillId="2" borderId="0" xfId="5" applyFont="1" applyFill="1" applyAlignment="1">
      <alignment vertical="center"/>
    </xf>
    <xf numFmtId="0" fontId="36" fillId="3" borderId="22" xfId="5" applyFont="1" applyFill="1" applyBorder="1" applyAlignment="1">
      <alignment horizontal="center" vertical="center"/>
    </xf>
    <xf numFmtId="0" fontId="36" fillId="3" borderId="2" xfId="5" applyFont="1" applyFill="1" applyBorder="1" applyAlignment="1">
      <alignment horizontal="left" vertical="center" wrapText="1"/>
    </xf>
    <xf numFmtId="4" fontId="36" fillId="3" borderId="2" xfId="5" applyNumberFormat="1" applyFont="1" applyFill="1" applyBorder="1" applyAlignment="1">
      <alignment horizontal="right" vertical="center"/>
    </xf>
    <xf numFmtId="4" fontId="36" fillId="3" borderId="1" xfId="5" applyNumberFormat="1" applyFont="1" applyFill="1" applyBorder="1" applyAlignment="1">
      <alignment horizontal="right" vertical="center"/>
    </xf>
    <xf numFmtId="4" fontId="36" fillId="2" borderId="0" xfId="5" applyNumberFormat="1" applyFont="1" applyFill="1" applyAlignment="1">
      <alignment vertical="center"/>
    </xf>
    <xf numFmtId="4" fontId="23" fillId="0" borderId="0" xfId="5" applyNumberFormat="1" applyFont="1" applyFill="1" applyBorder="1" applyAlignment="1">
      <alignment vertical="center"/>
    </xf>
    <xf numFmtId="4" fontId="36" fillId="0" borderId="0" xfId="5" applyNumberFormat="1" applyFont="1" applyFill="1" applyBorder="1" applyAlignment="1">
      <alignment vertical="center"/>
    </xf>
    <xf numFmtId="0" fontId="36" fillId="3" borderId="31" xfId="5" applyFont="1" applyFill="1" applyBorder="1" applyAlignment="1">
      <alignment horizontal="center" vertical="center"/>
    </xf>
    <xf numFmtId="0" fontId="36" fillId="3" borderId="10" xfId="5" applyFont="1" applyFill="1" applyBorder="1" applyAlignment="1">
      <alignment horizontal="left" vertical="center" wrapText="1"/>
    </xf>
    <xf numFmtId="4" fontId="36" fillId="3" borderId="10" xfId="5" applyNumberFormat="1" applyFont="1" applyFill="1" applyBorder="1" applyAlignment="1">
      <alignment horizontal="right" vertical="center"/>
    </xf>
    <xf numFmtId="0" fontId="36" fillId="3" borderId="20" xfId="5" applyFont="1" applyFill="1" applyBorder="1" applyAlignment="1">
      <alignment horizontal="center" vertical="center"/>
    </xf>
    <xf numFmtId="0" fontId="36" fillId="3" borderId="1" xfId="5" applyFont="1" applyFill="1" applyBorder="1" applyAlignment="1">
      <alignment horizontal="left" vertical="center" wrapText="1"/>
    </xf>
    <xf numFmtId="0" fontId="36" fillId="0" borderId="0" xfId="5" applyFont="1" applyFill="1" applyBorder="1" applyAlignment="1">
      <alignment horizontal="center" vertical="center"/>
    </xf>
    <xf numFmtId="4" fontId="36" fillId="0" borderId="0" xfId="5" applyNumberFormat="1" applyFont="1" applyFill="1" applyBorder="1" applyAlignment="1">
      <alignment horizontal="center" vertical="center"/>
    </xf>
    <xf numFmtId="4" fontId="23" fillId="9" borderId="5" xfId="5" applyNumberFormat="1" applyFont="1" applyFill="1" applyBorder="1" applyAlignment="1">
      <alignment horizontal="right" vertical="center" wrapText="1"/>
    </xf>
    <xf numFmtId="4" fontId="23" fillId="9" borderId="6" xfId="5" applyNumberFormat="1" applyFont="1" applyFill="1" applyBorder="1" applyAlignment="1">
      <alignment horizontal="right" vertical="center" wrapText="1"/>
    </xf>
    <xf numFmtId="4" fontId="23" fillId="9" borderId="4" xfId="5" applyNumberFormat="1" applyFont="1" applyFill="1" applyBorder="1" applyAlignment="1">
      <alignment horizontal="right" vertical="center" wrapText="1"/>
    </xf>
    <xf numFmtId="4" fontId="36" fillId="3" borderId="31" xfId="5" applyNumberFormat="1" applyFont="1" applyFill="1" applyBorder="1" applyAlignment="1">
      <alignment horizontal="right" vertical="center"/>
    </xf>
    <xf numFmtId="4" fontId="36" fillId="3" borderId="32" xfId="5" applyNumberFormat="1" applyFont="1" applyFill="1" applyBorder="1" applyAlignment="1">
      <alignment horizontal="right" vertical="center"/>
    </xf>
    <xf numFmtId="4" fontId="23" fillId="9" borderId="65" xfId="5" applyNumberFormat="1" applyFont="1" applyFill="1" applyBorder="1" applyAlignment="1">
      <alignment vertical="center" wrapText="1"/>
    </xf>
    <xf numFmtId="4" fontId="23" fillId="9" borderId="64" xfId="5" applyNumberFormat="1" applyFont="1" applyFill="1" applyBorder="1" applyAlignment="1">
      <alignment horizontal="right" vertical="center"/>
    </xf>
    <xf numFmtId="4" fontId="23" fillId="9" borderId="7" xfId="5" applyNumberFormat="1" applyFont="1" applyFill="1" applyBorder="1" applyAlignment="1">
      <alignment vertical="center" wrapText="1"/>
    </xf>
    <xf numFmtId="4" fontId="23" fillId="9" borderId="59" xfId="5" applyNumberFormat="1" applyFont="1" applyFill="1" applyBorder="1" applyAlignment="1">
      <alignment horizontal="right" vertical="center"/>
    </xf>
    <xf numFmtId="0" fontId="23" fillId="9" borderId="65" xfId="5" applyFont="1" applyFill="1" applyBorder="1" applyAlignment="1">
      <alignment horizontal="right" vertical="center" wrapText="1"/>
    </xf>
    <xf numFmtId="0" fontId="23" fillId="9" borderId="64" xfId="5" applyFont="1" applyFill="1" applyBorder="1" applyAlignment="1">
      <alignment vertical="center"/>
    </xf>
    <xf numFmtId="4" fontId="4" fillId="0" borderId="43" xfId="2" applyNumberFormat="1" applyFont="1" applyBorder="1" applyAlignment="1">
      <alignment vertical="center"/>
    </xf>
    <xf numFmtId="4" fontId="5" fillId="0" borderId="44" xfId="2" applyNumberFormat="1" applyFont="1" applyBorder="1" applyAlignment="1">
      <alignment vertical="center"/>
    </xf>
    <xf numFmtId="4" fontId="4" fillId="2" borderId="44" xfId="0" applyNumberFormat="1" applyFont="1" applyFill="1" applyBorder="1" applyAlignment="1">
      <alignment vertical="center" shrinkToFit="1"/>
    </xf>
    <xf numFmtId="4" fontId="4" fillId="0" borderId="40" xfId="2" applyNumberFormat="1" applyFont="1" applyFill="1" applyBorder="1" applyAlignment="1">
      <alignment vertical="center" shrinkToFit="1"/>
    </xf>
    <xf numFmtId="4" fontId="4" fillId="0" borderId="63" xfId="2" applyNumberFormat="1" applyFont="1" applyBorder="1" applyAlignment="1">
      <alignment vertical="center"/>
    </xf>
    <xf numFmtId="4" fontId="4" fillId="0" borderId="40" xfId="2" applyNumberFormat="1" applyFont="1" applyBorder="1" applyAlignment="1">
      <alignment vertical="center"/>
    </xf>
    <xf numFmtId="4" fontId="10" fillId="0" borderId="0" xfId="2" applyNumberFormat="1" applyAlignment="1">
      <alignment vertical="center"/>
    </xf>
    <xf numFmtId="4" fontId="3" fillId="0" borderId="0" xfId="2" applyNumberFormat="1" applyFont="1" applyAlignment="1">
      <alignment vertical="center"/>
    </xf>
    <xf numFmtId="4" fontId="0" fillId="3" borderId="0" xfId="0" applyNumberFormat="1" applyFont="1" applyFill="1" applyAlignment="1">
      <alignment vertical="center" shrinkToFit="1"/>
    </xf>
    <xf numFmtId="0" fontId="19" fillId="0" borderId="0" xfId="0" applyFont="1" applyAlignment="1">
      <alignment vertical="center" shrinkToFit="1"/>
    </xf>
    <xf numFmtId="0" fontId="0" fillId="0" borderId="0" xfId="0" applyFont="1" applyAlignment="1">
      <alignment vertical="center" shrinkToFit="1"/>
    </xf>
    <xf numFmtId="4" fontId="0" fillId="0" borderId="0" xfId="0" applyNumberFormat="1" applyFont="1" applyAlignment="1">
      <alignment vertical="center" shrinkToFit="1"/>
    </xf>
    <xf numFmtId="14" fontId="0" fillId="0" borderId="17" xfId="0" applyNumberFormat="1" applyBorder="1" applyAlignment="1">
      <alignment vertical="center" shrinkToFit="1"/>
    </xf>
    <xf numFmtId="4" fontId="0" fillId="0" borderId="18" xfId="0" applyNumberFormat="1" applyFont="1" applyBorder="1" applyAlignment="1">
      <alignment vertical="center" shrinkToFit="1"/>
    </xf>
    <xf numFmtId="4" fontId="0" fillId="3" borderId="19" xfId="0" applyNumberFormat="1" applyFont="1" applyFill="1" applyBorder="1" applyAlignment="1">
      <alignment vertical="center" shrinkToFit="1"/>
    </xf>
    <xf numFmtId="0" fontId="0" fillId="0" borderId="20" xfId="0" applyFont="1" applyBorder="1" applyAlignment="1">
      <alignment vertical="center" shrinkToFit="1"/>
    </xf>
    <xf numFmtId="4" fontId="0" fillId="0" borderId="1" xfId="0" applyNumberFormat="1" applyFont="1" applyBorder="1" applyAlignment="1">
      <alignment vertical="center" shrinkToFit="1"/>
    </xf>
    <xf numFmtId="4" fontId="2" fillId="0" borderId="1" xfId="0" applyNumberFormat="1" applyFont="1" applyBorder="1" applyAlignment="1">
      <alignment vertical="center" shrinkToFit="1"/>
    </xf>
    <xf numFmtId="4" fontId="0" fillId="3" borderId="21" xfId="0" applyNumberFormat="1" applyFont="1" applyFill="1" applyBorder="1" applyAlignment="1">
      <alignment vertical="center" shrinkToFit="1"/>
    </xf>
    <xf numFmtId="0" fontId="0" fillId="0" borderId="26" xfId="0" applyFont="1" applyBorder="1" applyAlignment="1">
      <alignment vertical="center" shrinkToFit="1"/>
    </xf>
    <xf numFmtId="4" fontId="0" fillId="0" borderId="27" xfId="0" applyNumberFormat="1" applyFont="1" applyBorder="1" applyAlignment="1">
      <alignment vertical="center" shrinkToFit="1"/>
    </xf>
    <xf numFmtId="4" fontId="2" fillId="0" borderId="27" xfId="0" applyNumberFormat="1" applyFont="1" applyBorder="1" applyAlignment="1">
      <alignment vertical="center" shrinkToFit="1"/>
    </xf>
    <xf numFmtId="0" fontId="19" fillId="0" borderId="0" xfId="0" applyFont="1" applyAlignment="1">
      <alignment vertical="center"/>
    </xf>
    <xf numFmtId="4" fontId="0" fillId="3" borderId="28" xfId="0" applyNumberFormat="1" applyFont="1" applyFill="1" applyBorder="1" applyAlignment="1">
      <alignment vertical="center" shrinkToFit="1"/>
    </xf>
    <xf numFmtId="4" fontId="2" fillId="0" borderId="0" xfId="0" applyNumberFormat="1" applyFont="1" applyFill="1" applyBorder="1" applyAlignment="1">
      <alignment vertical="center" shrinkToFit="1"/>
    </xf>
    <xf numFmtId="0" fontId="19" fillId="0" borderId="0" xfId="0" applyFont="1" applyFill="1" applyAlignment="1">
      <alignment vertical="center"/>
    </xf>
    <xf numFmtId="0" fontId="0" fillId="0" borderId="0" xfId="0" applyFont="1" applyFill="1" applyAlignment="1">
      <alignment vertical="center" shrinkToFit="1"/>
    </xf>
    <xf numFmtId="4" fontId="0" fillId="0" borderId="0" xfId="0" applyNumberFormat="1" applyFont="1" applyFill="1" applyAlignment="1">
      <alignment vertical="center" shrinkToFit="1"/>
    </xf>
    <xf numFmtId="0" fontId="0" fillId="0" borderId="0" xfId="0" applyFill="1" applyAlignment="1">
      <alignment vertical="center"/>
    </xf>
    <xf numFmtId="4" fontId="3" fillId="8" borderId="24" xfId="0" applyNumberFormat="1" applyFont="1" applyFill="1" applyBorder="1" applyAlignment="1">
      <alignment vertical="center" shrinkToFit="1"/>
    </xf>
    <xf numFmtId="0" fontId="3" fillId="7" borderId="14" xfId="0" applyFont="1" applyFill="1" applyBorder="1" applyAlignment="1">
      <alignment horizontal="center" vertical="center" shrinkToFit="1"/>
    </xf>
    <xf numFmtId="4" fontId="3" fillId="7" borderId="15" xfId="0" applyNumberFormat="1" applyFont="1" applyFill="1" applyBorder="1" applyAlignment="1">
      <alignment horizontal="center" vertical="center" shrinkToFit="1"/>
    </xf>
    <xf numFmtId="4" fontId="3" fillId="7" borderId="16" xfId="0" applyNumberFormat="1" applyFont="1" applyFill="1" applyBorder="1" applyAlignment="1">
      <alignment horizontal="center" vertical="center" shrinkToFit="1"/>
    </xf>
    <xf numFmtId="0" fontId="3" fillId="8" borderId="14" xfId="0" applyFont="1" applyFill="1" applyBorder="1" applyAlignment="1">
      <alignment horizontal="center" vertical="center" shrinkToFit="1"/>
    </xf>
    <xf numFmtId="4" fontId="3" fillId="8" borderId="15" xfId="0" applyNumberFormat="1" applyFont="1" applyFill="1" applyBorder="1" applyAlignment="1">
      <alignment horizontal="center" vertical="center" shrinkToFit="1"/>
    </xf>
    <xf numFmtId="4" fontId="3" fillId="8" borderId="16" xfId="0" applyNumberFormat="1" applyFont="1" applyFill="1" applyBorder="1" applyAlignment="1">
      <alignment horizontal="center" vertical="center" shrinkToFit="1"/>
    </xf>
    <xf numFmtId="4" fontId="3" fillId="8" borderId="4" xfId="0" applyNumberFormat="1" applyFont="1" applyFill="1" applyBorder="1" applyAlignment="1">
      <alignment vertical="center" shrinkToFit="1"/>
    </xf>
    <xf numFmtId="4" fontId="3" fillId="8" borderId="3" xfId="0" applyNumberFormat="1" applyFont="1" applyFill="1" applyBorder="1" applyAlignment="1">
      <alignment vertical="center" shrinkToFit="1"/>
    </xf>
    <xf numFmtId="4" fontId="3" fillId="8" borderId="34" xfId="0" applyNumberFormat="1" applyFont="1" applyFill="1" applyBorder="1" applyAlignment="1">
      <alignment vertical="center" shrinkToFit="1"/>
    </xf>
    <xf numFmtId="4" fontId="5" fillId="8" borderId="39" xfId="2" applyNumberFormat="1" applyFont="1" applyFill="1" applyBorder="1" applyAlignment="1">
      <alignment horizontal="center" vertical="center"/>
    </xf>
    <xf numFmtId="4" fontId="4" fillId="0" borderId="44" xfId="2" applyNumberFormat="1" applyFont="1" applyBorder="1" applyAlignment="1">
      <alignment vertical="center"/>
    </xf>
    <xf numFmtId="4" fontId="5" fillId="8" borderId="41" xfId="2" applyNumberFormat="1" applyFont="1" applyFill="1" applyBorder="1" applyAlignment="1">
      <alignment vertical="center"/>
    </xf>
    <xf numFmtId="4" fontId="5" fillId="8" borderId="34" xfId="2" applyNumberFormat="1" applyFont="1" applyFill="1" applyBorder="1" applyAlignment="1">
      <alignment vertical="center"/>
    </xf>
    <xf numFmtId="4" fontId="3" fillId="0" borderId="0" xfId="0" applyNumberFormat="1" applyFont="1" applyFill="1" applyBorder="1" applyAlignment="1">
      <alignment vertical="center" shrinkToFit="1"/>
    </xf>
    <xf numFmtId="4" fontId="5" fillId="8" borderId="61" xfId="2" applyNumberFormat="1" applyFont="1" applyFill="1" applyBorder="1" applyAlignment="1">
      <alignment horizontal="center" vertical="center"/>
    </xf>
    <xf numFmtId="4" fontId="4" fillId="0" borderId="50" xfId="2" applyNumberFormat="1" applyFont="1" applyBorder="1" applyAlignment="1">
      <alignment vertical="center"/>
    </xf>
    <xf numFmtId="4" fontId="4" fillId="0" borderId="30" xfId="2" applyNumberFormat="1" applyFont="1" applyBorder="1" applyAlignment="1">
      <alignment vertical="center"/>
    </xf>
    <xf numFmtId="4" fontId="5" fillId="0" borderId="30" xfId="2" applyNumberFormat="1" applyFont="1" applyBorder="1" applyAlignment="1">
      <alignment vertical="center"/>
    </xf>
    <xf numFmtId="4" fontId="5" fillId="8" borderId="25" xfId="2" applyNumberFormat="1" applyFont="1" applyFill="1" applyBorder="1" applyAlignment="1">
      <alignment vertical="center"/>
    </xf>
    <xf numFmtId="4" fontId="23" fillId="0" borderId="0" xfId="5" applyNumberFormat="1" applyFont="1" applyFill="1" applyBorder="1" applyAlignment="1">
      <alignment vertical="center" wrapText="1"/>
    </xf>
    <xf numFmtId="4" fontId="36" fillId="3" borderId="0" xfId="5" applyNumberFormat="1" applyFont="1" applyFill="1" applyBorder="1" applyAlignment="1">
      <alignment horizontal="right" vertical="center"/>
    </xf>
    <xf numFmtId="4" fontId="5" fillId="0" borderId="36" xfId="0" applyNumberFormat="1" applyFont="1" applyFill="1" applyBorder="1" applyAlignment="1">
      <alignment vertical="center"/>
    </xf>
    <xf numFmtId="4" fontId="2" fillId="0" borderId="0" xfId="0" applyNumberFormat="1" applyFont="1" applyAlignment="1">
      <alignment horizontal="center"/>
    </xf>
    <xf numFmtId="4" fontId="2" fillId="0" borderId="35" xfId="0" applyNumberFormat="1" applyFont="1" applyBorder="1" applyAlignment="1">
      <alignment horizontal="center"/>
    </xf>
    <xf numFmtId="0" fontId="19" fillId="0" borderId="0" xfId="0" applyFont="1" applyAlignment="1">
      <alignment horizontal="center" shrinkToFit="1"/>
    </xf>
    <xf numFmtId="0" fontId="2" fillId="3" borderId="0" xfId="0" applyFont="1" applyFill="1" applyAlignment="1">
      <alignment horizontal="center" wrapText="1" shrinkToFit="1"/>
    </xf>
    <xf numFmtId="0" fontId="4" fillId="0" borderId="35" xfId="0" applyFont="1" applyBorder="1" applyAlignment="1">
      <alignment horizontal="left" shrinkToFit="1"/>
    </xf>
    <xf numFmtId="14" fontId="11" fillId="0" borderId="0" xfId="0" applyNumberFormat="1" applyFont="1" applyBorder="1" applyAlignment="1">
      <alignment horizontal="center"/>
    </xf>
    <xf numFmtId="0" fontId="2" fillId="3" borderId="0" xfId="0" applyFont="1" applyFill="1" applyAlignment="1">
      <alignment horizontal="center" shrinkToFit="1"/>
    </xf>
    <xf numFmtId="0" fontId="6" fillId="3" borderId="0" xfId="0" applyFont="1" applyFill="1" applyAlignment="1">
      <alignment horizontal="center" shrinkToFit="1"/>
    </xf>
    <xf numFmtId="4" fontId="5" fillId="0" borderId="0" xfId="2" applyNumberFormat="1" applyFont="1" applyAlignment="1">
      <alignment horizontal="center"/>
    </xf>
    <xf numFmtId="4" fontId="15" fillId="5" borderId="11" xfId="0" applyNumberFormat="1" applyFont="1" applyFill="1" applyBorder="1" applyAlignment="1">
      <alignment horizontal="center" vertical="center"/>
    </xf>
    <xf numFmtId="4" fontId="15" fillId="5" borderId="12" xfId="0" applyNumberFormat="1" applyFont="1" applyFill="1" applyBorder="1" applyAlignment="1">
      <alignment horizontal="center" vertical="center"/>
    </xf>
    <xf numFmtId="4" fontId="15" fillId="5" borderId="13" xfId="0" applyNumberFormat="1" applyFont="1" applyFill="1" applyBorder="1" applyAlignment="1">
      <alignment horizontal="center" vertical="center"/>
    </xf>
    <xf numFmtId="0" fontId="0" fillId="6" borderId="1" xfId="0" applyFill="1" applyBorder="1" applyAlignment="1">
      <alignment horizontal="center" vertical="center"/>
    </xf>
    <xf numFmtId="0" fontId="23" fillId="9" borderId="4" xfId="5" applyFont="1" applyFill="1" applyBorder="1" applyAlignment="1">
      <alignment horizontal="right" vertical="center" wrapText="1"/>
    </xf>
    <xf numFmtId="0" fontId="23" fillId="9" borderId="5" xfId="5" applyFont="1" applyFill="1" applyBorder="1" applyAlignment="1">
      <alignment horizontal="right" vertical="center" wrapText="1"/>
    </xf>
    <xf numFmtId="49" fontId="23" fillId="9" borderId="21" xfId="5" applyNumberFormat="1" applyFont="1" applyFill="1" applyBorder="1" applyAlignment="1">
      <alignment horizontal="center" vertical="center" wrapText="1"/>
    </xf>
    <xf numFmtId="0" fontId="23" fillId="9" borderId="42" xfId="5" applyFont="1" applyFill="1" applyBorder="1" applyAlignment="1">
      <alignment horizontal="center" vertical="center"/>
    </xf>
    <xf numFmtId="0" fontId="23" fillId="9" borderId="37" xfId="5" applyFont="1" applyFill="1" applyBorder="1" applyAlignment="1">
      <alignment horizontal="center" vertical="center"/>
    </xf>
    <xf numFmtId="14" fontId="5" fillId="8" borderId="60" xfId="2" applyNumberFormat="1" applyFont="1" applyFill="1" applyBorder="1" applyAlignment="1">
      <alignment horizontal="center" vertical="center"/>
    </xf>
    <xf numFmtId="0" fontId="25" fillId="0" borderId="0" xfId="0" applyFont="1" applyBorder="1" applyAlignment="1">
      <alignment horizontal="center" vertical="center"/>
    </xf>
    <xf numFmtId="0" fontId="5" fillId="8" borderId="0" xfId="0" applyFont="1" applyFill="1" applyAlignment="1">
      <alignment horizontal="center" vertical="center"/>
    </xf>
    <xf numFmtId="0" fontId="7" fillId="0" borderId="0" xfId="0" applyFont="1" applyAlignment="1">
      <alignment horizontal="center" vertical="center"/>
    </xf>
    <xf numFmtId="0" fontId="25" fillId="0" borderId="0" xfId="0" applyFont="1" applyAlignment="1">
      <alignment horizontal="left" vertical="center"/>
    </xf>
    <xf numFmtId="0" fontId="25" fillId="0" borderId="0" xfId="0" applyFont="1" applyAlignment="1">
      <alignment horizontal="center" vertical="center"/>
    </xf>
    <xf numFmtId="0" fontId="37" fillId="0" borderId="0" xfId="2" applyFont="1" applyAlignment="1">
      <alignment horizontal="center" vertical="center"/>
    </xf>
    <xf numFmtId="0" fontId="25" fillId="0" borderId="37" xfId="0" applyFont="1" applyBorder="1" applyAlignment="1">
      <alignment horizontal="center" vertical="center"/>
    </xf>
    <xf numFmtId="0" fontId="25" fillId="0" borderId="35" xfId="0" applyFont="1" applyBorder="1" applyAlignment="1">
      <alignment horizontal="center" vertical="center"/>
    </xf>
    <xf numFmtId="0" fontId="15" fillId="8" borderId="11" xfId="2" applyFont="1" applyFill="1" applyBorder="1" applyAlignment="1">
      <alignment horizontal="left" vertical="top"/>
    </xf>
    <xf numFmtId="0" fontId="15" fillId="8" borderId="12" xfId="2" applyFont="1" applyFill="1" applyBorder="1" applyAlignment="1">
      <alignment horizontal="left" vertical="top"/>
    </xf>
    <xf numFmtId="0" fontId="15" fillId="8" borderId="13" xfId="2" applyFont="1" applyFill="1" applyBorder="1" applyAlignment="1">
      <alignment horizontal="left" vertical="top"/>
    </xf>
    <xf numFmtId="0" fontId="15" fillId="0" borderId="39" xfId="2" applyFont="1" applyBorder="1" applyAlignment="1">
      <alignment horizontal="center" vertical="top"/>
    </xf>
    <xf numFmtId="0" fontId="15" fillId="0" borderId="34" xfId="2" applyFont="1" applyBorder="1" applyAlignment="1">
      <alignment horizontal="center" vertical="top"/>
    </xf>
    <xf numFmtId="0" fontId="15" fillId="0" borderId="42" xfId="2" applyFont="1" applyBorder="1" applyAlignment="1">
      <alignment horizontal="center" vertical="top"/>
    </xf>
    <xf numFmtId="0" fontId="15" fillId="0" borderId="37" xfId="2" applyFont="1" applyBorder="1" applyAlignment="1">
      <alignment horizontal="center" vertical="top"/>
    </xf>
    <xf numFmtId="0" fontId="15" fillId="0" borderId="61" xfId="2" applyFont="1" applyBorder="1" applyAlignment="1">
      <alignment horizontal="center" vertical="top"/>
    </xf>
    <xf numFmtId="0" fontId="15" fillId="0" borderId="41" xfId="2" applyFont="1" applyBorder="1" applyAlignment="1">
      <alignment horizontal="center" vertical="top"/>
    </xf>
    <xf numFmtId="0" fontId="15" fillId="0" borderId="35" xfId="2" applyFont="1" applyBorder="1" applyAlignment="1">
      <alignment horizontal="center" vertical="top"/>
    </xf>
    <xf numFmtId="0" fontId="15" fillId="0" borderId="25" xfId="2" applyFont="1" applyBorder="1" applyAlignment="1">
      <alignment horizontal="center" vertical="top"/>
    </xf>
    <xf numFmtId="0" fontId="1" fillId="0" borderId="0" xfId="0" applyFont="1" applyAlignment="1">
      <alignment horizontal="center"/>
    </xf>
    <xf numFmtId="4" fontId="14" fillId="0" borderId="23" xfId="0" applyNumberFormat="1" applyFont="1" applyFill="1" applyBorder="1" applyAlignment="1">
      <alignment horizontal="center" vertical="center" wrapText="1"/>
    </xf>
    <xf numFmtId="4" fontId="14" fillId="0" borderId="32" xfId="0" applyNumberFormat="1" applyFont="1" applyFill="1" applyBorder="1" applyAlignment="1">
      <alignment horizontal="center" vertical="center" wrapText="1"/>
    </xf>
    <xf numFmtId="4" fontId="14" fillId="0" borderId="11" xfId="0" applyNumberFormat="1" applyFont="1" applyFill="1" applyBorder="1" applyAlignment="1">
      <alignment vertical="center"/>
    </xf>
    <xf numFmtId="4" fontId="14" fillId="0" borderId="12" xfId="0" applyNumberFormat="1" applyFont="1" applyFill="1" applyBorder="1" applyAlignment="1">
      <alignment vertical="center"/>
    </xf>
    <xf numFmtId="4" fontId="14" fillId="0" borderId="60" xfId="0" applyNumberFormat="1" applyFont="1" applyFill="1" applyBorder="1" applyAlignment="1">
      <alignment vertical="center"/>
    </xf>
    <xf numFmtId="4" fontId="14" fillId="0" borderId="0" xfId="0" applyNumberFormat="1" applyFont="1" applyFill="1" applyBorder="1" applyAlignment="1">
      <alignment vertical="center"/>
    </xf>
    <xf numFmtId="4" fontId="13" fillId="0" borderId="60" xfId="0" applyNumberFormat="1" applyFont="1" applyFill="1" applyBorder="1" applyAlignment="1">
      <alignment vertical="center"/>
    </xf>
    <xf numFmtId="4" fontId="13" fillId="0" borderId="0" xfId="0" applyNumberFormat="1" applyFont="1" applyFill="1" applyBorder="1" applyAlignment="1">
      <alignment vertical="center"/>
    </xf>
    <xf numFmtId="167" fontId="14" fillId="0" borderId="20" xfId="0" applyNumberFormat="1" applyFont="1" applyFill="1" applyBorder="1" applyAlignment="1">
      <alignment vertical="center" wrapText="1"/>
    </xf>
    <xf numFmtId="167" fontId="14" fillId="0" borderId="1" xfId="0" applyNumberFormat="1" applyFont="1" applyFill="1" applyBorder="1" applyAlignment="1">
      <alignment vertical="center" wrapText="1"/>
    </xf>
    <xf numFmtId="4" fontId="14" fillId="0" borderId="2" xfId="0" applyNumberFormat="1" applyFont="1" applyFill="1" applyBorder="1" applyAlignment="1">
      <alignment horizontal="center" vertical="center"/>
    </xf>
    <xf numFmtId="4" fontId="14" fillId="0" borderId="10" xfId="0" applyNumberFormat="1" applyFont="1" applyFill="1" applyBorder="1" applyAlignment="1">
      <alignment horizontal="center" vertical="center"/>
    </xf>
    <xf numFmtId="4" fontId="14" fillId="0" borderId="2" xfId="0" applyNumberFormat="1" applyFont="1" applyFill="1" applyBorder="1" applyAlignment="1">
      <alignment horizontal="center" vertical="center" wrapText="1"/>
    </xf>
    <xf numFmtId="4" fontId="14" fillId="0" borderId="10" xfId="0" applyNumberFormat="1" applyFont="1" applyFill="1" applyBorder="1" applyAlignment="1">
      <alignment horizontal="center" vertical="center" wrapText="1"/>
    </xf>
    <xf numFmtId="0" fontId="4" fillId="0" borderId="0" xfId="2" applyFont="1" applyFill="1" applyBorder="1" applyAlignment="1">
      <alignment vertical="center" shrinkToFit="1"/>
    </xf>
    <xf numFmtId="4" fontId="4" fillId="0" borderId="65" xfId="2" applyNumberFormat="1" applyFont="1" applyBorder="1" applyAlignment="1">
      <alignment vertical="center"/>
    </xf>
    <xf numFmtId="4" fontId="5" fillId="0" borderId="36" xfId="0" applyNumberFormat="1" applyFont="1" applyBorder="1" applyAlignment="1">
      <alignment horizontal="right" vertical="center"/>
    </xf>
    <xf numFmtId="0" fontId="39" fillId="0" borderId="0" xfId="0" applyFont="1" applyAlignment="1">
      <alignment vertical="center"/>
    </xf>
    <xf numFmtId="4" fontId="39" fillId="0" borderId="0" xfId="0" applyNumberFormat="1" applyFont="1" applyAlignment="1">
      <alignment vertical="center"/>
    </xf>
    <xf numFmtId="0" fontId="5" fillId="3" borderId="0" xfId="0" applyFont="1" applyFill="1" applyAlignment="1">
      <alignment horizontal="center" shrinkToFit="1"/>
    </xf>
    <xf numFmtId="0" fontId="4" fillId="3" borderId="0" xfId="0" applyFont="1" applyFill="1" applyAlignment="1">
      <alignment horizontal="center" shrinkToFit="1"/>
    </xf>
    <xf numFmtId="0" fontId="11" fillId="0" borderId="0" xfId="0" applyFont="1" applyAlignment="1">
      <alignment horizontal="center" vertical="center"/>
    </xf>
    <xf numFmtId="0" fontId="26" fillId="0" borderId="0" xfId="0" applyFont="1" applyAlignment="1">
      <alignment vertical="center"/>
    </xf>
    <xf numFmtId="14" fontId="11" fillId="0" borderId="0" xfId="0" applyNumberFormat="1" applyFont="1" applyAlignment="1">
      <alignment horizontal="center" vertical="center"/>
    </xf>
    <xf numFmtId="0" fontId="11" fillId="8" borderId="0" xfId="0" applyFont="1" applyFill="1" applyAlignment="1">
      <alignment horizontal="center" vertical="center"/>
    </xf>
    <xf numFmtId="4" fontId="11" fillId="0" borderId="0" xfId="2" applyNumberFormat="1" applyFont="1" applyAlignment="1">
      <alignment horizontal="center" vertical="center"/>
    </xf>
    <xf numFmtId="14" fontId="11" fillId="0" borderId="0" xfId="2" applyNumberFormat="1" applyFont="1" applyBorder="1" applyAlignment="1">
      <alignment horizontal="center" vertical="center"/>
    </xf>
    <xf numFmtId="0" fontId="11" fillId="0" borderId="0" xfId="2" applyFont="1" applyAlignment="1">
      <alignment shrinkToFit="1"/>
    </xf>
    <xf numFmtId="4" fontId="11" fillId="0" borderId="0" xfId="2" applyNumberFormat="1" applyFont="1" applyBorder="1" applyAlignment="1">
      <alignment horizontal="center"/>
    </xf>
    <xf numFmtId="0" fontId="11" fillId="0" borderId="0" xfId="2" applyFont="1" applyAlignment="1">
      <alignment vertical="center" shrinkToFit="1"/>
    </xf>
    <xf numFmtId="14" fontId="11" fillId="8" borderId="39" xfId="2" applyNumberFormat="1" applyFont="1" applyFill="1" applyBorder="1" applyAlignment="1">
      <alignment horizontal="center" vertical="center"/>
    </xf>
    <xf numFmtId="4" fontId="11" fillId="8" borderId="12" xfId="2" applyNumberFormat="1" applyFont="1" applyFill="1" applyBorder="1" applyAlignment="1">
      <alignment horizontal="center" vertical="center"/>
    </xf>
    <xf numFmtId="4" fontId="11" fillId="8" borderId="13" xfId="2" applyNumberFormat="1" applyFont="1" applyFill="1" applyBorder="1" applyAlignment="1">
      <alignment horizontal="center" vertical="center"/>
    </xf>
    <xf numFmtId="0" fontId="26" fillId="0" borderId="0" xfId="0" applyFont="1" applyAlignment="1">
      <alignment horizontal="center" vertical="center" shrinkToFit="1"/>
    </xf>
    <xf numFmtId="0" fontId="26" fillId="0" borderId="0" xfId="0" applyFont="1" applyAlignment="1">
      <alignment vertical="center" shrinkToFit="1"/>
    </xf>
    <xf numFmtId="4" fontId="26" fillId="0" borderId="0" xfId="0" applyNumberFormat="1" applyFont="1" applyAlignment="1">
      <alignment vertical="center" shrinkToFit="1"/>
    </xf>
    <xf numFmtId="4" fontId="26" fillId="3" borderId="0" xfId="0" applyNumberFormat="1" applyFont="1" applyFill="1" applyAlignment="1">
      <alignment vertical="center" shrinkToFit="1"/>
    </xf>
    <xf numFmtId="0" fontId="34" fillId="0" borderId="0" xfId="0" applyFont="1" applyAlignment="1">
      <alignment vertical="center" shrinkToFit="1"/>
    </xf>
    <xf numFmtId="0" fontId="11" fillId="8" borderId="14" xfId="0" applyFont="1" applyFill="1" applyBorder="1" applyAlignment="1">
      <alignment horizontal="center" vertical="center" shrinkToFit="1"/>
    </xf>
    <xf numFmtId="4" fontId="11" fillId="8" borderId="15" xfId="0" applyNumberFormat="1" applyFont="1" applyFill="1" applyBorder="1" applyAlignment="1">
      <alignment horizontal="center" vertical="center" shrinkToFit="1"/>
    </xf>
    <xf numFmtId="4" fontId="11" fillId="8" borderId="16" xfId="0" applyNumberFormat="1" applyFont="1" applyFill="1" applyBorder="1" applyAlignment="1">
      <alignment horizontal="center" vertical="center" shrinkToFit="1"/>
    </xf>
    <xf numFmtId="0" fontId="26" fillId="0" borderId="0" xfId="0" applyFont="1" applyFill="1" applyAlignment="1">
      <alignment vertical="center"/>
    </xf>
    <xf numFmtId="0" fontId="40" fillId="0" borderId="0" xfId="0" applyFont="1" applyAlignment="1">
      <alignment vertical="center"/>
    </xf>
    <xf numFmtId="0" fontId="3" fillId="3" borderId="0" xfId="0" applyFont="1" applyFill="1" applyAlignment="1">
      <alignment horizontal="center" shrinkToFit="1"/>
    </xf>
    <xf numFmtId="4" fontId="4" fillId="0" borderId="0" xfId="0" applyNumberFormat="1" applyFont="1" applyFill="1" applyBorder="1" applyAlignment="1">
      <alignment horizontal="right" vertical="center" shrinkToFit="1"/>
    </xf>
    <xf numFmtId="0" fontId="21" fillId="0" borderId="0" xfId="0" applyFont="1" applyAlignment="1">
      <alignment vertical="center"/>
    </xf>
    <xf numFmtId="4" fontId="20" fillId="0" borderId="35" xfId="0" applyNumberFormat="1" applyFont="1" applyFill="1" applyBorder="1" applyAlignment="1">
      <alignment vertical="center"/>
    </xf>
    <xf numFmtId="0" fontId="42" fillId="0" borderId="0" xfId="0" applyFont="1" applyAlignment="1">
      <alignment vertical="center"/>
    </xf>
    <xf numFmtId="0" fontId="42" fillId="0" borderId="0" xfId="0" applyFont="1" applyFill="1" applyAlignment="1">
      <alignment vertical="center"/>
    </xf>
    <xf numFmtId="4" fontId="42" fillId="0" borderId="0" xfId="0" applyNumberFormat="1" applyFont="1" applyAlignment="1">
      <alignment vertical="center"/>
    </xf>
    <xf numFmtId="0" fontId="20" fillId="0" borderId="0" xfId="0" applyFont="1" applyAlignment="1">
      <alignment horizontal="left" vertical="center"/>
    </xf>
    <xf numFmtId="0" fontId="20" fillId="0" borderId="0" xfId="0" applyFont="1" applyAlignment="1">
      <alignment horizontal="center" vertical="center"/>
    </xf>
    <xf numFmtId="4" fontId="20" fillId="0" borderId="35" xfId="0" applyNumberFormat="1" applyFont="1" applyBorder="1" applyAlignment="1">
      <alignment vertical="center"/>
    </xf>
    <xf numFmtId="4" fontId="20" fillId="0" borderId="0" xfId="0" applyNumberFormat="1" applyFont="1" applyBorder="1" applyAlignment="1">
      <alignment vertical="center"/>
    </xf>
    <xf numFmtId="0" fontId="42" fillId="0" borderId="0" xfId="0" applyFont="1" applyAlignment="1">
      <alignment horizontal="center" vertical="center"/>
    </xf>
    <xf numFmtId="0" fontId="24" fillId="0" borderId="0" xfId="0" applyFont="1" applyFill="1" applyAlignment="1">
      <alignment vertical="center"/>
    </xf>
    <xf numFmtId="0" fontId="43" fillId="8" borderId="42" xfId="0" applyFont="1" applyFill="1" applyBorder="1" applyAlignment="1">
      <alignment horizontal="center" vertical="center"/>
    </xf>
    <xf numFmtId="4" fontId="43" fillId="8" borderId="39" xfId="0" applyNumberFormat="1" applyFont="1" applyFill="1" applyBorder="1" applyAlignment="1">
      <alignment horizontal="center" vertical="center" shrinkToFit="1"/>
    </xf>
    <xf numFmtId="0" fontId="24" fillId="0" borderId="43" xfId="0" applyFont="1" applyBorder="1" applyAlignment="1">
      <alignment horizontal="justify" vertical="center" wrapText="1"/>
    </xf>
    <xf numFmtId="0" fontId="24" fillId="0" borderId="41" xfId="0" applyFont="1" applyBorder="1" applyAlignment="1">
      <alignment horizontal="justify" vertical="center" wrapText="1"/>
    </xf>
    <xf numFmtId="4" fontId="24" fillId="0" borderId="0" xfId="0" applyNumberFormat="1" applyFont="1" applyFill="1" applyBorder="1" applyAlignment="1">
      <alignment vertical="center" shrinkToFit="1"/>
    </xf>
    <xf numFmtId="4" fontId="43" fillId="0" borderId="0" xfId="0" applyNumberFormat="1" applyFont="1" applyFill="1" applyAlignment="1">
      <alignment horizontal="right" vertical="center"/>
    </xf>
    <xf numFmtId="4" fontId="50" fillId="0" borderId="0" xfId="0" applyNumberFormat="1" applyFont="1" applyAlignment="1">
      <alignment vertical="center"/>
    </xf>
    <xf numFmtId="4" fontId="24" fillId="0" borderId="0" xfId="0" applyNumberFormat="1" applyFont="1" applyFill="1" applyAlignment="1">
      <alignment vertical="center" shrinkToFit="1"/>
    </xf>
    <xf numFmtId="0" fontId="50" fillId="0" borderId="0" xfId="0" applyFont="1" applyFill="1" applyAlignment="1">
      <alignment vertical="center"/>
    </xf>
    <xf numFmtId="0" fontId="25" fillId="0" borderId="0" xfId="0" applyFont="1" applyFill="1" applyAlignment="1">
      <alignment vertical="center"/>
    </xf>
    <xf numFmtId="0" fontId="50" fillId="0" borderId="0" xfId="0" applyFont="1" applyAlignment="1">
      <alignment vertical="center"/>
    </xf>
    <xf numFmtId="0" fontId="43" fillId="8" borderId="42" xfId="0" applyFont="1" applyFill="1" applyBorder="1" applyAlignment="1">
      <alignment horizontal="center" vertical="center" shrinkToFit="1"/>
    </xf>
    <xf numFmtId="0" fontId="43" fillId="8" borderId="3" xfId="0" applyFont="1" applyFill="1" applyBorder="1" applyAlignment="1">
      <alignment horizontal="center" vertical="center" shrinkToFit="1"/>
    </xf>
    <xf numFmtId="4" fontId="43" fillId="8" borderId="46" xfId="0" applyNumberFormat="1" applyFont="1" applyFill="1" applyBorder="1" applyAlignment="1">
      <alignment horizontal="center" vertical="center" wrapText="1" shrinkToFit="1"/>
    </xf>
    <xf numFmtId="4" fontId="43" fillId="8" borderId="15" xfId="0" applyNumberFormat="1" applyFont="1" applyFill="1" applyBorder="1" applyAlignment="1">
      <alignment horizontal="center" vertical="center" shrinkToFit="1"/>
    </xf>
    <xf numFmtId="4" fontId="43" fillId="8" borderId="16" xfId="0" applyNumberFormat="1" applyFont="1" applyFill="1" applyBorder="1" applyAlignment="1">
      <alignment horizontal="center" vertical="center" shrinkToFit="1"/>
    </xf>
    <xf numFmtId="4" fontId="43" fillId="0" borderId="0" xfId="0" applyNumberFormat="1" applyFont="1" applyFill="1" applyBorder="1" applyAlignment="1">
      <alignment horizontal="center" vertical="center" shrinkToFit="1"/>
    </xf>
    <xf numFmtId="0" fontId="43" fillId="0" borderId="0" xfId="0" applyFont="1" applyFill="1" applyAlignment="1">
      <alignment horizontal="center" vertical="center" shrinkToFit="1"/>
    </xf>
    <xf numFmtId="0" fontId="43" fillId="8" borderId="14" xfId="0" applyFont="1" applyFill="1" applyBorder="1" applyAlignment="1">
      <alignment horizontal="center" vertical="center" shrinkToFit="1"/>
    </xf>
    <xf numFmtId="0" fontId="43" fillId="8" borderId="46" xfId="0" applyFont="1" applyFill="1" applyBorder="1" applyAlignment="1">
      <alignment horizontal="center" vertical="center" shrinkToFit="1"/>
    </xf>
    <xf numFmtId="4" fontId="43" fillId="8" borderId="15" xfId="0" applyNumberFormat="1" applyFont="1" applyFill="1" applyBorder="1" applyAlignment="1">
      <alignment horizontal="center" vertical="center" wrapText="1" shrinkToFit="1"/>
    </xf>
    <xf numFmtId="4" fontId="43" fillId="0" borderId="0" xfId="0" applyNumberFormat="1" applyFont="1" applyFill="1" applyAlignment="1">
      <alignment horizontal="center" vertical="center"/>
    </xf>
    <xf numFmtId="0" fontId="52" fillId="0" borderId="0" xfId="0" applyFont="1" applyFill="1" applyAlignment="1">
      <alignment horizontal="left" vertical="center"/>
    </xf>
    <xf numFmtId="0" fontId="53" fillId="0" borderId="0" xfId="0" applyFont="1" applyFill="1" applyAlignment="1">
      <alignment horizontal="center" vertical="center"/>
    </xf>
    <xf numFmtId="4" fontId="24" fillId="0" borderId="0" xfId="0" applyNumberFormat="1" applyFont="1" applyFill="1" applyBorder="1" applyAlignment="1">
      <alignment vertical="center" wrapText="1" shrinkToFit="1"/>
    </xf>
    <xf numFmtId="16" fontId="24" fillId="3" borderId="1" xfId="0" applyNumberFormat="1" applyFont="1" applyFill="1" applyBorder="1" applyAlignment="1">
      <alignment horizontal="center" vertical="center" wrapText="1" shrinkToFit="1"/>
    </xf>
    <xf numFmtId="16" fontId="24" fillId="3" borderId="1" xfId="0" applyNumberFormat="1" applyFont="1" applyFill="1" applyBorder="1" applyAlignment="1">
      <alignment vertical="center" wrapText="1" shrinkToFit="1"/>
    </xf>
    <xf numFmtId="0" fontId="24" fillId="3" borderId="0" xfId="0" applyFont="1" applyFill="1" applyAlignment="1">
      <alignment vertical="center" wrapText="1" shrinkToFit="1"/>
    </xf>
    <xf numFmtId="4" fontId="43" fillId="0" borderId="0" xfId="0" applyNumberFormat="1" applyFont="1" applyFill="1" applyBorder="1" applyAlignment="1">
      <alignment vertical="center" wrapText="1" shrinkToFit="1"/>
    </xf>
    <xf numFmtId="4" fontId="43" fillId="8" borderId="61" xfId="0" applyNumberFormat="1" applyFont="1" applyFill="1" applyBorder="1" applyAlignment="1">
      <alignment horizontal="center" vertical="center" shrinkToFit="1"/>
    </xf>
    <xf numFmtId="0" fontId="24" fillId="3" borderId="20" xfId="0" applyFont="1" applyFill="1" applyBorder="1" applyAlignment="1">
      <alignment vertical="center" shrinkToFit="1"/>
    </xf>
    <xf numFmtId="0" fontId="24" fillId="3" borderId="22" xfId="0" applyFont="1" applyFill="1" applyBorder="1" applyAlignment="1">
      <alignment vertical="center" shrinkToFit="1"/>
    </xf>
    <xf numFmtId="0" fontId="24" fillId="3" borderId="26" xfId="0" applyFont="1" applyFill="1" applyBorder="1" applyAlignment="1">
      <alignment vertical="center" shrinkToFit="1"/>
    </xf>
    <xf numFmtId="16" fontId="24" fillId="3" borderId="27" xfId="0" applyNumberFormat="1" applyFont="1" applyFill="1" applyBorder="1" applyAlignment="1">
      <alignment horizontal="center" vertical="center" wrapText="1" shrinkToFit="1"/>
    </xf>
    <xf numFmtId="0" fontId="24" fillId="3" borderId="0" xfId="0" applyFont="1" applyFill="1" applyBorder="1" applyAlignment="1">
      <alignment vertical="center" shrinkToFit="1"/>
    </xf>
    <xf numFmtId="4" fontId="24" fillId="3" borderId="0" xfId="0" applyNumberFormat="1" applyFont="1" applyFill="1" applyBorder="1" applyAlignment="1">
      <alignment vertical="center" shrinkToFit="1"/>
    </xf>
    <xf numFmtId="4" fontId="43" fillId="0" borderId="0" xfId="0" applyNumberFormat="1" applyFont="1" applyFill="1" applyBorder="1" applyAlignment="1">
      <alignment vertical="center" shrinkToFit="1"/>
    </xf>
    <xf numFmtId="0" fontId="43" fillId="0" borderId="0" xfId="0" applyFont="1" applyFill="1" applyBorder="1" applyAlignment="1">
      <alignment vertical="center"/>
    </xf>
    <xf numFmtId="0" fontId="24" fillId="3" borderId="0" xfId="0" applyFont="1" applyFill="1" applyAlignment="1">
      <alignment vertical="center" shrinkToFit="1"/>
    </xf>
    <xf numFmtId="4" fontId="24" fillId="3" borderId="0" xfId="0" applyNumberFormat="1" applyFont="1" applyFill="1" applyAlignment="1">
      <alignment vertical="center" shrinkToFit="1"/>
    </xf>
    <xf numFmtId="0" fontId="24" fillId="0" borderId="0" xfId="0" applyFont="1" applyFill="1" applyAlignment="1">
      <alignment vertical="center" shrinkToFit="1"/>
    </xf>
    <xf numFmtId="4" fontId="43" fillId="3" borderId="0" xfId="0" applyNumberFormat="1" applyFont="1" applyFill="1" applyBorder="1" applyAlignment="1">
      <alignment vertical="center" shrinkToFit="1"/>
    </xf>
    <xf numFmtId="4" fontId="24" fillId="3" borderId="0" xfId="0" applyNumberFormat="1" applyFont="1" applyFill="1" applyBorder="1" applyAlignment="1">
      <alignment horizontal="center" vertical="center" shrinkToFit="1"/>
    </xf>
    <xf numFmtId="4" fontId="24" fillId="0" borderId="0" xfId="0" applyNumberFormat="1" applyFont="1" applyFill="1" applyBorder="1" applyAlignment="1">
      <alignment horizontal="center" vertical="center" shrinkToFit="1"/>
    </xf>
    <xf numFmtId="165" fontId="24" fillId="0" borderId="0" xfId="0" applyNumberFormat="1" applyFont="1" applyFill="1" applyAlignment="1">
      <alignment vertical="center" shrinkToFit="1"/>
    </xf>
    <xf numFmtId="16" fontId="24" fillId="0" borderId="0" xfId="0" applyNumberFormat="1" applyFont="1" applyFill="1" applyAlignment="1">
      <alignment vertical="center" shrinkToFit="1"/>
    </xf>
    <xf numFmtId="4" fontId="24" fillId="0" borderId="0" xfId="0" applyNumberFormat="1" applyFont="1" applyFill="1" applyAlignment="1">
      <alignment vertical="center"/>
    </xf>
    <xf numFmtId="4" fontId="50" fillId="0" borderId="0" xfId="0" applyNumberFormat="1" applyFont="1" applyFill="1" applyAlignment="1">
      <alignment vertical="center"/>
    </xf>
    <xf numFmtId="0" fontId="43" fillId="3" borderId="0" xfId="0" applyFont="1" applyFill="1" applyAlignment="1">
      <alignment vertical="center" shrinkToFit="1"/>
    </xf>
    <xf numFmtId="0" fontId="43" fillId="3" borderId="0" xfId="0" applyFont="1" applyFill="1" applyAlignment="1">
      <alignment vertical="center" wrapText="1" shrinkToFit="1"/>
    </xf>
    <xf numFmtId="0" fontId="43" fillId="0" borderId="0" xfId="0" applyFont="1" applyFill="1" applyAlignment="1">
      <alignment vertical="center" shrinkToFit="1"/>
    </xf>
    <xf numFmtId="0" fontId="43" fillId="3" borderId="0" xfId="0" applyFont="1" applyFill="1" applyBorder="1" applyAlignment="1">
      <alignment vertical="center" shrinkToFit="1"/>
    </xf>
    <xf numFmtId="0" fontId="43" fillId="3" borderId="0" xfId="0" applyFont="1" applyFill="1" applyBorder="1" applyAlignment="1">
      <alignment vertical="center" wrapText="1" shrinkToFit="1"/>
    </xf>
    <xf numFmtId="4" fontId="43" fillId="0" borderId="0" xfId="0" applyNumberFormat="1" applyFont="1" applyFill="1" applyAlignment="1">
      <alignment vertical="center"/>
    </xf>
    <xf numFmtId="0" fontId="43" fillId="0" borderId="0" xfId="0" applyFont="1" applyFill="1" applyAlignment="1">
      <alignment vertical="center"/>
    </xf>
    <xf numFmtId="4" fontId="43" fillId="0" borderId="0" xfId="0" applyNumberFormat="1" applyFont="1" applyFill="1" applyAlignment="1">
      <alignment vertical="center" shrinkToFit="1"/>
    </xf>
    <xf numFmtId="4" fontId="52" fillId="0" borderId="0" xfId="0" applyNumberFormat="1" applyFont="1" applyFill="1" applyAlignment="1">
      <alignment vertical="center"/>
    </xf>
    <xf numFmtId="0" fontId="24" fillId="0" borderId="20" xfId="0" applyFont="1" applyFill="1" applyBorder="1" applyAlignment="1">
      <alignment vertical="center" shrinkToFit="1"/>
    </xf>
    <xf numFmtId="16" fontId="24" fillId="3" borderId="27" xfId="0" applyNumberFormat="1" applyFont="1" applyFill="1" applyBorder="1" applyAlignment="1">
      <alignment vertical="center" wrapText="1" shrinkToFit="1"/>
    </xf>
    <xf numFmtId="0" fontId="24" fillId="0" borderId="0" xfId="0" applyFont="1" applyFill="1" applyBorder="1" applyAlignment="1">
      <alignment vertical="center" shrinkToFit="1"/>
    </xf>
    <xf numFmtId="4" fontId="24" fillId="3" borderId="0" xfId="0" applyNumberFormat="1" applyFont="1" applyFill="1" applyAlignment="1">
      <alignment vertical="center"/>
    </xf>
    <xf numFmtId="0" fontId="43" fillId="3" borderId="0" xfId="0" applyFont="1" applyFill="1" applyAlignment="1">
      <alignment vertical="center"/>
    </xf>
    <xf numFmtId="0" fontId="24" fillId="3" borderId="0" xfId="0" applyFont="1" applyFill="1" applyAlignment="1">
      <alignment vertical="center"/>
    </xf>
    <xf numFmtId="0" fontId="43" fillId="3" borderId="17" xfId="0" applyFont="1" applyFill="1" applyBorder="1" applyAlignment="1">
      <alignment vertical="center" shrinkToFit="1"/>
    </xf>
    <xf numFmtId="0" fontId="43" fillId="3" borderId="43" xfId="0" applyFont="1" applyFill="1" applyBorder="1" applyAlignment="1">
      <alignment vertical="center" shrinkToFit="1"/>
    </xf>
    <xf numFmtId="0" fontId="23" fillId="9" borderId="47" xfId="5" applyFont="1" applyFill="1" applyBorder="1" applyAlignment="1">
      <alignment horizontal="right" vertical="center" wrapText="1"/>
    </xf>
    <xf numFmtId="4" fontId="23" fillId="9" borderId="0" xfId="5" applyNumberFormat="1" applyFont="1" applyFill="1" applyBorder="1" applyAlignment="1">
      <alignment vertical="center" wrapText="1"/>
    </xf>
    <xf numFmtId="4" fontId="23" fillId="9" borderId="47" xfId="5" applyNumberFormat="1" applyFont="1" applyFill="1" applyBorder="1" applyAlignment="1">
      <alignment vertical="center" wrapText="1"/>
    </xf>
    <xf numFmtId="0" fontId="36" fillId="0" borderId="1" xfId="5" applyFont="1" applyFill="1" applyBorder="1" applyAlignment="1">
      <alignment horizontal="left" vertical="center" wrapText="1"/>
    </xf>
    <xf numFmtId="4" fontId="36" fillId="0" borderId="1" xfId="5" applyNumberFormat="1" applyFont="1" applyFill="1" applyBorder="1" applyAlignment="1">
      <alignment horizontal="right" vertical="center"/>
    </xf>
    <xf numFmtId="0" fontId="36" fillId="0" borderId="17" xfId="5" applyFont="1" applyFill="1" applyBorder="1" applyAlignment="1">
      <alignment horizontal="center" vertical="center"/>
    </xf>
    <xf numFmtId="0" fontId="36" fillId="0" borderId="18" xfId="5" applyFont="1" applyFill="1" applyBorder="1" applyAlignment="1">
      <alignment horizontal="left" vertical="center" wrapText="1"/>
    </xf>
    <xf numFmtId="4" fontId="36" fillId="0" borderId="18" xfId="5" applyNumberFormat="1" applyFont="1" applyFill="1" applyBorder="1" applyAlignment="1">
      <alignment horizontal="right" vertical="center"/>
    </xf>
    <xf numFmtId="0" fontId="36" fillId="0" borderId="20" xfId="5" applyFont="1" applyFill="1" applyBorder="1" applyAlignment="1">
      <alignment horizontal="center" vertical="center"/>
    </xf>
    <xf numFmtId="4" fontId="36" fillId="0" borderId="21" xfId="5" applyNumberFormat="1" applyFont="1" applyFill="1" applyBorder="1" applyAlignment="1">
      <alignment horizontal="right" vertical="center"/>
    </xf>
    <xf numFmtId="4" fontId="36" fillId="3" borderId="47" xfId="5" applyNumberFormat="1" applyFont="1" applyFill="1" applyBorder="1" applyAlignment="1">
      <alignment horizontal="right" vertical="center"/>
    </xf>
    <xf numFmtId="4" fontId="36" fillId="3" borderId="66" xfId="5" applyNumberFormat="1" applyFont="1" applyFill="1" applyBorder="1" applyAlignment="1">
      <alignment horizontal="right" vertical="center"/>
    </xf>
    <xf numFmtId="0" fontId="23" fillId="9" borderId="66" xfId="5" applyFont="1" applyFill="1" applyBorder="1" applyAlignment="1">
      <alignment vertical="center"/>
    </xf>
    <xf numFmtId="4" fontId="23" fillId="14" borderId="5" xfId="5" applyNumberFormat="1" applyFont="1" applyFill="1" applyBorder="1" applyAlignment="1">
      <alignment horizontal="right" vertical="center"/>
    </xf>
    <xf numFmtId="4" fontId="36" fillId="15" borderId="10" xfId="5" applyNumberFormat="1" applyFont="1" applyFill="1" applyBorder="1" applyAlignment="1">
      <alignment horizontal="right" vertical="center"/>
    </xf>
    <xf numFmtId="4" fontId="23" fillId="14" borderId="65" xfId="5" applyNumberFormat="1" applyFont="1" applyFill="1" applyBorder="1" applyAlignment="1">
      <alignment vertical="center" wrapText="1"/>
    </xf>
    <xf numFmtId="14" fontId="19" fillId="0" borderId="0" xfId="0" applyNumberFormat="1" applyFont="1" applyAlignment="1">
      <alignment vertical="center" shrinkToFit="1"/>
    </xf>
    <xf numFmtId="14" fontId="19" fillId="0" borderId="0" xfId="0" applyNumberFormat="1" applyFont="1" applyAlignment="1">
      <alignment horizontal="right" vertical="center" shrinkToFit="1"/>
    </xf>
    <xf numFmtId="4" fontId="20" fillId="0" borderId="1" xfId="0" applyNumberFormat="1" applyFont="1" applyBorder="1" applyAlignment="1">
      <alignment vertical="center"/>
    </xf>
    <xf numFmtId="4" fontId="20" fillId="0" borderId="1" xfId="0" applyNumberFormat="1" applyFont="1" applyFill="1" applyBorder="1" applyAlignment="1">
      <alignment vertical="center"/>
    </xf>
    <xf numFmtId="4" fontId="21" fillId="0" borderId="1" xfId="0" applyNumberFormat="1" applyFont="1" applyFill="1" applyBorder="1" applyAlignment="1">
      <alignment vertical="center"/>
    </xf>
    <xf numFmtId="0" fontId="20" fillId="0" borderId="1" xfId="0" applyFont="1" applyBorder="1" applyAlignment="1">
      <alignment vertical="center"/>
    </xf>
    <xf numFmtId="4" fontId="21" fillId="0" borderId="0" xfId="0" applyNumberFormat="1" applyFont="1" applyAlignment="1">
      <alignment horizontal="center" vertical="center"/>
    </xf>
    <xf numFmtId="4" fontId="20" fillId="0" borderId="18" xfId="0" applyNumberFormat="1" applyFont="1" applyBorder="1" applyAlignment="1">
      <alignment vertical="center"/>
    </xf>
    <xf numFmtId="0" fontId="36" fillId="0" borderId="1" xfId="1" applyFont="1" applyFill="1" applyBorder="1" applyAlignment="1">
      <alignment horizontal="justify" vertical="center" wrapText="1" shrinkToFit="1"/>
    </xf>
    <xf numFmtId="49" fontId="23" fillId="9" borderId="17" xfId="5" applyNumberFormat="1" applyFont="1" applyFill="1" applyBorder="1" applyAlignment="1">
      <alignment horizontal="center" vertical="center" wrapText="1"/>
    </xf>
    <xf numFmtId="49" fontId="23" fillId="9" borderId="26" xfId="5" applyNumberFormat="1" applyFont="1" applyFill="1" applyBorder="1" applyAlignment="1">
      <alignment horizontal="center" vertical="center" wrapText="1"/>
    </xf>
    <xf numFmtId="49" fontId="23" fillId="9" borderId="19" xfId="5" applyNumberFormat="1" applyFont="1" applyFill="1" applyBorder="1" applyAlignment="1">
      <alignment horizontal="center" vertical="center" wrapText="1"/>
    </xf>
    <xf numFmtId="49" fontId="23" fillId="9" borderId="28" xfId="5" applyNumberFormat="1" applyFont="1" applyFill="1" applyBorder="1" applyAlignment="1">
      <alignment horizontal="center" vertical="center" wrapText="1"/>
    </xf>
    <xf numFmtId="49" fontId="23" fillId="9" borderId="20" xfId="5" applyNumberFormat="1" applyFont="1" applyFill="1" applyBorder="1" applyAlignment="1">
      <alignment horizontal="center" vertical="center" wrapText="1"/>
    </xf>
    <xf numFmtId="0" fontId="21" fillId="0" borderId="0" xfId="0" applyFont="1" applyAlignment="1">
      <alignment horizontal="center" vertical="center"/>
    </xf>
    <xf numFmtId="0" fontId="34" fillId="0" borderId="0" xfId="0" applyFont="1" applyAlignment="1">
      <alignment vertical="center"/>
    </xf>
    <xf numFmtId="0" fontId="26" fillId="0" borderId="0" xfId="0" applyFont="1" applyAlignment="1">
      <alignment horizontal="left" vertical="center"/>
    </xf>
    <xf numFmtId="4" fontId="26" fillId="0" borderId="0" xfId="0" applyNumberFormat="1" applyFont="1" applyAlignment="1">
      <alignment vertical="center"/>
    </xf>
    <xf numFmtId="4" fontId="0" fillId="0" borderId="0" xfId="0" applyNumberFormat="1" applyFill="1" applyAlignment="1">
      <alignment vertical="center"/>
    </xf>
    <xf numFmtId="0" fontId="7" fillId="0" borderId="0" xfId="0" applyFont="1" applyAlignment="1">
      <alignment vertical="center"/>
    </xf>
    <xf numFmtId="0" fontId="7" fillId="0" borderId="0" xfId="0" applyFont="1" applyFill="1" applyAlignment="1">
      <alignment vertical="center"/>
    </xf>
    <xf numFmtId="0" fontId="18" fillId="0" borderId="0" xfId="0" applyFont="1" applyAlignment="1">
      <alignment vertical="center" wrapText="1"/>
    </xf>
    <xf numFmtId="0" fontId="18" fillId="0" borderId="0" xfId="0" applyFont="1" applyFill="1" applyAlignment="1">
      <alignment vertical="center" wrapText="1"/>
    </xf>
    <xf numFmtId="0" fontId="18" fillId="0" borderId="0" xfId="0" applyFont="1" applyAlignment="1">
      <alignment vertical="center"/>
    </xf>
    <xf numFmtId="0" fontId="18" fillId="0" borderId="0" xfId="0" applyFont="1" applyFill="1" applyAlignment="1">
      <alignment vertical="center"/>
    </xf>
    <xf numFmtId="4" fontId="26" fillId="0" borderId="0" xfId="0" applyNumberFormat="1" applyFont="1" applyFill="1" applyAlignment="1">
      <alignment vertical="center"/>
    </xf>
    <xf numFmtId="4" fontId="18" fillId="0" borderId="0" xfId="0" applyNumberFormat="1" applyFont="1" applyFill="1" applyAlignment="1">
      <alignment vertical="center"/>
    </xf>
    <xf numFmtId="4" fontId="28" fillId="0" borderId="0" xfId="2" applyNumberFormat="1" applyFont="1" applyAlignment="1">
      <alignment vertical="center"/>
    </xf>
    <xf numFmtId="0" fontId="1" fillId="0" borderId="0" xfId="0" applyFont="1" applyAlignment="1">
      <alignment vertical="center"/>
    </xf>
    <xf numFmtId="4" fontId="1" fillId="0" borderId="0" xfId="0" applyNumberFormat="1" applyFont="1" applyAlignment="1">
      <alignment vertical="center"/>
    </xf>
    <xf numFmtId="0" fontId="4" fillId="3" borderId="0" xfId="0" applyFont="1" applyFill="1" applyAlignment="1">
      <alignment horizontal="center" vertical="center" shrinkToFit="1"/>
    </xf>
    <xf numFmtId="4" fontId="32" fillId="3" borderId="0" xfId="0" applyNumberFormat="1" applyFont="1" applyFill="1" applyAlignment="1">
      <alignment vertical="center" shrinkToFit="1"/>
    </xf>
    <xf numFmtId="0" fontId="2" fillId="3" borderId="0" xfId="0" applyFont="1" applyFill="1" applyAlignment="1">
      <alignment horizontal="center" vertical="center" shrinkToFit="1"/>
    </xf>
    <xf numFmtId="4" fontId="33" fillId="0" borderId="0" xfId="2" applyNumberFormat="1" applyFont="1" applyAlignment="1">
      <alignment vertical="center"/>
    </xf>
    <xf numFmtId="4" fontId="5" fillId="0" borderId="0" xfId="2" applyNumberFormat="1" applyFont="1" applyAlignment="1">
      <alignment vertical="center"/>
    </xf>
    <xf numFmtId="4" fontId="11" fillId="0" borderId="0" xfId="2" applyNumberFormat="1" applyFont="1" applyBorder="1" applyAlignment="1">
      <alignment horizontal="center" vertical="center"/>
    </xf>
    <xf numFmtId="0" fontId="55" fillId="0" borderId="0" xfId="0" applyFont="1" applyAlignment="1">
      <alignment vertical="center"/>
    </xf>
    <xf numFmtId="4" fontId="21" fillId="8" borderId="3" xfId="0" applyNumberFormat="1" applyFont="1" applyFill="1" applyBorder="1" applyAlignment="1">
      <alignment vertical="center"/>
    </xf>
    <xf numFmtId="0" fontId="21" fillId="10" borderId="39" xfId="0" applyFont="1" applyFill="1" applyBorder="1" applyAlignment="1">
      <alignment horizontal="center" vertical="center"/>
    </xf>
    <xf numFmtId="0" fontId="3" fillId="0" borderId="1" xfId="1" applyFont="1" applyFill="1" applyBorder="1" applyAlignment="1">
      <alignment vertical="center" shrinkToFit="1"/>
    </xf>
    <xf numFmtId="0" fontId="2" fillId="0" borderId="1" xfId="1" applyFont="1" applyFill="1" applyBorder="1" applyAlignment="1">
      <alignment vertical="center" shrinkToFit="1"/>
    </xf>
    <xf numFmtId="0" fontId="34" fillId="0" borderId="0" xfId="0" applyFont="1" applyAlignment="1">
      <alignment horizontal="center" vertical="center"/>
    </xf>
    <xf numFmtId="49" fontId="23" fillId="9" borderId="18" xfId="5" applyNumberFormat="1" applyFont="1" applyFill="1" applyBorder="1" applyAlignment="1">
      <alignment horizontal="center" vertical="center" wrapText="1"/>
    </xf>
    <xf numFmtId="49" fontId="23" fillId="9" borderId="1" xfId="5" applyNumberFormat="1" applyFont="1" applyFill="1" applyBorder="1" applyAlignment="1">
      <alignment horizontal="center" vertical="center" wrapText="1"/>
    </xf>
    <xf numFmtId="49" fontId="23" fillId="9" borderId="27" xfId="5" applyNumberFormat="1" applyFont="1" applyFill="1" applyBorder="1" applyAlignment="1">
      <alignment horizontal="center" vertical="center" wrapText="1"/>
    </xf>
    <xf numFmtId="0" fontId="21" fillId="0" borderId="0" xfId="0" applyFont="1" applyAlignment="1">
      <alignment horizontal="center" vertical="center"/>
    </xf>
    <xf numFmtId="0" fontId="20" fillId="0" borderId="0" xfId="0" applyFont="1" applyBorder="1" applyAlignment="1">
      <alignment horizontal="center" vertical="center"/>
    </xf>
    <xf numFmtId="0" fontId="2" fillId="0" borderId="1" xfId="6" applyFont="1" applyFill="1" applyBorder="1" applyAlignment="1">
      <alignment vertical="center" shrinkToFit="1"/>
    </xf>
    <xf numFmtId="0" fontId="2" fillId="0" borderId="1" xfId="1" applyFont="1" applyFill="1" applyBorder="1" applyAlignment="1">
      <alignment horizontal="center" vertical="center" shrinkToFit="1"/>
    </xf>
    <xf numFmtId="0" fontId="5" fillId="0" borderId="0" xfId="2" applyFont="1" applyAlignment="1">
      <alignment horizontal="center" vertical="center" wrapText="1"/>
    </xf>
    <xf numFmtId="0" fontId="26" fillId="8" borderId="0" xfId="0" applyFont="1" applyFill="1" applyAlignment="1">
      <alignment horizontal="center" vertical="center"/>
    </xf>
    <xf numFmtId="0" fontId="42" fillId="8" borderId="0" xfId="0" applyFont="1" applyFill="1" applyAlignment="1">
      <alignment horizontal="center" vertical="center"/>
    </xf>
    <xf numFmtId="0" fontId="1" fillId="0" borderId="0" xfId="0" applyFont="1" applyAlignment="1">
      <alignment horizontal="center" vertical="center"/>
    </xf>
    <xf numFmtId="0" fontId="21" fillId="0" borderId="0" xfId="0" applyFont="1" applyFill="1" applyAlignment="1">
      <alignment horizontal="center" vertical="center"/>
    </xf>
    <xf numFmtId="0" fontId="42" fillId="0" borderId="0" xfId="0" applyFont="1" applyFill="1" applyAlignment="1">
      <alignment horizontal="center" vertical="center"/>
    </xf>
    <xf numFmtId="0" fontId="24" fillId="0" borderId="26" xfId="0" applyFont="1" applyFill="1" applyBorder="1" applyAlignment="1">
      <alignment vertical="center" shrinkToFit="1"/>
    </xf>
    <xf numFmtId="0" fontId="24" fillId="3" borderId="31" xfId="0" applyFont="1" applyFill="1" applyBorder="1" applyAlignment="1">
      <alignment vertical="center" shrinkToFit="1"/>
    </xf>
    <xf numFmtId="4" fontId="40" fillId="0" borderId="0" xfId="0" applyNumberFormat="1" applyFont="1" applyAlignment="1">
      <alignment vertical="center"/>
    </xf>
    <xf numFmtId="0" fontId="36" fillId="0" borderId="26" xfId="5" applyFont="1" applyFill="1" applyBorder="1" applyAlignment="1">
      <alignment horizontal="center" vertical="center"/>
    </xf>
    <xf numFmtId="0" fontId="36" fillId="0" borderId="27" xfId="5" applyFont="1" applyFill="1" applyBorder="1" applyAlignment="1">
      <alignment horizontal="left" vertical="center" wrapText="1"/>
    </xf>
    <xf numFmtId="4" fontId="36" fillId="0" borderId="27" xfId="5" applyNumberFormat="1" applyFont="1" applyFill="1" applyBorder="1" applyAlignment="1">
      <alignment horizontal="right" vertical="center"/>
    </xf>
    <xf numFmtId="0" fontId="0" fillId="0" borderId="0" xfId="0" applyFill="1"/>
    <xf numFmtId="4" fontId="43" fillId="0" borderId="0" xfId="0" applyNumberFormat="1" applyFont="1" applyFill="1" applyAlignment="1">
      <alignment horizontal="center" vertical="center" shrinkToFit="1"/>
    </xf>
    <xf numFmtId="0" fontId="43" fillId="8" borderId="3" xfId="0" applyFont="1" applyFill="1" applyBorder="1" applyAlignment="1">
      <alignment horizontal="right" vertical="center" wrapText="1"/>
    </xf>
    <xf numFmtId="4" fontId="43" fillId="0" borderId="0" xfId="0" applyNumberFormat="1" applyFont="1" applyFill="1" applyBorder="1" applyAlignment="1">
      <alignment horizontal="left" vertical="center" shrinkToFit="1"/>
    </xf>
    <xf numFmtId="4" fontId="58" fillId="0" borderId="0" xfId="0" applyNumberFormat="1" applyFont="1" applyAlignment="1">
      <alignment vertical="center"/>
    </xf>
    <xf numFmtId="3" fontId="20" fillId="0" borderId="0" xfId="0" applyNumberFormat="1" applyFont="1" applyAlignment="1">
      <alignment vertical="center"/>
    </xf>
    <xf numFmtId="4" fontId="4" fillId="0" borderId="1" xfId="0" applyNumberFormat="1" applyFont="1" applyBorder="1" applyAlignment="1">
      <alignment vertical="center"/>
    </xf>
    <xf numFmtId="0" fontId="20" fillId="0" borderId="0" xfId="0" applyFont="1" applyBorder="1" applyAlignment="1">
      <alignment horizontal="center" vertical="center"/>
    </xf>
    <xf numFmtId="0" fontId="4" fillId="0" borderId="0" xfId="2" applyFont="1" applyBorder="1" applyAlignment="1">
      <alignment horizontal="center" vertical="center"/>
    </xf>
    <xf numFmtId="0" fontId="15" fillId="0" borderId="60" xfId="2" applyFont="1" applyBorder="1" applyAlignment="1">
      <alignment vertical="center"/>
    </xf>
    <xf numFmtId="0" fontId="0" fillId="0" borderId="0" xfId="0" applyBorder="1"/>
    <xf numFmtId="0" fontId="15" fillId="0" borderId="60" xfId="2" applyFont="1" applyFill="1" applyBorder="1" applyAlignment="1">
      <alignment horizontal="center" vertical="center"/>
    </xf>
    <xf numFmtId="0" fontId="15" fillId="0" borderId="0" xfId="2" applyFont="1" applyBorder="1" applyAlignment="1">
      <alignment vertical="center"/>
    </xf>
    <xf numFmtId="0" fontId="0" fillId="0" borderId="0" xfId="0" applyBorder="1" applyAlignment="1"/>
    <xf numFmtId="0" fontId="16" fillId="0" borderId="60" xfId="2" applyFont="1" applyBorder="1" applyAlignment="1">
      <alignment horizontal="center" vertical="center"/>
    </xf>
    <xf numFmtId="0" fontId="16" fillId="0" borderId="38" xfId="2" applyFont="1" applyBorder="1" applyAlignment="1">
      <alignment horizontal="center" vertical="center"/>
    </xf>
    <xf numFmtId="0" fontId="4" fillId="0" borderId="60" xfId="2" applyFont="1" applyBorder="1" applyAlignment="1">
      <alignment horizontal="center" vertical="center"/>
    </xf>
    <xf numFmtId="0" fontId="4" fillId="0" borderId="38" xfId="2" applyFont="1" applyBorder="1" applyAlignment="1">
      <alignment horizontal="center" vertical="center"/>
    </xf>
    <xf numFmtId="0" fontId="56" fillId="0" borderId="0" xfId="2" applyFont="1" applyFill="1" applyBorder="1" applyAlignment="1">
      <alignment vertical="center"/>
    </xf>
    <xf numFmtId="4" fontId="23" fillId="9" borderId="61" xfId="5" applyNumberFormat="1" applyFont="1" applyFill="1" applyBorder="1" applyAlignment="1">
      <alignment horizontal="center" vertical="center"/>
    </xf>
    <xf numFmtId="0" fontId="7" fillId="0" borderId="0" xfId="0" applyFont="1" applyAlignment="1">
      <alignment horizontal="left" vertical="center"/>
    </xf>
    <xf numFmtId="4" fontId="34" fillId="0" borderId="0" xfId="0" applyNumberFormat="1" applyFont="1" applyAlignment="1">
      <alignment horizontal="center" vertical="center"/>
    </xf>
    <xf numFmtId="0" fontId="0" fillId="0" borderId="0" xfId="0" applyAlignment="1">
      <alignment horizontal="center"/>
    </xf>
    <xf numFmtId="0" fontId="26" fillId="0" borderId="0" xfId="0" applyFont="1" applyAlignment="1">
      <alignment horizontal="center" vertical="center"/>
    </xf>
    <xf numFmtId="4" fontId="26" fillId="0" borderId="0" xfId="0" applyNumberFormat="1" applyFont="1" applyAlignment="1">
      <alignment horizontal="center" vertical="center"/>
    </xf>
    <xf numFmtId="4" fontId="39" fillId="0" borderId="0" xfId="0" applyNumberFormat="1" applyFont="1" applyAlignment="1">
      <alignment horizontal="center" vertical="center"/>
    </xf>
    <xf numFmtId="0" fontId="24" fillId="3" borderId="0" xfId="0" applyFont="1" applyFill="1" applyAlignment="1">
      <alignment horizontal="center" vertical="center" shrinkToFit="1"/>
    </xf>
    <xf numFmtId="4" fontId="43" fillId="3" borderId="0" xfId="0" applyNumberFormat="1" applyFont="1" applyFill="1" applyBorder="1" applyAlignment="1">
      <alignment horizontal="center" vertical="center" shrinkToFit="1"/>
    </xf>
    <xf numFmtId="0" fontId="43" fillId="0" borderId="0" xfId="0" applyFont="1" applyFill="1" applyBorder="1" applyAlignment="1">
      <alignment horizontal="left" vertical="center" shrinkToFit="1"/>
    </xf>
    <xf numFmtId="0" fontId="43" fillId="0" borderId="0" xfId="0" applyFont="1" applyFill="1" applyAlignment="1">
      <alignment horizontal="center" vertical="center"/>
    </xf>
    <xf numFmtId="4" fontId="59" fillId="0" borderId="0" xfId="0" applyNumberFormat="1" applyFont="1" applyFill="1" applyAlignment="1">
      <alignment vertical="center"/>
    </xf>
    <xf numFmtId="4" fontId="59" fillId="0" borderId="0" xfId="0" applyNumberFormat="1" applyFont="1" applyAlignment="1">
      <alignment vertical="center"/>
    </xf>
    <xf numFmtId="4" fontId="17" fillId="0" borderId="0" xfId="0" applyNumberFormat="1" applyFont="1" applyAlignment="1">
      <alignment vertical="center"/>
    </xf>
    <xf numFmtId="0" fontId="17" fillId="0" borderId="0" xfId="0" applyFont="1" applyAlignment="1">
      <alignment vertical="center"/>
    </xf>
    <xf numFmtId="0" fontId="43" fillId="0" borderId="0" xfId="0" applyFont="1" applyFill="1" applyBorder="1" applyAlignment="1">
      <alignment horizontal="left" vertical="center" shrinkToFit="1"/>
    </xf>
    <xf numFmtId="0" fontId="50" fillId="0" borderId="0" xfId="0" applyFont="1" applyAlignment="1">
      <alignment horizontal="center" vertical="center"/>
    </xf>
    <xf numFmtId="0" fontId="18" fillId="0" borderId="0" xfId="0" applyFont="1" applyAlignment="1">
      <alignment horizontal="center" vertical="center" wrapText="1"/>
    </xf>
    <xf numFmtId="14" fontId="11" fillId="0" borderId="0" xfId="0" applyNumberFormat="1" applyFont="1" applyAlignment="1">
      <alignment horizontal="center" vertical="center"/>
    </xf>
    <xf numFmtId="4" fontId="4" fillId="0" borderId="64" xfId="2" applyNumberFormat="1" applyFont="1" applyBorder="1" applyAlignment="1">
      <alignment vertical="center"/>
    </xf>
    <xf numFmtId="4" fontId="4" fillId="0" borderId="64" xfId="2" applyNumberFormat="1" applyFont="1" applyFill="1" applyBorder="1" applyAlignment="1">
      <alignment vertical="center" shrinkToFit="1"/>
    </xf>
    <xf numFmtId="0" fontId="3" fillId="0" borderId="1" xfId="1" applyFont="1" applyFill="1" applyBorder="1" applyAlignment="1">
      <alignment horizontal="center" vertical="center" shrinkToFit="1"/>
    </xf>
    <xf numFmtId="4" fontId="61" fillId="0" borderId="0" xfId="0" applyNumberFormat="1" applyFont="1" applyFill="1" applyAlignment="1">
      <alignment vertical="center" shrinkToFit="1"/>
    </xf>
    <xf numFmtId="0" fontId="19" fillId="0" borderId="12" xfId="0" applyFont="1" applyBorder="1" applyAlignment="1">
      <alignment vertical="center"/>
    </xf>
    <xf numFmtId="4" fontId="38" fillId="0" borderId="38" xfId="0" applyNumberFormat="1" applyFont="1" applyFill="1" applyBorder="1" applyAlignment="1">
      <alignment vertical="center" shrinkToFit="1"/>
    </xf>
    <xf numFmtId="0" fontId="3" fillId="3" borderId="1" xfId="1" applyFont="1" applyFill="1" applyBorder="1" applyAlignment="1">
      <alignment horizontal="center" vertical="center" shrinkToFit="1"/>
    </xf>
    <xf numFmtId="0" fontId="44" fillId="0" borderId="0" xfId="0" applyFont="1" applyFill="1" applyBorder="1" applyAlignment="1">
      <alignment horizontal="center" vertical="center"/>
    </xf>
    <xf numFmtId="4" fontId="12" fillId="8" borderId="11" xfId="1" applyNumberFormat="1" applyFont="1" applyFill="1" applyBorder="1" applyAlignment="1">
      <alignment horizontal="center" vertical="center" shrinkToFit="1"/>
    </xf>
    <xf numFmtId="0" fontId="12" fillId="8" borderId="3" xfId="1" applyFont="1" applyFill="1" applyBorder="1" applyAlignment="1">
      <alignment horizontal="center" vertical="center" shrinkToFit="1"/>
    </xf>
    <xf numFmtId="0" fontId="12" fillId="8" borderId="13" xfId="1" applyFont="1" applyFill="1" applyBorder="1" applyAlignment="1">
      <alignment horizontal="center" vertical="center" shrinkToFit="1"/>
    </xf>
    <xf numFmtId="49" fontId="12" fillId="8" borderId="3" xfId="1" applyNumberFormat="1" applyFont="1" applyFill="1" applyBorder="1" applyAlignment="1">
      <alignment horizontal="center" vertical="center" shrinkToFit="1"/>
    </xf>
    <xf numFmtId="14" fontId="12" fillId="8" borderId="13" xfId="1" applyNumberFormat="1" applyFont="1" applyFill="1" applyBorder="1" applyAlignment="1">
      <alignment horizontal="center" vertical="center" shrinkToFit="1"/>
    </xf>
    <xf numFmtId="164" fontId="12" fillId="8" borderId="11" xfId="1" applyNumberFormat="1" applyFont="1" applyFill="1" applyBorder="1" applyAlignment="1">
      <alignment horizontal="center" vertical="center" shrinkToFit="1"/>
    </xf>
    <xf numFmtId="0" fontId="21" fillId="0" borderId="1" xfId="0" applyFont="1" applyFill="1" applyBorder="1" applyAlignment="1">
      <alignment vertical="center"/>
    </xf>
    <xf numFmtId="4" fontId="4" fillId="0" borderId="1" xfId="1" applyNumberFormat="1" applyFont="1" applyFill="1" applyBorder="1" applyAlignment="1">
      <alignment vertical="center" shrinkToFit="1"/>
    </xf>
    <xf numFmtId="4" fontId="5" fillId="0" borderId="1" xfId="1" applyNumberFormat="1" applyFont="1" applyFill="1" applyBorder="1" applyAlignment="1">
      <alignment vertical="center" shrinkToFit="1"/>
    </xf>
    <xf numFmtId="4" fontId="5" fillId="0" borderId="21" xfId="1" applyNumberFormat="1" applyFont="1" applyFill="1" applyBorder="1" applyAlignment="1">
      <alignment vertical="center" shrinkToFit="1"/>
    </xf>
    <xf numFmtId="0" fontId="5" fillId="0" borderId="1" xfId="1" applyFont="1" applyFill="1" applyBorder="1" applyAlignment="1">
      <alignment horizontal="center" vertical="center" shrinkToFit="1"/>
    </xf>
    <xf numFmtId="4" fontId="44" fillId="0" borderId="0" xfId="0" applyNumberFormat="1" applyFont="1" applyFill="1" applyBorder="1" applyAlignment="1">
      <alignment vertical="center" shrinkToFit="1"/>
    </xf>
    <xf numFmtId="164" fontId="34" fillId="0" borderId="20" xfId="1" applyNumberFormat="1" applyFont="1" applyFill="1" applyBorder="1" applyAlignment="1">
      <alignment horizontal="center" vertical="center" shrinkToFit="1"/>
    </xf>
    <xf numFmtId="4" fontId="34" fillId="0" borderId="1" xfId="1" applyNumberFormat="1" applyFont="1" applyFill="1" applyBorder="1" applyAlignment="1">
      <alignment vertical="center" shrinkToFit="1"/>
    </xf>
    <xf numFmtId="0" fontId="20" fillId="0" borderId="1" xfId="0" applyFont="1" applyFill="1" applyBorder="1" applyAlignment="1">
      <alignment vertical="center"/>
    </xf>
    <xf numFmtId="0" fontId="11" fillId="0" borderId="1" xfId="1" applyFont="1" applyFill="1" applyBorder="1" applyAlignment="1">
      <alignment horizontal="center" vertical="center" shrinkToFit="1"/>
    </xf>
    <xf numFmtId="0" fontId="12" fillId="0" borderId="1" xfId="1" applyFont="1" applyFill="1" applyBorder="1" applyAlignment="1">
      <alignment horizontal="center" vertical="center" shrinkToFit="1"/>
    </xf>
    <xf numFmtId="4" fontId="5" fillId="3" borderId="1" xfId="1" applyNumberFormat="1" applyFont="1" applyFill="1" applyBorder="1" applyAlignment="1">
      <alignment vertical="center" shrinkToFit="1"/>
    </xf>
    <xf numFmtId="164" fontId="11" fillId="0" borderId="20" xfId="1" applyNumberFormat="1" applyFont="1" applyFill="1" applyBorder="1" applyAlignment="1">
      <alignment horizontal="center" vertical="center" shrinkToFit="1"/>
    </xf>
    <xf numFmtId="4" fontId="34" fillId="0" borderId="1" xfId="1" applyNumberFormat="1" applyFont="1" applyFill="1" applyBorder="1" applyAlignment="1">
      <alignment horizontal="right" vertical="center" shrinkToFit="1"/>
    </xf>
    <xf numFmtId="4" fontId="34" fillId="0" borderId="21" xfId="1" applyNumberFormat="1" applyFont="1" applyFill="1" applyBorder="1" applyAlignment="1">
      <alignment horizontal="right" vertical="center" shrinkToFit="1"/>
    </xf>
    <xf numFmtId="0" fontId="34" fillId="3" borderId="1" xfId="1" applyFont="1" applyFill="1" applyBorder="1" applyAlignment="1">
      <alignment horizontal="center" vertical="center" shrinkToFit="1"/>
    </xf>
    <xf numFmtId="4" fontId="34" fillId="3" borderId="1" xfId="1" applyNumberFormat="1" applyFont="1" applyFill="1" applyBorder="1" applyAlignment="1">
      <alignment vertical="center" shrinkToFit="1"/>
    </xf>
    <xf numFmtId="4" fontId="11" fillId="3" borderId="1" xfId="1" applyNumberFormat="1" applyFont="1" applyFill="1" applyBorder="1" applyAlignment="1">
      <alignment vertical="center" shrinkToFit="1"/>
    </xf>
    <xf numFmtId="4" fontId="11" fillId="3" borderId="21" xfId="1" applyNumberFormat="1" applyFont="1" applyFill="1" applyBorder="1" applyAlignment="1">
      <alignment vertical="center" shrinkToFit="1"/>
    </xf>
    <xf numFmtId="0" fontId="36" fillId="3" borderId="1" xfId="1" applyFont="1" applyFill="1" applyBorder="1" applyAlignment="1">
      <alignment vertical="center" shrinkToFit="1"/>
    </xf>
    <xf numFmtId="0" fontId="4" fillId="3" borderId="1" xfId="1" applyFont="1" applyFill="1" applyBorder="1" applyAlignment="1">
      <alignment horizontal="center" vertical="center" shrinkToFit="1"/>
    </xf>
    <xf numFmtId="4" fontId="4" fillId="3" borderId="1" xfId="1" applyNumberFormat="1" applyFont="1" applyFill="1" applyBorder="1" applyAlignment="1">
      <alignment vertical="center" shrinkToFit="1"/>
    </xf>
    <xf numFmtId="4" fontId="20" fillId="0" borderId="1" xfId="0" applyNumberFormat="1" applyFont="1" applyBorder="1" applyAlignment="1">
      <alignment horizontal="center" vertical="center"/>
    </xf>
    <xf numFmtId="4" fontId="20" fillId="0" borderId="18" xfId="0" applyNumberFormat="1" applyFont="1" applyBorder="1" applyAlignment="1">
      <alignment horizontal="center" vertical="center"/>
    </xf>
    <xf numFmtId="4" fontId="20" fillId="0" borderId="1" xfId="0" applyNumberFormat="1" applyFont="1" applyFill="1" applyBorder="1" applyAlignment="1">
      <alignment horizontal="center" vertical="center"/>
    </xf>
    <xf numFmtId="4" fontId="20" fillId="0" borderId="2" xfId="0" applyNumberFormat="1" applyFont="1" applyBorder="1" applyAlignment="1">
      <alignment horizontal="center" vertical="center"/>
    </xf>
    <xf numFmtId="0" fontId="55" fillId="10" borderId="39" xfId="0" applyFont="1" applyFill="1" applyBorder="1" applyAlignment="1">
      <alignment horizontal="center" vertical="center"/>
    </xf>
    <xf numFmtId="0" fontId="54" fillId="0" borderId="0" xfId="0" applyFont="1" applyAlignment="1">
      <alignment vertical="center"/>
    </xf>
    <xf numFmtId="4" fontId="51" fillId="0" borderId="0" xfId="0" applyNumberFormat="1" applyFont="1" applyAlignment="1">
      <alignment vertical="center"/>
    </xf>
    <xf numFmtId="4" fontId="66" fillId="0" borderId="0" xfId="0" applyNumberFormat="1" applyFont="1" applyBorder="1" applyAlignment="1">
      <alignment vertical="center"/>
    </xf>
    <xf numFmtId="0" fontId="66" fillId="0" borderId="0" xfId="0" applyFont="1" applyBorder="1" applyAlignment="1">
      <alignment vertical="center"/>
    </xf>
    <xf numFmtId="4" fontId="47" fillId="0" borderId="0" xfId="0" applyNumberFormat="1" applyFont="1" applyFill="1" applyBorder="1" applyAlignment="1">
      <alignment vertical="center"/>
    </xf>
    <xf numFmtId="4" fontId="46" fillId="0" borderId="0" xfId="0" applyNumberFormat="1" applyFont="1" applyFill="1" applyBorder="1" applyAlignment="1">
      <alignment horizontal="right" vertical="center"/>
    </xf>
    <xf numFmtId="16" fontId="24" fillId="3" borderId="1" xfId="0" applyNumberFormat="1" applyFont="1" applyFill="1" applyBorder="1" applyAlignment="1">
      <alignment horizontal="center" wrapText="1" shrinkToFit="1"/>
    </xf>
    <xf numFmtId="0" fontId="3" fillId="3" borderId="1" xfId="1" applyFont="1" applyFill="1" applyBorder="1" applyAlignment="1">
      <alignment vertical="center" shrinkToFit="1"/>
    </xf>
    <xf numFmtId="0" fontId="67" fillId="0" borderId="1" xfId="1" applyFont="1" applyFill="1" applyBorder="1" applyAlignment="1">
      <alignment vertical="center" shrinkToFit="1"/>
    </xf>
    <xf numFmtId="4" fontId="2" fillId="0" borderId="1" xfId="2" applyNumberFormat="1" applyFont="1" applyFill="1" applyBorder="1" applyAlignment="1">
      <alignment horizontal="left" vertical="center" shrinkToFit="1"/>
    </xf>
    <xf numFmtId="4" fontId="2" fillId="0" borderId="1" xfId="2" applyNumberFormat="1" applyFont="1" applyFill="1" applyBorder="1" applyAlignment="1">
      <alignment horizontal="left" vertical="center"/>
    </xf>
    <xf numFmtId="4" fontId="3" fillId="0" borderId="1" xfId="1" applyNumberFormat="1" applyFont="1" applyFill="1" applyBorder="1" applyAlignment="1">
      <alignment horizontal="right" vertical="center" shrinkToFit="1"/>
    </xf>
    <xf numFmtId="49" fontId="67" fillId="0" borderId="1" xfId="1" applyNumberFormat="1" applyFont="1" applyFill="1" applyBorder="1" applyAlignment="1">
      <alignment horizontal="left" vertical="center" shrinkToFit="1"/>
    </xf>
    <xf numFmtId="4" fontId="2" fillId="0" borderId="1" xfId="2" applyNumberFormat="1" applyFont="1" applyFill="1" applyBorder="1" applyAlignment="1">
      <alignment horizontal="right" vertical="center"/>
    </xf>
    <xf numFmtId="4" fontId="67" fillId="0" borderId="1" xfId="1" applyNumberFormat="1" applyFont="1" applyFill="1" applyBorder="1" applyAlignment="1">
      <alignment horizontal="left" vertical="center" shrinkToFit="1"/>
    </xf>
    <xf numFmtId="4" fontId="67" fillId="0" borderId="1" xfId="1" applyNumberFormat="1" applyFont="1" applyFill="1" applyBorder="1" applyAlignment="1">
      <alignment horizontal="right" vertical="center" shrinkToFit="1"/>
    </xf>
    <xf numFmtId="164" fontId="34" fillId="0" borderId="31" xfId="1" applyNumberFormat="1" applyFont="1" applyFill="1" applyBorder="1" applyAlignment="1">
      <alignment horizontal="center" vertical="center" shrinkToFit="1"/>
    </xf>
    <xf numFmtId="0" fontId="34" fillId="3" borderId="10" xfId="1" applyFont="1" applyFill="1" applyBorder="1" applyAlignment="1">
      <alignment horizontal="center" vertical="center" shrinkToFit="1"/>
    </xf>
    <xf numFmtId="0" fontId="36" fillId="3" borderId="10" xfId="1" applyFont="1" applyFill="1" applyBorder="1" applyAlignment="1">
      <alignment vertical="center" shrinkToFit="1"/>
    </xf>
    <xf numFmtId="4" fontId="34" fillId="3" borderId="10" xfId="1" applyNumberFormat="1" applyFont="1" applyFill="1" applyBorder="1" applyAlignment="1">
      <alignment vertical="center" shrinkToFit="1"/>
    </xf>
    <xf numFmtId="4" fontId="11" fillId="3" borderId="10" xfId="1" applyNumberFormat="1" applyFont="1" applyFill="1" applyBorder="1" applyAlignment="1">
      <alignment vertical="center" shrinkToFit="1"/>
    </xf>
    <xf numFmtId="4" fontId="11" fillId="3" borderId="32" xfId="1" applyNumberFormat="1" applyFont="1" applyFill="1" applyBorder="1" applyAlignment="1">
      <alignment vertical="center" shrinkToFit="1"/>
    </xf>
    <xf numFmtId="0" fontId="20" fillId="0" borderId="1" xfId="0" applyFont="1" applyFill="1" applyBorder="1" applyAlignment="1">
      <alignment horizontal="center" vertical="center"/>
    </xf>
    <xf numFmtId="49" fontId="23" fillId="9" borderId="1" xfId="5" applyNumberFormat="1" applyFont="1" applyFill="1" applyBorder="1" applyAlignment="1">
      <alignment horizontal="center" vertical="center" wrapText="1"/>
    </xf>
    <xf numFmtId="49" fontId="23" fillId="9" borderId="27" xfId="5" applyNumberFormat="1" applyFont="1" applyFill="1" applyBorder="1" applyAlignment="1">
      <alignment horizontal="center" vertical="center" wrapText="1"/>
    </xf>
    <xf numFmtId="49" fontId="23" fillId="9" borderId="18" xfId="5" applyNumberFormat="1" applyFont="1" applyFill="1" applyBorder="1" applyAlignment="1">
      <alignment horizontal="center" vertical="center" wrapText="1"/>
    </xf>
    <xf numFmtId="49" fontId="23" fillId="9" borderId="60" xfId="5" applyNumberFormat="1" applyFont="1" applyFill="1" applyBorder="1" applyAlignment="1">
      <alignment horizontal="center" vertical="center" wrapText="1"/>
    </xf>
    <xf numFmtId="170" fontId="20" fillId="0" borderId="0" xfId="0" applyNumberFormat="1" applyFont="1" applyAlignment="1">
      <alignment vertical="center"/>
    </xf>
    <xf numFmtId="171" fontId="20" fillId="0" borderId="0" xfId="0" applyNumberFormat="1" applyFont="1" applyAlignment="1">
      <alignment vertical="center"/>
    </xf>
    <xf numFmtId="171" fontId="20" fillId="0" borderId="0" xfId="0" applyNumberFormat="1" applyFont="1" applyFill="1" applyAlignment="1">
      <alignment vertical="center"/>
    </xf>
    <xf numFmtId="172" fontId="20" fillId="0" borderId="0" xfId="0" applyNumberFormat="1" applyFont="1" applyAlignment="1">
      <alignment vertical="center"/>
    </xf>
    <xf numFmtId="2" fontId="20" fillId="0" borderId="0" xfId="0" applyNumberFormat="1" applyFont="1" applyAlignment="1">
      <alignment vertical="center"/>
    </xf>
    <xf numFmtId="171" fontId="20" fillId="0" borderId="0" xfId="0" applyNumberFormat="1" applyFont="1" applyBorder="1" applyAlignment="1">
      <alignment vertical="center"/>
    </xf>
    <xf numFmtId="171" fontId="20" fillId="0" borderId="0" xfId="0" applyNumberFormat="1" applyFont="1" applyFill="1" applyBorder="1" applyAlignment="1">
      <alignment vertical="center"/>
    </xf>
    <xf numFmtId="171" fontId="40" fillId="0" borderId="0" xfId="0" applyNumberFormat="1" applyFont="1" applyBorder="1" applyAlignment="1">
      <alignment vertical="center"/>
    </xf>
    <xf numFmtId="4" fontId="60" fillId="0" borderId="0" xfId="0" applyNumberFormat="1" applyFont="1" applyFill="1" applyBorder="1" applyAlignment="1">
      <alignment vertical="center"/>
    </xf>
    <xf numFmtId="14" fontId="2" fillId="0" borderId="1" xfId="1" applyNumberFormat="1" applyFont="1" applyFill="1" applyBorder="1" applyAlignment="1">
      <alignment horizontal="center" vertical="center" shrinkToFit="1"/>
    </xf>
    <xf numFmtId="0" fontId="6" fillId="0" borderId="1" xfId="1" applyFont="1" applyFill="1" applyBorder="1" applyAlignment="1">
      <alignment horizontal="justify" vertical="center" wrapText="1" shrinkToFit="1"/>
    </xf>
    <xf numFmtId="4" fontId="5" fillId="0" borderId="0" xfId="0" applyNumberFormat="1" applyFont="1" applyFill="1" applyBorder="1" applyAlignment="1">
      <alignment horizontal="center" vertical="center" shrinkToFit="1"/>
    </xf>
    <xf numFmtId="4" fontId="5" fillId="0" borderId="0" xfId="0" applyNumberFormat="1" applyFont="1" applyFill="1" applyBorder="1" applyAlignment="1">
      <alignment horizontal="right" vertical="center" shrinkToFit="1"/>
    </xf>
    <xf numFmtId="0" fontId="40" fillId="0" borderId="0" xfId="0" applyFont="1" applyFill="1" applyAlignment="1">
      <alignment vertical="center"/>
    </xf>
    <xf numFmtId="164" fontId="2" fillId="3" borderId="20" xfId="1" applyNumberFormat="1" applyFont="1" applyFill="1" applyBorder="1" applyAlignment="1">
      <alignment horizontal="center" vertical="center" shrinkToFit="1"/>
    </xf>
    <xf numFmtId="14" fontId="40" fillId="3" borderId="20" xfId="0" applyNumberFormat="1" applyFont="1" applyFill="1" applyBorder="1" applyAlignment="1">
      <alignment vertical="center"/>
    </xf>
    <xf numFmtId="14" fontId="40" fillId="0" borderId="20" xfId="0" applyNumberFormat="1" applyFont="1" applyFill="1" applyBorder="1" applyAlignment="1">
      <alignment vertical="center"/>
    </xf>
    <xf numFmtId="0" fontId="44" fillId="0" borderId="0" xfId="0" applyFont="1" applyFill="1" applyBorder="1" applyAlignment="1">
      <alignment horizontal="center" vertical="center"/>
    </xf>
    <xf numFmtId="0" fontId="69" fillId="0" borderId="0" xfId="0" applyFont="1" applyAlignment="1">
      <alignment vertical="center"/>
    </xf>
    <xf numFmtId="3" fontId="26" fillId="0" borderId="0" xfId="0" applyNumberFormat="1" applyFont="1" applyFill="1" applyAlignment="1">
      <alignment vertical="center"/>
    </xf>
    <xf numFmtId="4" fontId="5" fillId="0" borderId="40" xfId="2" applyNumberFormat="1" applyFont="1" applyBorder="1" applyAlignment="1">
      <alignment vertical="center"/>
    </xf>
    <xf numFmtId="171" fontId="4" fillId="0" borderId="1" xfId="0" applyNumberFormat="1" applyFont="1" applyFill="1" applyBorder="1" applyAlignment="1">
      <alignment vertical="center"/>
    </xf>
    <xf numFmtId="171" fontId="20" fillId="0" borderId="1" xfId="0" applyNumberFormat="1" applyFont="1" applyBorder="1" applyAlignment="1">
      <alignment vertical="center"/>
    </xf>
    <xf numFmtId="171" fontId="68" fillId="13" borderId="0" xfId="0" applyNumberFormat="1" applyFont="1" applyFill="1" applyAlignment="1">
      <alignment vertical="center"/>
    </xf>
    <xf numFmtId="0" fontId="44" fillId="0" borderId="60" xfId="0" applyFont="1" applyFill="1" applyBorder="1" applyAlignment="1">
      <alignment horizontal="center" vertical="center"/>
    </xf>
    <xf numFmtId="4" fontId="44" fillId="0" borderId="38" xfId="0" applyNumberFormat="1" applyFont="1" applyFill="1" applyBorder="1" applyAlignment="1">
      <alignment vertical="center" shrinkToFit="1"/>
    </xf>
    <xf numFmtId="14" fontId="3" fillId="8" borderId="11" xfId="1" applyNumberFormat="1" applyFont="1" applyFill="1" applyBorder="1" applyAlignment="1">
      <alignment horizontal="center" vertical="center" shrinkToFit="1"/>
    </xf>
    <xf numFmtId="4" fontId="4" fillId="0" borderId="40" xfId="2" applyNumberFormat="1" applyFont="1" applyFill="1" applyBorder="1" applyAlignment="1">
      <alignment vertical="center"/>
    </xf>
    <xf numFmtId="4" fontId="5" fillId="0" borderId="40" xfId="2" applyNumberFormat="1" applyFont="1" applyFill="1" applyBorder="1" applyAlignment="1">
      <alignment vertical="center"/>
    </xf>
    <xf numFmtId="4" fontId="5" fillId="12" borderId="34" xfId="2" applyNumberFormat="1" applyFont="1" applyFill="1" applyBorder="1" applyAlignment="1">
      <alignment vertical="center"/>
    </xf>
    <xf numFmtId="4" fontId="20" fillId="0" borderId="2" xfId="0" applyNumberFormat="1" applyFont="1" applyBorder="1" applyAlignment="1">
      <alignment vertical="center"/>
    </xf>
    <xf numFmtId="0" fontId="20" fillId="0" borderId="1" xfId="0" applyFont="1" applyBorder="1" applyAlignment="1">
      <alignment horizontal="center" vertical="center"/>
    </xf>
    <xf numFmtId="0" fontId="36" fillId="0" borderId="0" xfId="5" applyFont="1" applyFill="1" applyAlignment="1">
      <alignment horizontal="center" vertical="center" wrapText="1"/>
    </xf>
    <xf numFmtId="164" fontId="2" fillId="0" borderId="20" xfId="1" applyNumberFormat="1" applyFont="1" applyFill="1" applyBorder="1" applyAlignment="1">
      <alignment vertical="distributed" shrinkToFit="1"/>
    </xf>
    <xf numFmtId="0" fontId="2" fillId="0" borderId="1" xfId="1" applyFont="1" applyFill="1" applyBorder="1" applyAlignment="1">
      <alignment vertical="distributed" shrinkToFit="1"/>
    </xf>
    <xf numFmtId="0" fontId="3" fillId="0" borderId="1" xfId="1" applyFont="1" applyFill="1" applyBorder="1" applyAlignment="1">
      <alignment horizontal="center" vertical="distributed" shrinkToFit="1"/>
    </xf>
    <xf numFmtId="171" fontId="42" fillId="0" borderId="0" xfId="0" applyNumberFormat="1" applyFont="1" applyAlignment="1">
      <alignment vertical="center"/>
    </xf>
    <xf numFmtId="4" fontId="20" fillId="0" borderId="0" xfId="0" applyNumberFormat="1" applyFont="1" applyBorder="1" applyAlignment="1">
      <alignment horizontal="center" vertical="center"/>
    </xf>
    <xf numFmtId="4" fontId="54" fillId="0" borderId="0" xfId="0" applyNumberFormat="1" applyFont="1" applyBorder="1" applyAlignment="1">
      <alignment vertical="center"/>
    </xf>
    <xf numFmtId="171" fontId="42" fillId="0" borderId="0" xfId="0" applyNumberFormat="1" applyFont="1" applyBorder="1" applyAlignment="1">
      <alignment vertical="center"/>
    </xf>
    <xf numFmtId="169" fontId="24" fillId="0" borderId="0" xfId="0" applyNumberFormat="1" applyFont="1" applyFill="1" applyBorder="1" applyAlignment="1">
      <alignment vertical="center" shrinkToFit="1"/>
    </xf>
    <xf numFmtId="170" fontId="24" fillId="0" borderId="0" xfId="0" applyNumberFormat="1" applyFont="1" applyFill="1" applyBorder="1" applyAlignment="1">
      <alignment vertical="center" shrinkToFit="1"/>
    </xf>
    <xf numFmtId="173" fontId="20" fillId="0" borderId="0" xfId="0" applyNumberFormat="1" applyFont="1" applyBorder="1" applyAlignment="1">
      <alignment vertical="center"/>
    </xf>
    <xf numFmtId="174" fontId="20" fillId="0" borderId="0" xfId="0" applyNumberFormat="1" applyFont="1" applyFill="1" applyBorder="1" applyAlignment="1">
      <alignment vertical="center"/>
    </xf>
    <xf numFmtId="175" fontId="24" fillId="3" borderId="0" xfId="0" applyNumberFormat="1" applyFont="1" applyFill="1" applyBorder="1" applyAlignment="1">
      <alignment vertical="center" shrinkToFit="1"/>
    </xf>
    <xf numFmtId="0" fontId="54" fillId="0" borderId="1" xfId="1" applyNumberFormat="1" applyFont="1" applyFill="1" applyBorder="1" applyAlignment="1">
      <alignment horizontal="justify" vertical="center" wrapText="1"/>
    </xf>
    <xf numFmtId="4" fontId="26" fillId="16" borderId="1" xfId="0" applyNumberFormat="1" applyFont="1" applyFill="1" applyBorder="1" applyAlignment="1">
      <alignment vertical="center"/>
    </xf>
    <xf numFmtId="0" fontId="26" fillId="16" borderId="1" xfId="0" applyFont="1" applyFill="1" applyBorder="1" applyAlignment="1">
      <alignment vertical="center"/>
    </xf>
    <xf numFmtId="0" fontId="15" fillId="8" borderId="12" xfId="2" applyFont="1" applyFill="1" applyBorder="1" applyAlignment="1">
      <alignment horizontal="center" vertical="center"/>
    </xf>
    <xf numFmtId="164" fontId="12" fillId="0" borderId="69" xfId="1" applyNumberFormat="1" applyFont="1" applyFill="1" applyBorder="1" applyAlignment="1">
      <alignment horizontal="center" vertical="center" shrinkToFit="1"/>
    </xf>
    <xf numFmtId="0" fontId="12" fillId="0" borderId="10" xfId="1" applyFont="1" applyFill="1" applyBorder="1" applyAlignment="1">
      <alignment horizontal="center" vertical="center" shrinkToFit="1"/>
    </xf>
    <xf numFmtId="4" fontId="12" fillId="0" borderId="10" xfId="1" applyNumberFormat="1" applyFont="1" applyFill="1" applyBorder="1" applyAlignment="1">
      <alignment horizontal="center" vertical="center" shrinkToFit="1"/>
    </xf>
    <xf numFmtId="0" fontId="12" fillId="0" borderId="70" xfId="1" applyFont="1" applyFill="1" applyBorder="1" applyAlignment="1">
      <alignment horizontal="center" vertical="center" shrinkToFit="1"/>
    </xf>
    <xf numFmtId="164" fontId="3" fillId="8" borderId="41" xfId="1" applyNumberFormat="1" applyFont="1" applyFill="1" applyBorder="1" applyAlignment="1">
      <alignment horizontal="center" vertical="center" shrinkToFit="1"/>
    </xf>
    <xf numFmtId="0" fontId="6" fillId="3" borderId="1" xfId="1" applyFont="1" applyFill="1" applyBorder="1" applyAlignment="1">
      <alignment vertical="center" shrinkToFit="1"/>
    </xf>
    <xf numFmtId="0" fontId="6" fillId="3" borderId="1" xfId="1" applyFont="1" applyFill="1" applyBorder="1" applyAlignment="1">
      <alignment horizontal="justify" vertical="center" wrapText="1" shrinkToFit="1"/>
    </xf>
    <xf numFmtId="4" fontId="35" fillId="11" borderId="52" xfId="0" applyNumberFormat="1" applyFont="1" applyFill="1" applyBorder="1" applyAlignment="1">
      <alignment vertical="center" shrinkToFit="1"/>
    </xf>
    <xf numFmtId="4" fontId="72" fillId="0" borderId="1" xfId="0" applyNumberFormat="1" applyFont="1" applyFill="1" applyBorder="1" applyAlignment="1">
      <alignment vertical="center"/>
    </xf>
    <xf numFmtId="4" fontId="4" fillId="0" borderId="1" xfId="1" applyNumberFormat="1" applyFont="1" applyFill="1" applyBorder="1" applyAlignment="1">
      <alignment vertical="distributed" shrinkToFit="1"/>
    </xf>
    <xf numFmtId="4" fontId="5" fillId="0" borderId="1" xfId="1" applyNumberFormat="1" applyFont="1" applyFill="1" applyBorder="1" applyAlignment="1">
      <alignment vertical="distributed" shrinkToFit="1"/>
    </xf>
    <xf numFmtId="4" fontId="5" fillId="0" borderId="21" xfId="1" applyNumberFormat="1" applyFont="1" applyFill="1" applyBorder="1" applyAlignment="1">
      <alignment vertical="distributed" shrinkToFit="1"/>
    </xf>
    <xf numFmtId="4" fontId="5" fillId="0" borderId="1" xfId="1" applyNumberFormat="1" applyFont="1" applyFill="1" applyBorder="1" applyAlignment="1">
      <alignment horizontal="center" vertical="center" shrinkToFit="1"/>
    </xf>
    <xf numFmtId="4" fontId="5" fillId="0" borderId="10" xfId="1" applyNumberFormat="1" applyFont="1" applyFill="1" applyBorder="1" applyAlignment="1">
      <alignment horizontal="center" vertical="center" shrinkToFit="1"/>
    </xf>
    <xf numFmtId="0" fontId="5" fillId="0" borderId="10" xfId="1" applyFont="1" applyFill="1" applyBorder="1" applyAlignment="1">
      <alignment horizontal="center" vertical="center" shrinkToFit="1"/>
    </xf>
    <xf numFmtId="4" fontId="73" fillId="0" borderId="1" xfId="0" applyNumberFormat="1" applyFont="1" applyFill="1" applyBorder="1" applyAlignment="1">
      <alignment vertical="center"/>
    </xf>
    <xf numFmtId="0" fontId="73" fillId="0" borderId="1" xfId="0" applyFont="1" applyFill="1" applyBorder="1" applyAlignment="1">
      <alignment vertical="center"/>
    </xf>
    <xf numFmtId="0" fontId="72" fillId="0" borderId="1" xfId="0" applyFont="1" applyFill="1" applyBorder="1" applyAlignment="1">
      <alignment vertical="center"/>
    </xf>
    <xf numFmtId="4" fontId="74" fillId="0" borderId="1" xfId="0" applyNumberFormat="1" applyFont="1" applyFill="1" applyBorder="1" applyAlignment="1">
      <alignment vertical="center"/>
    </xf>
    <xf numFmtId="0" fontId="75" fillId="0" borderId="1" xfId="0" applyFont="1" applyFill="1" applyBorder="1" applyAlignment="1">
      <alignment horizontal="center" vertical="center"/>
    </xf>
    <xf numFmtId="4" fontId="25" fillId="0" borderId="1" xfId="0" applyNumberFormat="1" applyFont="1" applyFill="1" applyBorder="1" applyAlignment="1">
      <alignment vertical="center"/>
    </xf>
    <xf numFmtId="4" fontId="21" fillId="0" borderId="0" xfId="0" applyNumberFormat="1" applyFont="1" applyAlignment="1">
      <alignment vertical="center"/>
    </xf>
    <xf numFmtId="14" fontId="40" fillId="0" borderId="1" xfId="0" applyNumberFormat="1" applyFont="1" applyFill="1" applyBorder="1" applyAlignment="1">
      <alignment horizontal="center" vertical="center"/>
    </xf>
    <xf numFmtId="164" fontId="2" fillId="0" borderId="1" xfId="1" applyNumberFormat="1" applyFont="1" applyFill="1" applyBorder="1" applyAlignment="1">
      <alignment vertical="distributed" shrinkToFit="1"/>
    </xf>
    <xf numFmtId="0" fontId="5" fillId="0" borderId="1" xfId="1" applyFont="1" applyFill="1" applyBorder="1" applyAlignment="1">
      <alignment horizontal="center" vertical="distributed" shrinkToFit="1"/>
    </xf>
    <xf numFmtId="14" fontId="19" fillId="0" borderId="1" xfId="0" applyNumberFormat="1" applyFont="1" applyFill="1" applyBorder="1" applyAlignment="1">
      <alignment vertical="center"/>
    </xf>
    <xf numFmtId="14" fontId="2" fillId="0" borderId="1" xfId="1" applyNumberFormat="1" applyFont="1" applyFill="1" applyBorder="1" applyAlignment="1">
      <alignment vertical="center" shrinkToFit="1"/>
    </xf>
    <xf numFmtId="14" fontId="63" fillId="0" borderId="1" xfId="0" applyNumberFormat="1" applyFont="1" applyFill="1" applyBorder="1" applyAlignment="1">
      <alignment vertical="center"/>
    </xf>
    <xf numFmtId="166" fontId="34" fillId="0" borderId="1" xfId="1" applyNumberFormat="1" applyFont="1" applyFill="1" applyBorder="1" applyAlignment="1">
      <alignment horizontal="center" vertical="center" shrinkToFit="1"/>
    </xf>
    <xf numFmtId="14" fontId="34" fillId="0" borderId="1" xfId="1" applyNumberFormat="1" applyFont="1" applyFill="1" applyBorder="1" applyAlignment="1">
      <alignment horizontal="center" vertical="center" shrinkToFit="1"/>
    </xf>
    <xf numFmtId="164" fontId="34" fillId="0" borderId="1" xfId="1" applyNumberFormat="1" applyFont="1" applyFill="1" applyBorder="1" applyAlignment="1">
      <alignment horizontal="center" vertical="center" shrinkToFit="1"/>
    </xf>
    <xf numFmtId="164" fontId="4" fillId="0" borderId="1" xfId="1" applyNumberFormat="1" applyFont="1" applyFill="1" applyBorder="1" applyAlignment="1">
      <alignment horizontal="center" vertical="center" shrinkToFit="1"/>
    </xf>
    <xf numFmtId="166" fontId="4" fillId="0" borderId="1" xfId="1" applyNumberFormat="1" applyFont="1" applyFill="1" applyBorder="1" applyAlignment="1">
      <alignment horizontal="center" vertical="center" shrinkToFit="1"/>
    </xf>
    <xf numFmtId="164" fontId="20" fillId="0" borderId="1" xfId="0" applyNumberFormat="1" applyFont="1" applyFill="1" applyBorder="1" applyAlignment="1">
      <alignment horizontal="center" vertical="center"/>
    </xf>
    <xf numFmtId="0" fontId="3" fillId="0" borderId="40" xfId="1" applyFont="1" applyFill="1" applyBorder="1" applyAlignment="1">
      <alignment horizontal="center" vertical="center" shrinkToFit="1"/>
    </xf>
    <xf numFmtId="0" fontId="2" fillId="0" borderId="1" xfId="6" applyFont="1" applyFill="1" applyBorder="1" applyAlignment="1">
      <alignment horizontal="justify" vertical="center" wrapText="1" shrinkToFit="1"/>
    </xf>
    <xf numFmtId="0" fontId="15" fillId="8" borderId="37" xfId="2" applyFont="1" applyFill="1" applyBorder="1" applyAlignment="1">
      <alignment horizontal="center" vertical="center"/>
    </xf>
    <xf numFmtId="0" fontId="15" fillId="8" borderId="35" xfId="2" applyFont="1" applyFill="1" applyBorder="1" applyAlignment="1">
      <alignment horizontal="center" vertical="center"/>
    </xf>
    <xf numFmtId="0" fontId="5" fillId="0" borderId="0" xfId="0" applyFont="1" applyFill="1" applyBorder="1" applyAlignment="1">
      <alignment horizontal="left" vertical="center"/>
    </xf>
    <xf numFmtId="171" fontId="5" fillId="0" borderId="0" xfId="0" applyNumberFormat="1" applyFont="1" applyFill="1" applyBorder="1" applyAlignment="1">
      <alignment vertical="center"/>
    </xf>
    <xf numFmtId="0" fontId="5" fillId="0" borderId="60" xfId="0" applyFont="1" applyFill="1" applyBorder="1" applyAlignment="1">
      <alignment horizontal="left" vertical="center"/>
    </xf>
    <xf numFmtId="0" fontId="12" fillId="0" borderId="0" xfId="0" applyFont="1" applyFill="1" applyBorder="1" applyAlignment="1">
      <alignment horizontal="justify" vertical="center" wrapText="1"/>
    </xf>
    <xf numFmtId="171" fontId="21" fillId="0" borderId="0" xfId="0" applyNumberFormat="1" applyFont="1" applyFill="1" applyBorder="1" applyAlignment="1">
      <alignment vertical="center"/>
    </xf>
    <xf numFmtId="4" fontId="21" fillId="0" borderId="0" xfId="0" applyNumberFormat="1" applyFont="1" applyFill="1" applyBorder="1" applyAlignment="1">
      <alignment vertical="center"/>
    </xf>
    <xf numFmtId="0" fontId="81" fillId="0" borderId="0" xfId="2" applyFont="1" applyFill="1" applyBorder="1" applyAlignment="1">
      <alignment vertical="center"/>
    </xf>
    <xf numFmtId="49" fontId="15" fillId="0" borderId="0" xfId="2" applyNumberFormat="1" applyFont="1" applyFill="1" applyBorder="1" applyAlignment="1">
      <alignment vertical="center"/>
    </xf>
    <xf numFmtId="0" fontId="15" fillId="0" borderId="0" xfId="2" applyFont="1" applyFill="1" applyBorder="1" applyAlignment="1">
      <alignment vertical="center"/>
    </xf>
    <xf numFmtId="0" fontId="82" fillId="0" borderId="0" xfId="2" applyFont="1" applyFill="1" applyBorder="1" applyAlignment="1">
      <alignment vertical="center"/>
    </xf>
    <xf numFmtId="49" fontId="82" fillId="0" borderId="0" xfId="2" applyNumberFormat="1" applyFont="1" applyFill="1" applyBorder="1" applyAlignment="1">
      <alignment vertical="center"/>
    </xf>
    <xf numFmtId="0" fontId="11" fillId="0" borderId="0" xfId="0" applyFont="1" applyAlignment="1">
      <alignment vertical="center"/>
    </xf>
    <xf numFmtId="14" fontId="43" fillId="0" borderId="0" xfId="0" applyNumberFormat="1" applyFont="1" applyAlignment="1">
      <alignment vertical="center"/>
    </xf>
    <xf numFmtId="0" fontId="5" fillId="0" borderId="0" xfId="0" applyFont="1" applyFill="1" applyBorder="1" applyAlignment="1">
      <alignment horizontal="right" vertical="center"/>
    </xf>
    <xf numFmtId="4" fontId="35" fillId="0" borderId="0" xfId="0" applyNumberFormat="1" applyFont="1" applyFill="1" applyBorder="1" applyAlignment="1">
      <alignment vertical="center"/>
    </xf>
    <xf numFmtId="14" fontId="2" fillId="3" borderId="1" xfId="1" applyNumberFormat="1" applyFont="1" applyFill="1" applyBorder="1" applyAlignment="1">
      <alignment horizontal="center" vertical="center" shrinkToFit="1"/>
    </xf>
    <xf numFmtId="4" fontId="85" fillId="0" borderId="1" xfId="0" applyNumberFormat="1" applyFont="1" applyFill="1" applyBorder="1" applyAlignment="1">
      <alignment vertical="center"/>
    </xf>
    <xf numFmtId="0" fontId="7" fillId="0" borderId="0" xfId="0" applyFont="1" applyAlignment="1">
      <alignment horizontal="center" vertical="center"/>
    </xf>
    <xf numFmtId="0" fontId="18" fillId="0" borderId="0" xfId="0" applyFont="1" applyAlignment="1">
      <alignment horizontal="center" vertical="center"/>
    </xf>
    <xf numFmtId="4" fontId="51" fillId="0" borderId="0" xfId="0" applyNumberFormat="1" applyFont="1"/>
    <xf numFmtId="0" fontId="80" fillId="0" borderId="17" xfId="1" applyFont="1" applyFill="1" applyBorder="1" applyAlignment="1">
      <alignment vertical="center" shrinkToFit="1"/>
    </xf>
    <xf numFmtId="0" fontId="80" fillId="0" borderId="20" xfId="1" applyFont="1" applyFill="1" applyBorder="1" applyAlignment="1">
      <alignment vertical="center" shrinkToFit="1"/>
    </xf>
    <xf numFmtId="0" fontId="80" fillId="0" borderId="20" xfId="1" applyFont="1" applyFill="1" applyBorder="1" applyAlignment="1">
      <alignment horizontal="justify" vertical="center" wrapText="1" shrinkToFit="1"/>
    </xf>
    <xf numFmtId="0" fontId="80" fillId="0" borderId="22" xfId="1" applyFont="1" applyFill="1" applyBorder="1" applyAlignment="1">
      <alignment horizontal="justify" vertical="center" wrapText="1" shrinkToFit="1"/>
    </xf>
    <xf numFmtId="0" fontId="86" fillId="8" borderId="11" xfId="0" applyFont="1" applyFill="1" applyBorder="1" applyAlignment="1">
      <alignment horizontal="justify" vertical="center" wrapText="1"/>
    </xf>
    <xf numFmtId="0" fontId="11" fillId="8" borderId="42" xfId="0" applyFont="1" applyFill="1" applyBorder="1" applyAlignment="1">
      <alignment horizontal="center"/>
    </xf>
    <xf numFmtId="0" fontId="11" fillId="8" borderId="60" xfId="0" applyFont="1" applyFill="1" applyBorder="1" applyAlignment="1">
      <alignment horizontal="center"/>
    </xf>
    <xf numFmtId="4" fontId="26" fillId="16" borderId="29" xfId="0" applyNumberFormat="1" applyFont="1" applyFill="1" applyBorder="1" applyAlignment="1">
      <alignment vertical="center"/>
    </xf>
    <xf numFmtId="0" fontId="28" fillId="8" borderId="12" xfId="2" applyFont="1" applyFill="1" applyBorder="1" applyAlignment="1">
      <alignment horizontal="center" vertical="center"/>
    </xf>
    <xf numFmtId="0" fontId="28" fillId="8" borderId="12" xfId="2" applyFont="1" applyFill="1" applyBorder="1" applyAlignment="1">
      <alignment horizontal="center" vertical="center"/>
    </xf>
    <xf numFmtId="0" fontId="24" fillId="3" borderId="24" xfId="0" applyFont="1" applyFill="1" applyBorder="1" applyAlignment="1">
      <alignment vertical="center" shrinkToFit="1"/>
    </xf>
    <xf numFmtId="0" fontId="43" fillId="3" borderId="31" xfId="0" applyFont="1" applyFill="1" applyBorder="1" applyAlignment="1">
      <alignment vertical="center" shrinkToFit="1"/>
    </xf>
    <xf numFmtId="0" fontId="43" fillId="8" borderId="4" xfId="0" applyFont="1" applyFill="1" applyBorder="1" applyAlignment="1">
      <alignment horizontal="center" vertical="center" shrinkToFit="1"/>
    </xf>
    <xf numFmtId="0" fontId="43" fillId="8" borderId="48" xfId="0" applyFont="1" applyFill="1" applyBorder="1" applyAlignment="1">
      <alignment horizontal="center" vertical="center" shrinkToFit="1"/>
    </xf>
    <xf numFmtId="4" fontId="43" fillId="8" borderId="5" xfId="0" applyNumberFormat="1" applyFont="1" applyFill="1" applyBorder="1" applyAlignment="1">
      <alignment horizontal="center" vertical="center" wrapText="1" shrinkToFit="1"/>
    </xf>
    <xf numFmtId="4" fontId="43" fillId="8" borderId="5" xfId="0" applyNumberFormat="1" applyFont="1" applyFill="1" applyBorder="1" applyAlignment="1">
      <alignment horizontal="center" vertical="center" shrinkToFit="1"/>
    </xf>
    <xf numFmtId="4" fontId="43" fillId="8" borderId="6" xfId="0" applyNumberFormat="1" applyFont="1" applyFill="1" applyBorder="1" applyAlignment="1">
      <alignment horizontal="center" vertical="center" shrinkToFit="1"/>
    </xf>
    <xf numFmtId="0" fontId="26" fillId="0" borderId="60" xfId="0" applyFont="1" applyBorder="1" applyAlignment="1">
      <alignment vertical="center"/>
    </xf>
    <xf numFmtId="173" fontId="50" fillId="0" borderId="0" xfId="0" applyNumberFormat="1" applyFont="1" applyAlignment="1">
      <alignment vertical="center"/>
    </xf>
    <xf numFmtId="0" fontId="0" fillId="0" borderId="0" xfId="0" applyFill="1" applyBorder="1" applyAlignment="1">
      <alignment vertical="center"/>
    </xf>
    <xf numFmtId="4" fontId="4" fillId="0" borderId="40" xfId="1" applyNumberFormat="1" applyFont="1" applyFill="1" applyBorder="1" applyAlignment="1">
      <alignment vertical="center" shrinkToFit="1"/>
    </xf>
    <xf numFmtId="0" fontId="20" fillId="0" borderId="40" xfId="0" applyFont="1" applyFill="1" applyBorder="1" applyAlignment="1">
      <alignment vertical="center"/>
    </xf>
    <xf numFmtId="0" fontId="3" fillId="0" borderId="45" xfId="1" applyFont="1" applyFill="1" applyBorder="1" applyAlignment="1">
      <alignment vertical="center" shrinkToFit="1"/>
    </xf>
    <xf numFmtId="0" fontId="2" fillId="0" borderId="45" xfId="1" applyFont="1" applyFill="1" applyBorder="1" applyAlignment="1">
      <alignment vertical="center" shrinkToFit="1"/>
    </xf>
    <xf numFmtId="4" fontId="47" fillId="0" borderId="34" xfId="0" applyNumberFormat="1" applyFont="1" applyBorder="1" applyAlignment="1">
      <alignment vertical="center"/>
    </xf>
    <xf numFmtId="0" fontId="0" fillId="0" borderId="35" xfId="0" applyBorder="1" applyAlignment="1">
      <alignment vertical="center"/>
    </xf>
    <xf numFmtId="4" fontId="0" fillId="0" borderId="35" xfId="0" applyNumberFormat="1" applyBorder="1" applyAlignment="1">
      <alignment vertical="center"/>
    </xf>
    <xf numFmtId="171" fontId="90" fillId="13" borderId="0" xfId="0" applyNumberFormat="1" applyFont="1" applyFill="1" applyAlignment="1">
      <alignment vertical="center"/>
    </xf>
    <xf numFmtId="172" fontId="42" fillId="0" borderId="0" xfId="0" applyNumberFormat="1" applyFont="1" applyAlignment="1">
      <alignment vertical="center"/>
    </xf>
    <xf numFmtId="171" fontId="90" fillId="0" borderId="0" xfId="0" applyNumberFormat="1" applyFont="1" applyAlignment="1">
      <alignment vertical="center"/>
    </xf>
    <xf numFmtId="0" fontId="17" fillId="0" borderId="0" xfId="0" applyFont="1" applyFill="1" applyAlignment="1">
      <alignment vertical="center"/>
    </xf>
    <xf numFmtId="4" fontId="46" fillId="0" borderId="0" xfId="0" applyNumberFormat="1" applyFont="1" applyFill="1" applyBorder="1" applyAlignment="1">
      <alignment vertical="center" wrapText="1" shrinkToFit="1"/>
    </xf>
    <xf numFmtId="164" fontId="3" fillId="8" borderId="60" xfId="1" applyNumberFormat="1" applyFont="1" applyFill="1" applyBorder="1" applyAlignment="1">
      <alignment horizontal="center" vertical="center" shrinkToFit="1"/>
    </xf>
    <xf numFmtId="0" fontId="2" fillId="0" borderId="40" xfId="1" applyFont="1" applyFill="1" applyBorder="1" applyAlignment="1">
      <alignment vertical="center" shrinkToFit="1"/>
    </xf>
    <xf numFmtId="0" fontId="2" fillId="0" borderId="45" xfId="6" applyFont="1" applyFill="1" applyBorder="1" applyAlignment="1">
      <alignment vertical="center" shrinkToFit="1"/>
    </xf>
    <xf numFmtId="0" fontId="2" fillId="0" borderId="1" xfId="1" applyFont="1" applyFill="1" applyBorder="1" applyAlignment="1">
      <alignment horizontal="center" vertical="center" wrapText="1" shrinkToFit="1"/>
    </xf>
    <xf numFmtId="4" fontId="4" fillId="0" borderId="1" xfId="6" applyNumberFormat="1" applyFont="1" applyFill="1" applyBorder="1" applyAlignment="1">
      <alignment horizontal="right" wrapText="1" shrinkToFit="1"/>
    </xf>
    <xf numFmtId="4" fontId="88" fillId="0" borderId="0" xfId="0" applyNumberFormat="1" applyFont="1" applyFill="1" applyAlignment="1">
      <alignment vertical="center"/>
    </xf>
    <xf numFmtId="0" fontId="42" fillId="0" borderId="1" xfId="0" applyFont="1" applyBorder="1" applyAlignment="1">
      <alignment vertical="center" wrapText="1"/>
    </xf>
    <xf numFmtId="4" fontId="21" fillId="0" borderId="1" xfId="0" applyNumberFormat="1" applyFont="1" applyBorder="1" applyAlignment="1">
      <alignment vertical="center"/>
    </xf>
    <xf numFmtId="0" fontId="43" fillId="0" borderId="17" xfId="0" applyFont="1" applyFill="1" applyBorder="1" applyAlignment="1">
      <alignment vertical="center" shrinkToFit="1"/>
    </xf>
    <xf numFmtId="4" fontId="46" fillId="0" borderId="0" xfId="0" applyNumberFormat="1" applyFont="1" applyFill="1" applyAlignment="1">
      <alignment vertical="center"/>
    </xf>
    <xf numFmtId="0" fontId="4" fillId="0" borderId="20" xfId="1" applyFont="1" applyFill="1" applyBorder="1" applyAlignment="1">
      <alignment horizontal="justify" vertical="center" wrapText="1" shrinkToFit="1"/>
    </xf>
    <xf numFmtId="171" fontId="4" fillId="0" borderId="1" xfId="0" applyNumberFormat="1" applyFont="1" applyBorder="1" applyAlignment="1">
      <alignment vertical="center"/>
    </xf>
    <xf numFmtId="0" fontId="34" fillId="0" borderId="41" xfId="0" applyFont="1" applyBorder="1" applyAlignment="1">
      <alignment horizontal="justify" vertical="center" wrapText="1"/>
    </xf>
    <xf numFmtId="0" fontId="82" fillId="8" borderId="3" xfId="2" applyFont="1" applyFill="1" applyBorder="1" applyAlignment="1">
      <alignment horizontal="center" vertical="center"/>
    </xf>
    <xf numFmtId="4" fontId="82" fillId="0" borderId="0" xfId="2" applyNumberFormat="1" applyFont="1" applyFill="1" applyBorder="1" applyAlignment="1">
      <alignment vertical="center"/>
    </xf>
    <xf numFmtId="0" fontId="46" fillId="0" borderId="0" xfId="0" applyFont="1" applyFill="1" applyBorder="1" applyAlignment="1">
      <alignment horizontal="center" vertical="center"/>
    </xf>
    <xf numFmtId="4" fontId="46" fillId="0" borderId="0" xfId="0" applyNumberFormat="1" applyFont="1" applyFill="1" applyBorder="1" applyAlignment="1">
      <alignment horizontal="center" vertical="center"/>
    </xf>
    <xf numFmtId="4" fontId="66" fillId="0" borderId="0" xfId="0" applyNumberFormat="1" applyFont="1" applyFill="1" applyBorder="1" applyAlignment="1">
      <alignment vertical="center"/>
    </xf>
    <xf numFmtId="4" fontId="17" fillId="0" borderId="0" xfId="0" applyNumberFormat="1" applyFont="1" applyFill="1" applyAlignment="1">
      <alignment vertical="center"/>
    </xf>
    <xf numFmtId="4" fontId="92" fillId="0" borderId="0" xfId="0" applyNumberFormat="1" applyFont="1" applyFill="1" applyBorder="1" applyAlignment="1">
      <alignment vertical="center"/>
    </xf>
    <xf numFmtId="4" fontId="48" fillId="0" borderId="0" xfId="0" applyNumberFormat="1" applyFont="1" applyFill="1" applyAlignment="1">
      <alignment vertical="center"/>
    </xf>
    <xf numFmtId="0" fontId="66" fillId="0" borderId="0" xfId="0" applyFont="1" applyFill="1" applyBorder="1" applyAlignment="1">
      <alignment vertical="center"/>
    </xf>
    <xf numFmtId="4" fontId="15" fillId="0" borderId="0" xfId="2" applyNumberFormat="1" applyFont="1" applyFill="1" applyBorder="1" applyAlignment="1">
      <alignment vertical="center"/>
    </xf>
    <xf numFmtId="0" fontId="0" fillId="0" borderId="0" xfId="0" applyFill="1" applyBorder="1" applyAlignment="1">
      <alignment vertical="center" wrapText="1"/>
    </xf>
    <xf numFmtId="4" fontId="0" fillId="0" borderId="0" xfId="0" applyNumberFormat="1" applyFill="1" applyBorder="1" applyAlignment="1">
      <alignment vertical="center" wrapText="1"/>
    </xf>
    <xf numFmtId="4" fontId="43" fillId="0" borderId="0" xfId="0" applyNumberFormat="1" applyFont="1" applyFill="1" applyAlignment="1">
      <alignment vertical="center" wrapText="1"/>
    </xf>
    <xf numFmtId="4" fontId="0" fillId="0" borderId="0" xfId="0" applyNumberFormat="1" applyFill="1"/>
    <xf numFmtId="169" fontId="0" fillId="0" borderId="0" xfId="0" applyNumberFormat="1" applyAlignment="1">
      <alignment vertical="center"/>
    </xf>
    <xf numFmtId="0" fontId="0" fillId="0" borderId="0" xfId="0" applyBorder="1" applyAlignment="1">
      <alignment vertical="center"/>
    </xf>
    <xf numFmtId="4" fontId="2" fillId="0" borderId="0" xfId="5" applyNumberFormat="1" applyFont="1" applyFill="1" applyBorder="1" applyAlignment="1">
      <alignment horizontal="right" vertical="center"/>
    </xf>
    <xf numFmtId="0" fontId="17" fillId="0" borderId="0" xfId="0" applyFont="1" applyFill="1" applyBorder="1" applyAlignment="1">
      <alignment vertical="center"/>
    </xf>
    <xf numFmtId="0" fontId="17" fillId="0" borderId="0" xfId="0" applyFont="1" applyBorder="1" applyAlignment="1">
      <alignment vertical="center"/>
    </xf>
    <xf numFmtId="4" fontId="36" fillId="0" borderId="0" xfId="5" applyNumberFormat="1" applyFont="1" applyFill="1" applyBorder="1" applyAlignment="1">
      <alignment horizontal="right" vertical="center"/>
    </xf>
    <xf numFmtId="4" fontId="23" fillId="2" borderId="0" xfId="5" applyNumberFormat="1" applyFont="1" applyFill="1" applyBorder="1" applyAlignment="1">
      <alignment vertical="center" wrapText="1"/>
    </xf>
    <xf numFmtId="4" fontId="23" fillId="2" borderId="0" xfId="5" applyNumberFormat="1" applyFont="1" applyFill="1" applyBorder="1" applyAlignment="1">
      <alignment vertical="center"/>
    </xf>
    <xf numFmtId="0" fontId="23" fillId="2" borderId="0" xfId="5" applyFont="1" applyFill="1" applyBorder="1" applyAlignment="1">
      <alignment vertical="center"/>
    </xf>
    <xf numFmtId="4" fontId="36" fillId="2" borderId="0" xfId="5" applyNumberFormat="1" applyFont="1" applyFill="1" applyBorder="1" applyAlignment="1">
      <alignment vertical="center"/>
    </xf>
    <xf numFmtId="0" fontId="23" fillId="14" borderId="4" xfId="5" applyFont="1" applyFill="1" applyBorder="1" applyAlignment="1">
      <alignment horizontal="right" vertical="center" wrapText="1"/>
    </xf>
    <xf numFmtId="0" fontId="23" fillId="14" borderId="5" xfId="5" applyFont="1" applyFill="1" applyBorder="1" applyAlignment="1">
      <alignment horizontal="right" vertical="center" wrapText="1"/>
    </xf>
    <xf numFmtId="4" fontId="23" fillId="14" borderId="5" xfId="5" applyNumberFormat="1" applyFont="1" applyFill="1" applyBorder="1" applyAlignment="1">
      <alignment horizontal="right" vertical="center" wrapText="1"/>
    </xf>
    <xf numFmtId="4" fontId="23" fillId="14" borderId="6" xfId="5" applyNumberFormat="1" applyFont="1" applyFill="1" applyBorder="1" applyAlignment="1">
      <alignment horizontal="right" vertical="center" wrapText="1"/>
    </xf>
    <xf numFmtId="0" fontId="23" fillId="0" borderId="60" xfId="5" applyFont="1" applyFill="1" applyBorder="1" applyAlignment="1">
      <alignment horizontal="right" vertical="center" wrapText="1"/>
    </xf>
    <xf numFmtId="4" fontId="24" fillId="3" borderId="0" xfId="0" applyNumberFormat="1" applyFont="1" applyFill="1" applyBorder="1" applyAlignment="1">
      <alignment horizontal="right" vertical="center" shrinkToFit="1"/>
    </xf>
    <xf numFmtId="4" fontId="91" fillId="3" borderId="18" xfId="0" applyNumberFormat="1" applyFont="1" applyFill="1" applyBorder="1" applyAlignment="1">
      <alignment vertical="center" wrapText="1" shrinkToFit="1"/>
    </xf>
    <xf numFmtId="4" fontId="91" fillId="3" borderId="18" xfId="0" applyNumberFormat="1" applyFont="1" applyFill="1" applyBorder="1" applyAlignment="1">
      <alignment vertical="center" shrinkToFit="1"/>
    </xf>
    <xf numFmtId="4" fontId="89" fillId="3" borderId="18" xfId="0" applyNumberFormat="1" applyFont="1" applyFill="1" applyBorder="1" applyAlignment="1">
      <alignment vertical="center" shrinkToFit="1"/>
    </xf>
    <xf numFmtId="4" fontId="89" fillId="3" borderId="10" xfId="0" applyNumberFormat="1" applyFont="1" applyFill="1" applyBorder="1" applyAlignment="1">
      <alignment vertical="center" shrinkToFit="1"/>
    </xf>
    <xf numFmtId="4" fontId="91" fillId="0" borderId="18" xfId="0" applyNumberFormat="1" applyFont="1" applyFill="1" applyBorder="1" applyAlignment="1">
      <alignment vertical="center" shrinkToFit="1"/>
    </xf>
    <xf numFmtId="0" fontId="25" fillId="0" borderId="42" xfId="0" applyFont="1" applyBorder="1" applyAlignment="1">
      <alignment vertical="center"/>
    </xf>
    <xf numFmtId="0" fontId="25" fillId="0" borderId="61" xfId="0" applyFont="1" applyBorder="1" applyAlignment="1">
      <alignment vertical="center"/>
    </xf>
    <xf numFmtId="0" fontId="26" fillId="0" borderId="0" xfId="0" applyFont="1" applyBorder="1" applyAlignment="1">
      <alignment vertical="center"/>
    </xf>
    <xf numFmtId="0" fontId="19" fillId="0" borderId="60" xfId="0" applyFont="1" applyBorder="1" applyAlignment="1">
      <alignment vertical="center"/>
    </xf>
    <xf numFmtId="0" fontId="19" fillId="0" borderId="38" xfId="0" applyFont="1" applyBorder="1" applyAlignment="1">
      <alignment vertical="center"/>
    </xf>
    <xf numFmtId="0" fontId="47" fillId="0" borderId="60" xfId="0" applyFont="1" applyBorder="1" applyAlignment="1">
      <alignment vertical="center"/>
    </xf>
    <xf numFmtId="4" fontId="47" fillId="0" borderId="38" xfId="0" applyNumberFormat="1" applyFont="1" applyBorder="1" applyAlignment="1">
      <alignment vertical="center"/>
    </xf>
    <xf numFmtId="4" fontId="26" fillId="0" borderId="0" xfId="0" applyNumberFormat="1" applyFont="1" applyBorder="1" applyAlignment="1">
      <alignment vertical="center"/>
    </xf>
    <xf numFmtId="4" fontId="26" fillId="0" borderId="38" xfId="0" applyNumberFormat="1" applyFont="1" applyBorder="1" applyAlignment="1">
      <alignment vertical="center"/>
    </xf>
    <xf numFmtId="3" fontId="26" fillId="0" borderId="0" xfId="0" applyNumberFormat="1" applyFont="1" applyFill="1" applyAlignment="1">
      <alignment horizontal="center" vertical="center"/>
    </xf>
    <xf numFmtId="0" fontId="26" fillId="4" borderId="1" xfId="0" applyFont="1" applyFill="1" applyBorder="1" applyAlignment="1">
      <alignment vertical="center"/>
    </xf>
    <xf numFmtId="0" fontId="25" fillId="16" borderId="1" xfId="0" applyFont="1" applyFill="1" applyBorder="1" applyAlignment="1">
      <alignment horizontal="center" vertical="center" wrapText="1"/>
    </xf>
    <xf numFmtId="0" fontId="95" fillId="16" borderId="1" xfId="0" applyFont="1" applyFill="1" applyBorder="1" applyAlignment="1">
      <alignment horizontal="center" vertical="center" wrapText="1"/>
    </xf>
    <xf numFmtId="4" fontId="88" fillId="0" borderId="39" xfId="0" applyNumberFormat="1" applyFont="1" applyFill="1" applyBorder="1" applyAlignment="1">
      <alignment horizontal="right" vertical="center" shrinkToFit="1"/>
    </xf>
    <xf numFmtId="3" fontId="44" fillId="0" borderId="0" xfId="0" applyNumberFormat="1" applyFont="1" applyFill="1" applyAlignment="1">
      <alignment vertical="center"/>
    </xf>
    <xf numFmtId="0" fontId="44" fillId="0" borderId="0" xfId="0" applyFont="1" applyFill="1" applyAlignment="1">
      <alignment vertical="center"/>
    </xf>
    <xf numFmtId="4" fontId="88" fillId="0" borderId="3" xfId="0" applyNumberFormat="1" applyFont="1" applyBorder="1" applyAlignment="1">
      <alignment vertical="center"/>
    </xf>
    <xf numFmtId="49" fontId="44" fillId="0" borderId="0" xfId="0" applyNumberFormat="1" applyFont="1" applyFill="1" applyAlignment="1">
      <alignment horizontal="right" vertical="center"/>
    </xf>
    <xf numFmtId="0" fontId="46" fillId="11" borderId="11" xfId="0" applyFont="1" applyFill="1" applyBorder="1" applyAlignment="1">
      <alignment horizontal="justify" vertical="center" wrapText="1"/>
    </xf>
    <xf numFmtId="4" fontId="96" fillId="11" borderId="3" xfId="0" applyNumberFormat="1" applyFont="1" applyFill="1" applyBorder="1" applyAlignment="1">
      <alignment vertical="center"/>
    </xf>
    <xf numFmtId="4" fontId="83" fillId="0" borderId="0" xfId="0" applyNumberFormat="1" applyFont="1" applyAlignment="1">
      <alignment vertical="center"/>
    </xf>
    <xf numFmtId="4" fontId="35" fillId="0" borderId="0" xfId="0" applyNumberFormat="1" applyFont="1" applyAlignment="1">
      <alignment vertical="center"/>
    </xf>
    <xf numFmtId="4" fontId="88" fillId="0" borderId="34" xfId="0" applyNumberFormat="1" applyFont="1" applyFill="1" applyBorder="1" applyAlignment="1">
      <alignment vertical="center"/>
    </xf>
    <xf numFmtId="4" fontId="89" fillId="3" borderId="0" xfId="0" applyNumberFormat="1" applyFont="1" applyFill="1" applyBorder="1" applyAlignment="1">
      <alignment horizontal="right" vertical="center" shrinkToFit="1"/>
    </xf>
    <xf numFmtId="4" fontId="0" fillId="0" borderId="0" xfId="0" applyNumberFormat="1" applyFill="1" applyBorder="1" applyAlignment="1">
      <alignment vertical="center"/>
    </xf>
    <xf numFmtId="4" fontId="96" fillId="8" borderId="3" xfId="0" applyNumberFormat="1" applyFont="1" applyFill="1" applyBorder="1" applyAlignment="1">
      <alignment vertical="center"/>
    </xf>
    <xf numFmtId="4" fontId="0" fillId="0" borderId="0" xfId="0" applyNumberFormat="1" applyFont="1" applyFill="1" applyAlignment="1">
      <alignment vertical="center"/>
    </xf>
    <xf numFmtId="4" fontId="10" fillId="0" borderId="0" xfId="2" applyNumberFormat="1" applyFont="1" applyFill="1" applyBorder="1" applyAlignment="1">
      <alignment vertical="center"/>
    </xf>
    <xf numFmtId="49" fontId="26" fillId="0" borderId="0" xfId="0" applyNumberFormat="1" applyFont="1" applyAlignment="1">
      <alignment vertical="center"/>
    </xf>
    <xf numFmtId="0" fontId="24" fillId="0" borderId="3" xfId="0" applyFont="1" applyBorder="1" applyAlignment="1">
      <alignment horizontal="justify" vertical="center" wrapText="1"/>
    </xf>
    <xf numFmtId="0" fontId="12" fillId="0" borderId="40" xfId="1" applyFont="1" applyFill="1" applyBorder="1" applyAlignment="1">
      <alignment horizontal="center" vertical="center" shrinkToFit="1"/>
    </xf>
    <xf numFmtId="0" fontId="20" fillId="0" borderId="60" xfId="0" applyFont="1" applyFill="1" applyBorder="1" applyAlignment="1">
      <alignment vertical="center"/>
    </xf>
    <xf numFmtId="0" fontId="20" fillId="0" borderId="38" xfId="0" applyFont="1" applyFill="1" applyBorder="1" applyAlignment="1">
      <alignment vertical="center"/>
    </xf>
    <xf numFmtId="164" fontId="12" fillId="0" borderId="20" xfId="1" applyNumberFormat="1" applyFont="1" applyFill="1" applyBorder="1" applyAlignment="1">
      <alignment horizontal="center" vertical="center" shrinkToFit="1"/>
    </xf>
    <xf numFmtId="0" fontId="5" fillId="0" borderId="21" xfId="1" applyFont="1" applyFill="1" applyBorder="1" applyAlignment="1">
      <alignment horizontal="center" vertical="center" shrinkToFit="1"/>
    </xf>
    <xf numFmtId="164" fontId="12" fillId="0" borderId="31" xfId="1" applyNumberFormat="1" applyFont="1" applyFill="1" applyBorder="1" applyAlignment="1">
      <alignment horizontal="center" vertical="center" shrinkToFit="1"/>
    </xf>
    <xf numFmtId="0" fontId="5" fillId="0" borderId="32" xfId="1" applyFont="1" applyFill="1" applyBorder="1" applyAlignment="1">
      <alignment horizontal="center" vertical="center" shrinkToFit="1"/>
    </xf>
    <xf numFmtId="0" fontId="21" fillId="0" borderId="65" xfId="0" applyFont="1" applyFill="1" applyBorder="1" applyAlignment="1">
      <alignment vertical="center"/>
    </xf>
    <xf numFmtId="0" fontId="20" fillId="0" borderId="7" xfId="0" applyFont="1" applyFill="1" applyBorder="1" applyAlignment="1">
      <alignment vertical="center"/>
    </xf>
    <xf numFmtId="4" fontId="89" fillId="3" borderId="1" xfId="0" applyNumberFormat="1" applyFont="1" applyFill="1" applyBorder="1" applyAlignment="1">
      <alignment vertical="center" shrinkToFit="1"/>
    </xf>
    <xf numFmtId="4" fontId="89" fillId="0" borderId="1" xfId="0" applyNumberFormat="1" applyFont="1" applyFill="1" applyBorder="1" applyAlignment="1">
      <alignment vertical="center" shrinkToFit="1"/>
    </xf>
    <xf numFmtId="4" fontId="89" fillId="3" borderId="27" xfId="0" applyNumberFormat="1" applyFont="1" applyFill="1" applyBorder="1" applyAlignment="1">
      <alignment vertical="center" shrinkToFit="1"/>
    </xf>
    <xf numFmtId="4" fontId="89" fillId="3" borderId="2" xfId="0" applyNumberFormat="1" applyFont="1" applyFill="1" applyBorder="1" applyAlignment="1">
      <alignment vertical="center" shrinkToFit="1"/>
    </xf>
    <xf numFmtId="0" fontId="20" fillId="0" borderId="0" xfId="0" applyFont="1" applyBorder="1" applyAlignment="1">
      <alignment horizontal="center" vertical="center"/>
    </xf>
    <xf numFmtId="0" fontId="38" fillId="0" borderId="0" xfId="1" applyFont="1" applyFill="1" applyBorder="1" applyAlignment="1">
      <alignment horizontal="center" vertical="center" shrinkToFit="1"/>
    </xf>
    <xf numFmtId="0" fontId="38" fillId="0" borderId="0" xfId="1" applyFont="1" applyFill="1" applyBorder="1" applyAlignment="1">
      <alignment horizontal="left" vertical="center" shrinkToFit="1"/>
    </xf>
    <xf numFmtId="0" fontId="40" fillId="0" borderId="0" xfId="1" applyFont="1" applyFill="1" applyBorder="1" applyAlignment="1">
      <alignment horizontal="center" vertical="center" shrinkToFit="1"/>
    </xf>
    <xf numFmtId="0" fontId="2" fillId="0" borderId="0" xfId="1" applyFont="1" applyFill="1" applyBorder="1" applyAlignment="1">
      <alignment vertical="center" shrinkToFit="1"/>
    </xf>
    <xf numFmtId="0" fontId="3" fillId="0" borderId="0" xfId="1" applyFont="1" applyFill="1" applyBorder="1" applyAlignment="1">
      <alignment horizontal="center" vertical="center" shrinkToFit="1"/>
    </xf>
    <xf numFmtId="0" fontId="40" fillId="0" borderId="0" xfId="1" applyFont="1" applyFill="1" applyBorder="1" applyAlignment="1">
      <alignment vertical="center" wrapText="1" shrinkToFit="1"/>
    </xf>
    <xf numFmtId="0" fontId="2" fillId="0" borderId="0" xfId="6" applyFont="1" applyFill="1" applyBorder="1" applyAlignment="1">
      <alignment horizontal="justify" vertical="center" wrapText="1" shrinkToFit="1"/>
    </xf>
    <xf numFmtId="4" fontId="19" fillId="0" borderId="0" xfId="0" applyNumberFormat="1" applyFont="1" applyAlignment="1">
      <alignment vertical="center"/>
    </xf>
    <xf numFmtId="164" fontId="48" fillId="0" borderId="44" xfId="1" applyNumberFormat="1" applyFont="1" applyFill="1" applyBorder="1" applyAlignment="1">
      <alignment horizontal="center" vertical="center" shrinkToFit="1"/>
    </xf>
    <xf numFmtId="14" fontId="89" fillId="0" borderId="44" xfId="1" applyNumberFormat="1" applyFont="1" applyFill="1" applyBorder="1" applyAlignment="1">
      <alignment horizontal="center" vertical="center" shrinkToFit="1"/>
    </xf>
    <xf numFmtId="164" fontId="97" fillId="0" borderId="44" xfId="1" applyNumberFormat="1" applyFont="1" applyFill="1" applyBorder="1" applyAlignment="1">
      <alignment horizontal="center" vertical="center" shrinkToFit="1"/>
    </xf>
    <xf numFmtId="14" fontId="98" fillId="0" borderId="44" xfId="1" applyNumberFormat="1" applyFont="1" applyFill="1" applyBorder="1" applyAlignment="1">
      <alignment horizontal="center" vertical="center" shrinkToFit="1"/>
    </xf>
    <xf numFmtId="164" fontId="12" fillId="11" borderId="3" xfId="1" applyNumberFormat="1" applyFont="1" applyFill="1" applyBorder="1" applyAlignment="1">
      <alignment horizontal="center" vertical="center" shrinkToFit="1"/>
    </xf>
    <xf numFmtId="0" fontId="20" fillId="0" borderId="0" xfId="0" applyFont="1" applyFill="1" applyAlignment="1">
      <alignment horizontal="right" vertical="center"/>
    </xf>
    <xf numFmtId="4" fontId="20" fillId="0" borderId="0" xfId="0" applyNumberFormat="1" applyFont="1" applyFill="1" applyAlignment="1">
      <alignment horizontal="right" vertical="center"/>
    </xf>
    <xf numFmtId="164" fontId="2" fillId="0" borderId="44" xfId="1" applyNumberFormat="1" applyFont="1" applyFill="1" applyBorder="1" applyAlignment="1">
      <alignment horizontal="center" vertical="center" shrinkToFit="1"/>
    </xf>
    <xf numFmtId="164" fontId="4" fillId="0" borderId="44" xfId="1" applyNumberFormat="1" applyFont="1" applyFill="1" applyBorder="1" applyAlignment="1">
      <alignment horizontal="center" vertical="center" shrinkToFit="1"/>
    </xf>
    <xf numFmtId="4" fontId="43" fillId="4" borderId="0" xfId="0" applyNumberFormat="1" applyFont="1" applyFill="1" applyAlignment="1">
      <alignment vertical="center"/>
    </xf>
    <xf numFmtId="4" fontId="44" fillId="4" borderId="0" xfId="0" applyNumberFormat="1" applyFont="1" applyFill="1" applyAlignment="1">
      <alignment vertical="center"/>
    </xf>
    <xf numFmtId="4" fontId="34" fillId="0" borderId="0" xfId="0" applyNumberFormat="1" applyFont="1" applyFill="1" applyBorder="1" applyAlignment="1">
      <alignment horizontal="right" vertical="center"/>
    </xf>
    <xf numFmtId="0" fontId="26" fillId="0" borderId="3" xfId="0" applyFont="1" applyBorder="1" applyAlignment="1">
      <alignment vertical="center"/>
    </xf>
    <xf numFmtId="0" fontId="24" fillId="0" borderId="0" xfId="0" applyFont="1" applyFill="1" applyAlignment="1">
      <alignment vertical="center" wrapText="1" shrinkToFit="1"/>
    </xf>
    <xf numFmtId="4" fontId="24" fillId="0" borderId="0" xfId="0" applyNumberFormat="1" applyFont="1" applyFill="1" applyAlignment="1">
      <alignment vertical="center" wrapText="1" shrinkToFit="1"/>
    </xf>
    <xf numFmtId="4" fontId="91" fillId="0" borderId="0" xfId="0" applyNumberFormat="1" applyFont="1" applyFill="1" applyBorder="1" applyAlignment="1">
      <alignment vertical="center" wrapText="1" shrinkToFit="1"/>
    </xf>
    <xf numFmtId="4" fontId="91" fillId="0" borderId="0" xfId="0" applyNumberFormat="1" applyFont="1" applyFill="1" applyBorder="1" applyAlignment="1">
      <alignment vertical="center" shrinkToFit="1"/>
    </xf>
    <xf numFmtId="4" fontId="44" fillId="0" borderId="0" xfId="0" applyNumberFormat="1" applyFont="1" applyFill="1" applyAlignment="1">
      <alignment vertical="center"/>
    </xf>
    <xf numFmtId="0" fontId="50" fillId="0" borderId="0" xfId="0" applyFont="1" applyFill="1" applyBorder="1" applyAlignment="1">
      <alignment vertical="center"/>
    </xf>
    <xf numFmtId="4" fontId="24" fillId="0" borderId="0" xfId="0" applyNumberFormat="1" applyFont="1" applyFill="1" applyBorder="1" applyAlignment="1">
      <alignment vertical="center"/>
    </xf>
    <xf numFmtId="0" fontId="20" fillId="0" borderId="30" xfId="0" applyFont="1" applyFill="1" applyBorder="1" applyAlignment="1">
      <alignment vertical="center"/>
    </xf>
    <xf numFmtId="0" fontId="5" fillId="0" borderId="66" xfId="1" applyFont="1" applyFill="1" applyBorder="1" applyAlignment="1">
      <alignment horizontal="center" vertical="center" shrinkToFit="1"/>
    </xf>
    <xf numFmtId="0" fontId="16" fillId="0" borderId="40" xfId="1" applyFont="1" applyFill="1" applyBorder="1" applyAlignment="1">
      <alignment horizontal="center" vertical="center" shrinkToFit="1"/>
    </xf>
    <xf numFmtId="0" fontId="16" fillId="0" borderId="40" xfId="1" applyFont="1" applyFill="1" applyBorder="1" applyAlignment="1">
      <alignment vertical="center" shrinkToFit="1"/>
    </xf>
    <xf numFmtId="0" fontId="12" fillId="0" borderId="45" xfId="1" applyFont="1" applyFill="1" applyBorder="1" applyAlignment="1">
      <alignment vertical="center" shrinkToFit="1"/>
    </xf>
    <xf numFmtId="0" fontId="12" fillId="3" borderId="40" xfId="1" applyFont="1" applyFill="1" applyBorder="1" applyAlignment="1">
      <alignment horizontal="center" vertical="center" shrinkToFit="1"/>
    </xf>
    <xf numFmtId="0" fontId="20" fillId="0" borderId="20" xfId="0" applyFont="1" applyBorder="1" applyAlignment="1">
      <alignment horizontal="center" vertical="center"/>
    </xf>
    <xf numFmtId="4" fontId="4" fillId="0" borderId="0" xfId="2" applyNumberFormat="1" applyFont="1" applyFill="1" applyBorder="1" applyAlignment="1">
      <alignment vertical="center"/>
    </xf>
    <xf numFmtId="169" fontId="4" fillId="0" borderId="0" xfId="2" applyNumberFormat="1" applyFont="1" applyFill="1" applyBorder="1" applyAlignment="1">
      <alignment vertical="center"/>
    </xf>
    <xf numFmtId="49" fontId="23" fillId="9" borderId="42" xfId="5" applyNumberFormat="1" applyFont="1" applyFill="1" applyBorder="1" applyAlignment="1">
      <alignment horizontal="center" vertical="center" wrapText="1"/>
    </xf>
    <xf numFmtId="4" fontId="89" fillId="3" borderId="0" xfId="0" applyNumberFormat="1" applyFont="1" applyFill="1" applyAlignment="1">
      <alignment vertical="center" shrinkToFit="1"/>
    </xf>
    <xf numFmtId="4" fontId="39" fillId="0" borderId="0" xfId="0" applyNumberFormat="1" applyFont="1" applyFill="1" applyBorder="1" applyAlignment="1">
      <alignment vertical="center"/>
    </xf>
    <xf numFmtId="0" fontId="3" fillId="0" borderId="0" xfId="1" applyFont="1" applyFill="1" applyBorder="1" applyAlignment="1">
      <alignment vertical="center" shrinkToFit="1"/>
    </xf>
    <xf numFmtId="0" fontId="2" fillId="0" borderId="0" xfId="1" applyFont="1" applyFill="1" applyBorder="1" applyAlignment="1">
      <alignment horizontal="center" vertical="center" shrinkToFit="1"/>
    </xf>
    <xf numFmtId="164" fontId="12" fillId="8" borderId="41" xfId="1" applyNumberFormat="1" applyFont="1" applyFill="1" applyBorder="1" applyAlignment="1">
      <alignment horizontal="center" vertical="center" shrinkToFit="1"/>
    </xf>
    <xf numFmtId="0" fontId="12" fillId="0" borderId="65" xfId="1" applyFont="1" applyFill="1" applyBorder="1" applyAlignment="1">
      <alignment horizontal="center" vertical="center" shrinkToFit="1"/>
    </xf>
    <xf numFmtId="0" fontId="12" fillId="0" borderId="65" xfId="1" applyFont="1" applyFill="1" applyBorder="1" applyAlignment="1">
      <alignment vertical="center" shrinkToFit="1"/>
    </xf>
    <xf numFmtId="4" fontId="21" fillId="0" borderId="72" xfId="0" applyNumberFormat="1" applyFont="1" applyFill="1" applyBorder="1" applyAlignment="1">
      <alignment vertical="center"/>
    </xf>
    <xf numFmtId="0" fontId="12" fillId="0" borderId="47" xfId="1" applyFont="1" applyFill="1" applyBorder="1" applyAlignment="1">
      <alignment vertical="center" shrinkToFit="1"/>
    </xf>
    <xf numFmtId="0" fontId="42" fillId="0" borderId="47" xfId="0" applyFont="1" applyFill="1" applyBorder="1" applyAlignment="1">
      <alignment vertical="center"/>
    </xf>
    <xf numFmtId="0" fontId="28" fillId="8" borderId="0" xfId="2" applyFont="1" applyFill="1" applyBorder="1" applyAlignment="1">
      <alignment horizontal="center" vertical="center"/>
    </xf>
    <xf numFmtId="0" fontId="70" fillId="0" borderId="0" xfId="1" applyNumberFormat="1" applyFont="1" applyFill="1" applyBorder="1" applyAlignment="1">
      <alignment horizontal="justify" vertical="center" wrapText="1"/>
    </xf>
    <xf numFmtId="0" fontId="21" fillId="0" borderId="0" xfId="0" applyFont="1" applyFill="1" applyBorder="1" applyAlignment="1">
      <alignment vertical="center"/>
    </xf>
    <xf numFmtId="0" fontId="20" fillId="0" borderId="0" xfId="0" applyFont="1" applyFill="1" applyBorder="1" applyAlignment="1">
      <alignment horizontal="center" vertical="center"/>
    </xf>
    <xf numFmtId="0" fontId="42" fillId="0" borderId="0" xfId="0" applyFont="1" applyFill="1" applyBorder="1" applyAlignment="1">
      <alignment vertical="center" wrapText="1"/>
    </xf>
    <xf numFmtId="4" fontId="43" fillId="3" borderId="0" xfId="0" applyNumberFormat="1" applyFont="1" applyFill="1" applyBorder="1" applyAlignment="1">
      <alignment horizontal="center" vertical="center" shrinkToFit="1"/>
    </xf>
    <xf numFmtId="172" fontId="20" fillId="0" borderId="0" xfId="0" applyNumberFormat="1" applyFont="1" applyFill="1" applyAlignment="1">
      <alignment vertical="center"/>
    </xf>
    <xf numFmtId="3" fontId="20" fillId="0" borderId="0" xfId="0" applyNumberFormat="1" applyFont="1" applyAlignment="1">
      <alignment horizontal="center" vertical="center"/>
    </xf>
    <xf numFmtId="3" fontId="20" fillId="0" borderId="0" xfId="0" applyNumberFormat="1" applyFont="1" applyFill="1" applyAlignment="1">
      <alignment horizontal="center" vertical="center"/>
    </xf>
    <xf numFmtId="169" fontId="24" fillId="3" borderId="0" xfId="0" applyNumberFormat="1" applyFont="1" applyFill="1" applyBorder="1" applyAlignment="1">
      <alignment horizontal="center" vertical="center" shrinkToFit="1"/>
    </xf>
    <xf numFmtId="4" fontId="46" fillId="3" borderId="0" xfId="0" applyNumberFormat="1" applyFont="1" applyFill="1" applyBorder="1" applyAlignment="1">
      <alignment horizontal="center" vertical="center" shrinkToFit="1"/>
    </xf>
    <xf numFmtId="49" fontId="0" fillId="0" borderId="35" xfId="0" applyNumberFormat="1" applyBorder="1" applyAlignment="1">
      <alignment vertical="center"/>
    </xf>
    <xf numFmtId="4" fontId="0" fillId="0" borderId="75" xfId="0" applyNumberFormat="1" applyBorder="1" applyAlignment="1">
      <alignment vertical="center"/>
    </xf>
    <xf numFmtId="0" fontId="21" fillId="0" borderId="75" xfId="0" applyFont="1" applyBorder="1" applyAlignment="1">
      <alignment vertical="center"/>
    </xf>
    <xf numFmtId="172" fontId="20" fillId="0" borderId="0" xfId="0" applyNumberFormat="1" applyFont="1" applyFill="1" applyBorder="1" applyAlignment="1">
      <alignment vertical="center"/>
    </xf>
    <xf numFmtId="4" fontId="95" fillId="0" borderId="0" xfId="0" applyNumberFormat="1" applyFont="1" applyAlignment="1">
      <alignment vertical="center"/>
    </xf>
    <xf numFmtId="0" fontId="12" fillId="0" borderId="47" xfId="1" applyFont="1" applyFill="1" applyBorder="1" applyAlignment="1">
      <alignment horizontal="center" vertical="center" shrinkToFit="1"/>
    </xf>
    <xf numFmtId="4" fontId="21" fillId="0" borderId="38" xfId="0" applyNumberFormat="1" applyFont="1" applyFill="1" applyBorder="1" applyAlignment="1">
      <alignment vertical="center"/>
    </xf>
    <xf numFmtId="0" fontId="21" fillId="0" borderId="47" xfId="0" applyFont="1" applyFill="1" applyBorder="1" applyAlignment="1">
      <alignment vertical="center"/>
    </xf>
    <xf numFmtId="4" fontId="4" fillId="0" borderId="30" xfId="1" applyNumberFormat="1" applyFont="1" applyFill="1" applyBorder="1" applyAlignment="1">
      <alignment vertical="center" shrinkToFit="1"/>
    </xf>
    <xf numFmtId="172" fontId="20" fillId="0" borderId="0" xfId="0" applyNumberFormat="1" applyFont="1" applyBorder="1" applyAlignment="1">
      <alignment vertical="center"/>
    </xf>
    <xf numFmtId="0" fontId="12" fillId="0" borderId="66" xfId="1" applyFont="1" applyFill="1" applyBorder="1" applyAlignment="1">
      <alignment horizontal="center" vertical="center" shrinkToFit="1"/>
    </xf>
    <xf numFmtId="4" fontId="23" fillId="9" borderId="37" xfId="5" applyNumberFormat="1" applyFont="1" applyFill="1" applyBorder="1" applyAlignment="1">
      <alignment horizontal="center" vertical="center"/>
    </xf>
    <xf numFmtId="4" fontId="38" fillId="0" borderId="0" xfId="0" applyNumberFormat="1" applyFont="1" applyAlignment="1">
      <alignment horizontal="center" vertical="center"/>
    </xf>
    <xf numFmtId="4" fontId="21" fillId="0" borderId="0" xfId="0" applyNumberFormat="1" applyFont="1" applyAlignment="1">
      <alignment horizontal="right" vertical="center"/>
    </xf>
    <xf numFmtId="2" fontId="21" fillId="0" borderId="0" xfId="0" applyNumberFormat="1" applyFont="1" applyAlignment="1">
      <alignment horizontal="right" vertical="center"/>
    </xf>
    <xf numFmtId="4" fontId="4" fillId="0" borderId="0" xfId="0" applyNumberFormat="1" applyFont="1" applyFill="1" applyBorder="1" applyAlignment="1">
      <alignment horizontal="right" vertical="center"/>
    </xf>
    <xf numFmtId="4" fontId="39" fillId="0" borderId="19" xfId="0" applyNumberFormat="1" applyFont="1" applyBorder="1" applyAlignment="1">
      <alignment vertical="center"/>
    </xf>
    <xf numFmtId="4" fontId="39" fillId="0" borderId="32" xfId="0" applyNumberFormat="1" applyFont="1" applyBorder="1" applyAlignment="1">
      <alignment vertical="center"/>
    </xf>
    <xf numFmtId="4" fontId="39" fillId="0" borderId="21" xfId="0" applyNumberFormat="1" applyFont="1" applyBorder="1" applyAlignment="1">
      <alignment vertical="center"/>
    </xf>
    <xf numFmtId="4" fontId="39" fillId="0" borderId="62" xfId="0" applyNumberFormat="1" applyFont="1" applyBorder="1" applyAlignment="1">
      <alignment vertical="center"/>
    </xf>
    <xf numFmtId="4" fontId="49" fillId="8" borderId="3" xfId="0" applyNumberFormat="1" applyFont="1" applyFill="1" applyBorder="1" applyAlignment="1">
      <alignment horizontal="right" vertical="center"/>
    </xf>
    <xf numFmtId="4" fontId="102" fillId="0" borderId="0" xfId="0" applyNumberFormat="1" applyFont="1" applyAlignment="1">
      <alignment vertical="center"/>
    </xf>
    <xf numFmtId="4" fontId="103" fillId="0" borderId="0" xfId="0" applyNumberFormat="1" applyFont="1" applyFill="1" applyAlignment="1">
      <alignment vertical="center"/>
    </xf>
    <xf numFmtId="4" fontId="34" fillId="3" borderId="0" xfId="0" applyNumberFormat="1" applyFont="1" applyFill="1" applyBorder="1" applyAlignment="1">
      <alignment horizontal="right" vertical="center" shrinkToFit="1"/>
    </xf>
    <xf numFmtId="4" fontId="0" fillId="4" borderId="0" xfId="0" applyNumberFormat="1" applyFill="1" applyAlignment="1">
      <alignment vertical="center"/>
    </xf>
    <xf numFmtId="0" fontId="20" fillId="0" borderId="0" xfId="0" applyFont="1" applyAlignment="1">
      <alignment horizontal="center" vertical="center"/>
    </xf>
    <xf numFmtId="0" fontId="21" fillId="0" borderId="0" xfId="0" applyFont="1" applyAlignment="1">
      <alignment horizontal="center" vertical="center"/>
    </xf>
    <xf numFmtId="2" fontId="26" fillId="0" borderId="0" xfId="0" applyNumberFormat="1" applyFont="1" applyAlignment="1">
      <alignment vertical="center"/>
    </xf>
    <xf numFmtId="0" fontId="54" fillId="0" borderId="0" xfId="1" applyFont="1" applyFill="1" applyBorder="1" applyAlignment="1">
      <alignment horizontal="justify" vertical="center" wrapText="1" shrinkToFit="1"/>
    </xf>
    <xf numFmtId="4" fontId="44" fillId="11" borderId="11" xfId="0" applyNumberFormat="1" applyFont="1" applyFill="1" applyBorder="1" applyAlignment="1">
      <alignment vertical="center" shrinkToFit="1"/>
    </xf>
    <xf numFmtId="4" fontId="44" fillId="11" borderId="3" xfId="0" applyNumberFormat="1" applyFont="1" applyFill="1" applyBorder="1" applyAlignment="1">
      <alignment vertical="center" shrinkToFit="1"/>
    </xf>
    <xf numFmtId="0" fontId="20" fillId="0" borderId="66" xfId="0" applyFont="1" applyFill="1" applyBorder="1" applyAlignment="1">
      <alignment vertical="center"/>
    </xf>
    <xf numFmtId="4" fontId="44" fillId="11" borderId="13" xfId="0" applyNumberFormat="1" applyFont="1" applyFill="1" applyBorder="1" applyAlignment="1">
      <alignment vertical="center" shrinkToFit="1"/>
    </xf>
    <xf numFmtId="4" fontId="89" fillId="0" borderId="27" xfId="0" applyNumberFormat="1" applyFont="1" applyFill="1" applyBorder="1" applyAlignment="1">
      <alignment vertical="center" wrapText="1" shrinkToFit="1"/>
    </xf>
    <xf numFmtId="4" fontId="91" fillId="3" borderId="0" xfId="0" applyNumberFormat="1" applyFont="1" applyFill="1" applyBorder="1" applyAlignment="1">
      <alignment vertical="center" wrapText="1" shrinkToFit="1"/>
    </xf>
    <xf numFmtId="4" fontId="94" fillId="0" borderId="0" xfId="0" applyNumberFormat="1" applyFont="1" applyAlignment="1">
      <alignment vertical="center"/>
    </xf>
    <xf numFmtId="0" fontId="91" fillId="3" borderId="0" xfId="0" applyFont="1" applyFill="1" applyAlignment="1">
      <alignment vertical="center" wrapText="1" shrinkToFit="1"/>
    </xf>
    <xf numFmtId="4" fontId="89" fillId="0" borderId="1" xfId="0" applyNumberFormat="1" applyFont="1" applyFill="1" applyBorder="1" applyAlignment="1">
      <alignment horizontal="center" vertical="center" shrinkToFit="1"/>
    </xf>
    <xf numFmtId="4" fontId="89" fillId="3" borderId="1" xfId="0" applyNumberFormat="1" applyFont="1" applyFill="1" applyBorder="1" applyAlignment="1">
      <alignment horizontal="center" vertical="center" shrinkToFit="1"/>
    </xf>
    <xf numFmtId="4" fontId="89" fillId="3" borderId="27" xfId="0" applyNumberFormat="1" applyFont="1" applyFill="1" applyBorder="1" applyAlignment="1">
      <alignment horizontal="center" vertical="center" shrinkToFit="1"/>
    </xf>
    <xf numFmtId="0" fontId="94" fillId="0" borderId="0" xfId="0" applyFont="1" applyAlignment="1">
      <alignment vertical="center"/>
    </xf>
    <xf numFmtId="4" fontId="89" fillId="3" borderId="0" xfId="0" applyNumberFormat="1" applyFont="1" applyFill="1" applyBorder="1" applyAlignment="1">
      <alignment vertical="center" shrinkToFit="1"/>
    </xf>
    <xf numFmtId="0" fontId="89" fillId="3" borderId="0" xfId="0" applyFont="1" applyFill="1" applyAlignment="1">
      <alignment vertical="center" wrapText="1" shrinkToFit="1"/>
    </xf>
    <xf numFmtId="0" fontId="89" fillId="3" borderId="0" xfId="0" applyFont="1" applyFill="1" applyAlignment="1">
      <alignment vertical="center" shrinkToFit="1"/>
    </xf>
    <xf numFmtId="0" fontId="91" fillId="3" borderId="0" xfId="0" applyFont="1" applyFill="1" applyAlignment="1">
      <alignment vertical="center" shrinkToFit="1"/>
    </xf>
    <xf numFmtId="4" fontId="89" fillId="3" borderId="0" xfId="0" applyNumberFormat="1" applyFont="1" applyFill="1" applyAlignment="1">
      <alignment vertical="center" wrapText="1" shrinkToFit="1"/>
    </xf>
    <xf numFmtId="4" fontId="89" fillId="3" borderId="2" xfId="0" applyNumberFormat="1" applyFont="1" applyFill="1" applyBorder="1" applyAlignment="1">
      <alignment horizontal="center" vertical="center" shrinkToFit="1"/>
    </xf>
    <xf numFmtId="4" fontId="69" fillId="4" borderId="0" xfId="0" applyNumberFormat="1" applyFont="1" applyFill="1" applyAlignment="1">
      <alignment vertical="center"/>
    </xf>
    <xf numFmtId="4" fontId="4" fillId="0" borderId="34" xfId="2" applyNumberFormat="1" applyFont="1" applyBorder="1" applyAlignment="1">
      <alignment vertical="center"/>
    </xf>
    <xf numFmtId="4" fontId="4" fillId="0" borderId="45" xfId="2" applyNumberFormat="1" applyFont="1" applyFill="1" applyBorder="1" applyAlignment="1">
      <alignment vertical="center" shrinkToFit="1"/>
    </xf>
    <xf numFmtId="4" fontId="4" fillId="0" borderId="55" xfId="2" applyNumberFormat="1" applyFont="1" applyFill="1" applyBorder="1" applyAlignment="1">
      <alignment vertical="center" shrinkToFit="1"/>
    </xf>
    <xf numFmtId="4" fontId="45" fillId="0" borderId="0" xfId="0" applyNumberFormat="1" applyFont="1" applyAlignment="1">
      <alignment vertical="center"/>
    </xf>
    <xf numFmtId="0" fontId="47" fillId="0" borderId="41" xfId="0" applyFont="1" applyBorder="1" applyAlignment="1">
      <alignment horizontal="justify" vertical="center" wrapText="1"/>
    </xf>
    <xf numFmtId="0" fontId="11" fillId="0" borderId="3" xfId="0" applyFont="1" applyBorder="1" applyAlignment="1">
      <alignment horizontal="right" vertical="center"/>
    </xf>
    <xf numFmtId="4" fontId="49" fillId="8" borderId="3" xfId="0" applyNumberFormat="1" applyFont="1" applyFill="1" applyBorder="1" applyAlignment="1">
      <alignment vertical="center"/>
    </xf>
    <xf numFmtId="4" fontId="24" fillId="0" borderId="65" xfId="0" applyNumberFormat="1" applyFont="1" applyFill="1" applyBorder="1" applyAlignment="1">
      <alignment vertical="center"/>
    </xf>
    <xf numFmtId="4" fontId="24" fillId="0" borderId="64" xfId="0" applyNumberFormat="1" applyFont="1" applyFill="1" applyBorder="1" applyAlignment="1">
      <alignment vertical="center"/>
    </xf>
    <xf numFmtId="0" fontId="100" fillId="0" borderId="63" xfId="1" applyFont="1" applyFill="1" applyBorder="1" applyAlignment="1">
      <alignment horizontal="justify" vertical="center" wrapText="1" shrinkToFit="1"/>
    </xf>
    <xf numFmtId="0" fontId="100" fillId="0" borderId="66" xfId="1" applyFont="1" applyFill="1" applyBorder="1" applyAlignment="1">
      <alignment horizontal="justify" vertical="center" wrapText="1" shrinkToFit="1"/>
    </xf>
    <xf numFmtId="0" fontId="100" fillId="0" borderId="40" xfId="1" applyFont="1" applyFill="1" applyBorder="1" applyAlignment="1">
      <alignment horizontal="justify" vertical="center" wrapText="1" shrinkToFit="1"/>
    </xf>
    <xf numFmtId="0" fontId="100" fillId="0" borderId="64" xfId="1" applyFont="1" applyFill="1" applyBorder="1" applyAlignment="1">
      <alignment horizontal="justify" vertical="center" wrapText="1" shrinkToFit="1"/>
    </xf>
    <xf numFmtId="49" fontId="23" fillId="9" borderId="1" xfId="5" applyNumberFormat="1" applyFont="1" applyFill="1" applyBorder="1" applyAlignment="1">
      <alignment horizontal="center" vertical="center" wrapText="1"/>
    </xf>
    <xf numFmtId="49" fontId="23" fillId="9" borderId="27" xfId="5" applyNumberFormat="1" applyFont="1" applyFill="1" applyBorder="1" applyAlignment="1">
      <alignment horizontal="center" vertical="center" wrapText="1"/>
    </xf>
    <xf numFmtId="49" fontId="23" fillId="9" borderId="73" xfId="5" applyNumberFormat="1" applyFont="1" applyFill="1" applyBorder="1" applyAlignment="1">
      <alignment horizontal="center" vertical="center" wrapText="1"/>
    </xf>
    <xf numFmtId="49" fontId="23" fillId="9" borderId="74" xfId="5" applyNumberFormat="1" applyFont="1" applyFill="1" applyBorder="1" applyAlignment="1">
      <alignment horizontal="center" vertical="center" wrapText="1"/>
    </xf>
    <xf numFmtId="4" fontId="94" fillId="0" borderId="0" xfId="0" applyNumberFormat="1" applyFont="1" applyFill="1" applyAlignment="1">
      <alignment vertical="center"/>
    </xf>
    <xf numFmtId="4" fontId="104" fillId="0" borderId="0" xfId="0" applyNumberFormat="1" applyFont="1" applyBorder="1" applyAlignment="1">
      <alignment vertical="center"/>
    </xf>
    <xf numFmtId="4" fontId="49" fillId="0" borderId="0" xfId="0" applyNumberFormat="1" applyFont="1" applyAlignment="1">
      <alignment vertical="center"/>
    </xf>
    <xf numFmtId="0" fontId="20" fillId="0" borderId="47" xfId="0" applyFont="1" applyFill="1" applyBorder="1" applyAlignment="1">
      <alignment vertical="center"/>
    </xf>
    <xf numFmtId="4" fontId="5" fillId="8" borderId="3" xfId="2" applyNumberFormat="1" applyFont="1" applyFill="1" applyBorder="1" applyAlignment="1">
      <alignment horizontal="center" vertical="center"/>
    </xf>
    <xf numFmtId="0" fontId="50" fillId="0" borderId="0" xfId="0" applyFont="1"/>
    <xf numFmtId="4" fontId="50" fillId="0" borderId="0" xfId="0" applyNumberFormat="1" applyFont="1"/>
    <xf numFmtId="0" fontId="78" fillId="0" borderId="0" xfId="2" applyFont="1" applyFill="1" applyBorder="1" applyAlignment="1">
      <alignment horizontal="center" vertical="center"/>
    </xf>
    <xf numFmtId="0" fontId="93" fillId="0" borderId="0" xfId="2" applyFont="1" applyFill="1" applyBorder="1" applyAlignment="1">
      <alignment horizontal="center" vertical="center" wrapText="1"/>
    </xf>
    <xf numFmtId="0" fontId="16" fillId="0" borderId="66" xfId="1" applyFont="1" applyFill="1" applyBorder="1" applyAlignment="1">
      <alignment horizontal="center" vertical="center" shrinkToFit="1"/>
    </xf>
    <xf numFmtId="164" fontId="16" fillId="0" borderId="56" xfId="1" applyNumberFormat="1" applyFont="1" applyFill="1" applyBorder="1" applyAlignment="1">
      <alignment horizontal="center" vertical="center" shrinkToFit="1"/>
    </xf>
    <xf numFmtId="2" fontId="51" fillId="0" borderId="0" xfId="0" applyNumberFormat="1" applyFont="1" applyFill="1" applyBorder="1" applyAlignment="1">
      <alignment vertical="center" wrapText="1"/>
    </xf>
    <xf numFmtId="4" fontId="4" fillId="0" borderId="8" xfId="1" applyNumberFormat="1" applyFont="1" applyFill="1" applyBorder="1" applyAlignment="1">
      <alignment vertical="center" shrinkToFit="1"/>
    </xf>
    <xf numFmtId="0" fontId="20" fillId="0" borderId="45" xfId="0" applyFont="1" applyFill="1" applyBorder="1" applyAlignment="1">
      <alignment vertical="center"/>
    </xf>
    <xf numFmtId="0" fontId="16" fillId="0" borderId="44" xfId="1" applyFont="1" applyFill="1" applyBorder="1" applyAlignment="1">
      <alignment horizontal="center" vertical="center" shrinkToFit="1"/>
    </xf>
    <xf numFmtId="0" fontId="12" fillId="0" borderId="44" xfId="2" applyFont="1" applyFill="1" applyBorder="1" applyAlignment="1">
      <alignment horizontal="center" vertical="center" shrinkToFit="1"/>
    </xf>
    <xf numFmtId="0" fontId="12" fillId="0" borderId="40" xfId="1" applyFont="1" applyFill="1" applyBorder="1" applyAlignment="1">
      <alignment horizontal="left" vertical="center" shrinkToFit="1"/>
    </xf>
    <xf numFmtId="0" fontId="16" fillId="0" borderId="45" xfId="1" applyFont="1" applyFill="1" applyBorder="1" applyAlignment="1">
      <alignment vertical="center" shrinkToFit="1"/>
    </xf>
    <xf numFmtId="4" fontId="39" fillId="0" borderId="1" xfId="0" applyNumberFormat="1" applyFont="1" applyBorder="1" applyAlignment="1">
      <alignment vertical="center"/>
    </xf>
    <xf numFmtId="4" fontId="20" fillId="0" borderId="0" xfId="0" applyNumberFormat="1" applyFont="1" applyAlignment="1">
      <alignment horizontal="center" vertical="center"/>
    </xf>
    <xf numFmtId="4" fontId="69" fillId="0" borderId="0" xfId="0" applyNumberFormat="1" applyFont="1" applyAlignment="1">
      <alignment vertical="center"/>
    </xf>
    <xf numFmtId="4" fontId="105" fillId="0" borderId="0" xfId="0" applyNumberFormat="1" applyFont="1" applyFill="1" applyAlignment="1">
      <alignment vertical="center"/>
    </xf>
    <xf numFmtId="14" fontId="2" fillId="0" borderId="56" xfId="1" applyNumberFormat="1" applyFont="1" applyFill="1" applyBorder="1" applyAlignment="1">
      <alignment horizontal="center" vertical="center" shrinkToFit="1"/>
    </xf>
    <xf numFmtId="4" fontId="4" fillId="0" borderId="66" xfId="1" applyNumberFormat="1" applyFont="1" applyFill="1" applyBorder="1" applyAlignment="1">
      <alignment vertical="center" shrinkToFit="1"/>
    </xf>
    <xf numFmtId="0" fontId="101" fillId="0" borderId="45" xfId="1" applyFont="1" applyFill="1" applyBorder="1" applyAlignment="1">
      <alignment vertical="center" shrinkToFit="1"/>
    </xf>
    <xf numFmtId="49" fontId="101" fillId="0" borderId="45" xfId="1" applyNumberFormat="1" applyFont="1" applyFill="1" applyBorder="1" applyAlignment="1">
      <alignment horizontal="left" vertical="center" shrinkToFit="1"/>
    </xf>
    <xf numFmtId="4" fontId="101" fillId="0" borderId="45" xfId="1" applyNumberFormat="1" applyFont="1" applyFill="1" applyBorder="1" applyAlignment="1">
      <alignment horizontal="left" vertical="center" shrinkToFit="1"/>
    </xf>
    <xf numFmtId="4" fontId="4" fillId="3" borderId="40" xfId="1" applyNumberFormat="1" applyFont="1" applyFill="1" applyBorder="1" applyAlignment="1">
      <alignment vertical="center" shrinkToFit="1"/>
    </xf>
    <xf numFmtId="14" fontId="12" fillId="3" borderId="66" xfId="1" applyNumberFormat="1" applyFont="1" applyFill="1" applyBorder="1" applyAlignment="1">
      <alignment horizontal="center" vertical="center" shrinkToFit="1"/>
    </xf>
    <xf numFmtId="4" fontId="4" fillId="3" borderId="66" xfId="1" applyNumberFormat="1" applyFont="1" applyFill="1" applyBorder="1" applyAlignment="1">
      <alignment vertical="center" shrinkToFit="1"/>
    </xf>
    <xf numFmtId="0" fontId="20" fillId="0" borderId="31" xfId="0" applyFont="1" applyBorder="1" applyAlignment="1">
      <alignment horizontal="center" vertical="center"/>
    </xf>
    <xf numFmtId="0" fontId="20" fillId="0" borderId="44" xfId="0" applyFont="1" applyFill="1" applyBorder="1" applyAlignment="1">
      <alignment vertical="center"/>
    </xf>
    <xf numFmtId="0" fontId="20" fillId="0" borderId="56" xfId="0" applyFont="1" applyFill="1" applyBorder="1" applyAlignment="1">
      <alignment vertical="center"/>
    </xf>
    <xf numFmtId="0" fontId="20" fillId="0" borderId="8" xfId="0" applyFont="1" applyFill="1" applyBorder="1" applyAlignment="1">
      <alignment vertical="center"/>
    </xf>
    <xf numFmtId="0" fontId="106" fillId="0" borderId="40" xfId="0" applyFont="1" applyFill="1" applyBorder="1" applyAlignment="1">
      <alignment vertical="center"/>
    </xf>
    <xf numFmtId="4" fontId="11" fillId="0" borderId="40" xfId="1" applyNumberFormat="1" applyFont="1" applyFill="1" applyBorder="1" applyAlignment="1">
      <alignment vertical="center" shrinkToFit="1"/>
    </xf>
    <xf numFmtId="4" fontId="11" fillId="3" borderId="8" xfId="1" applyNumberFormat="1" applyFont="1" applyFill="1" applyBorder="1" applyAlignment="1">
      <alignment vertical="center" shrinkToFit="1"/>
    </xf>
    <xf numFmtId="4" fontId="11" fillId="3" borderId="66" xfId="1" applyNumberFormat="1" applyFont="1" applyFill="1" applyBorder="1" applyAlignment="1">
      <alignment vertical="center" shrinkToFit="1"/>
    </xf>
    <xf numFmtId="4" fontId="11" fillId="3" borderId="45" xfId="1" applyNumberFormat="1" applyFont="1" applyFill="1" applyBorder="1" applyAlignment="1">
      <alignment vertical="center" shrinkToFit="1"/>
    </xf>
    <xf numFmtId="4" fontId="11" fillId="3" borderId="40" xfId="1" applyNumberFormat="1" applyFont="1" applyFill="1" applyBorder="1" applyAlignment="1">
      <alignment vertical="center" shrinkToFit="1"/>
    </xf>
    <xf numFmtId="4" fontId="11" fillId="0" borderId="45" xfId="1" applyNumberFormat="1" applyFont="1" applyFill="1" applyBorder="1" applyAlignment="1">
      <alignment vertical="center" shrinkToFit="1"/>
    </xf>
    <xf numFmtId="0" fontId="35" fillId="0" borderId="45" xfId="0" applyFont="1" applyFill="1" applyBorder="1" applyAlignment="1">
      <alignment vertical="center"/>
    </xf>
    <xf numFmtId="0" fontId="35" fillId="0" borderId="40" xfId="0" applyFont="1" applyFill="1" applyBorder="1" applyAlignment="1">
      <alignment vertical="center"/>
    </xf>
    <xf numFmtId="4" fontId="35" fillId="0" borderId="45" xfId="0" applyNumberFormat="1" applyFont="1" applyFill="1" applyBorder="1" applyAlignment="1">
      <alignment vertical="center"/>
    </xf>
    <xf numFmtId="4" fontId="35" fillId="0" borderId="40" xfId="0" applyNumberFormat="1" applyFont="1" applyFill="1" applyBorder="1" applyAlignment="1">
      <alignment vertical="center"/>
    </xf>
    <xf numFmtId="0" fontId="35" fillId="0" borderId="66" xfId="0" applyFont="1" applyFill="1" applyBorder="1" applyAlignment="1">
      <alignment vertical="center"/>
    </xf>
    <xf numFmtId="4" fontId="35" fillId="0" borderId="66" xfId="0" applyNumberFormat="1" applyFont="1" applyFill="1" applyBorder="1" applyAlignment="1">
      <alignment vertical="center"/>
    </xf>
    <xf numFmtId="4" fontId="87" fillId="0" borderId="40" xfId="0" applyNumberFormat="1" applyFont="1" applyFill="1" applyBorder="1" applyAlignment="1">
      <alignment vertical="center"/>
    </xf>
    <xf numFmtId="4" fontId="80" fillId="0" borderId="40" xfId="1" applyNumberFormat="1" applyFont="1" applyFill="1" applyBorder="1" applyAlignment="1">
      <alignment vertical="center" shrinkToFit="1"/>
    </xf>
    <xf numFmtId="4" fontId="80" fillId="0" borderId="45" xfId="1" applyNumberFormat="1" applyFont="1" applyFill="1" applyBorder="1" applyAlignment="1">
      <alignment horizontal="left" vertical="center" shrinkToFit="1"/>
    </xf>
    <xf numFmtId="4" fontId="80" fillId="0" borderId="45" xfId="2" applyNumberFormat="1" applyFont="1" applyFill="1" applyBorder="1" applyAlignment="1">
      <alignment horizontal="left" vertical="center" shrinkToFit="1"/>
    </xf>
    <xf numFmtId="4" fontId="80" fillId="0" borderId="45" xfId="2" applyNumberFormat="1" applyFont="1" applyFill="1" applyBorder="1" applyAlignment="1">
      <alignment horizontal="left" vertical="center"/>
    </xf>
    <xf numFmtId="4" fontId="80" fillId="0" borderId="45" xfId="2" applyNumberFormat="1" applyFont="1" applyFill="1" applyBorder="1" applyAlignment="1">
      <alignment horizontal="right" vertical="center"/>
    </xf>
    <xf numFmtId="4" fontId="107" fillId="0" borderId="45" xfId="1" applyNumberFormat="1" applyFont="1" applyFill="1" applyBorder="1" applyAlignment="1">
      <alignment horizontal="right" vertical="center" shrinkToFit="1"/>
    </xf>
    <xf numFmtId="0" fontId="39" fillId="0" borderId="40" xfId="0" applyFont="1" applyFill="1" applyBorder="1" applyAlignment="1">
      <alignment vertical="center"/>
    </xf>
    <xf numFmtId="0" fontId="39" fillId="0" borderId="66" xfId="0" applyFont="1" applyFill="1" applyBorder="1" applyAlignment="1">
      <alignment vertical="center"/>
    </xf>
    <xf numFmtId="4" fontId="39" fillId="0" borderId="40" xfId="0" applyNumberFormat="1" applyFont="1" applyFill="1" applyBorder="1" applyAlignment="1">
      <alignment vertical="center"/>
    </xf>
    <xf numFmtId="4" fontId="80" fillId="0" borderId="66" xfId="1" applyNumberFormat="1" applyFont="1" applyFill="1" applyBorder="1" applyAlignment="1">
      <alignment horizontal="right" vertical="center" shrinkToFit="1"/>
    </xf>
    <xf numFmtId="4" fontId="11" fillId="0" borderId="66" xfId="1" applyNumberFormat="1" applyFont="1" applyFill="1" applyBorder="1" applyAlignment="1">
      <alignment horizontal="right" vertical="center" shrinkToFit="1"/>
    </xf>
    <xf numFmtId="4" fontId="11" fillId="0" borderId="40" xfId="1" applyNumberFormat="1" applyFont="1" applyFill="1" applyBorder="1" applyAlignment="1">
      <alignment horizontal="right" vertical="center" shrinkToFit="1"/>
    </xf>
    <xf numFmtId="0" fontId="11" fillId="0" borderId="40" xfId="1" applyFont="1" applyFill="1" applyBorder="1" applyAlignment="1">
      <alignment horizontal="right" vertical="center" shrinkToFit="1"/>
    </xf>
    <xf numFmtId="4" fontId="11" fillId="0" borderId="51" xfId="1" applyNumberFormat="1" applyFont="1" applyFill="1" applyBorder="1" applyAlignment="1">
      <alignment horizontal="right" vertical="center" shrinkToFit="1"/>
    </xf>
    <xf numFmtId="0" fontId="11" fillId="0" borderId="40" xfId="1" applyFont="1" applyFill="1" applyBorder="1" applyAlignment="1">
      <alignment horizontal="center" vertical="center" shrinkToFit="1"/>
    </xf>
    <xf numFmtId="0" fontId="11" fillId="0" borderId="51" xfId="1" applyFont="1" applyFill="1" applyBorder="1" applyAlignment="1">
      <alignment horizontal="center" vertical="center" shrinkToFit="1"/>
    </xf>
    <xf numFmtId="0" fontId="11" fillId="0" borderId="8" xfId="1" applyFont="1" applyFill="1" applyBorder="1" applyAlignment="1">
      <alignment horizontal="center" vertical="center" shrinkToFit="1"/>
    </xf>
    <xf numFmtId="4" fontId="11" fillId="0" borderId="45" xfId="0" applyNumberFormat="1" applyFont="1" applyFill="1" applyBorder="1" applyAlignment="1">
      <alignment vertical="center" shrinkToFit="1"/>
    </xf>
    <xf numFmtId="0" fontId="12" fillId="0" borderId="45" xfId="1" applyFont="1" applyFill="1" applyBorder="1" applyAlignment="1">
      <alignment horizontal="center" vertical="center" shrinkToFit="1"/>
    </xf>
    <xf numFmtId="4" fontId="34" fillId="0" borderId="1" xfId="0" applyNumberFormat="1" applyFont="1" applyBorder="1" applyAlignment="1">
      <alignment vertical="center"/>
    </xf>
    <xf numFmtId="4" fontId="49" fillId="10" borderId="13" xfId="0" applyNumberFormat="1" applyFont="1" applyFill="1" applyBorder="1" applyAlignment="1">
      <alignment vertical="center"/>
    </xf>
    <xf numFmtId="0" fontId="5" fillId="0" borderId="44" xfId="1" applyFont="1" applyFill="1" applyBorder="1" applyAlignment="1">
      <alignment horizontal="center" vertical="center" shrinkToFit="1"/>
    </xf>
    <xf numFmtId="4" fontId="45" fillId="0" borderId="1" xfId="0" applyNumberFormat="1" applyFont="1" applyBorder="1" applyAlignment="1">
      <alignment vertical="center"/>
    </xf>
    <xf numFmtId="4" fontId="24" fillId="0" borderId="1" xfId="0" applyNumberFormat="1" applyFont="1" applyBorder="1" applyAlignment="1">
      <alignment vertical="center"/>
    </xf>
    <xf numFmtId="4" fontId="45" fillId="0" borderId="19" xfId="0" applyNumberFormat="1" applyFont="1" applyBorder="1" applyAlignment="1">
      <alignment vertical="center"/>
    </xf>
    <xf numFmtId="4" fontId="45" fillId="0" borderId="21" xfId="0" applyNumberFormat="1" applyFont="1" applyBorder="1" applyAlignment="1">
      <alignment vertical="center"/>
    </xf>
    <xf numFmtId="4" fontId="45" fillId="0" borderId="62" xfId="0" applyNumberFormat="1" applyFont="1" applyBorder="1" applyAlignment="1">
      <alignment vertical="center"/>
    </xf>
    <xf numFmtId="4" fontId="45" fillId="0" borderId="32" xfId="0" applyNumberFormat="1" applyFont="1" applyBorder="1" applyAlignment="1">
      <alignment vertical="center"/>
    </xf>
    <xf numFmtId="4" fontId="26" fillId="0" borderId="0" xfId="0" applyNumberFormat="1" applyFont="1"/>
    <xf numFmtId="4" fontId="45" fillId="0" borderId="10" xfId="0" applyNumberFormat="1" applyFont="1" applyBorder="1" applyAlignment="1">
      <alignment vertical="center"/>
    </xf>
    <xf numFmtId="4" fontId="20" fillId="0" borderId="10" xfId="0" applyNumberFormat="1" applyFont="1" applyBorder="1" applyAlignment="1">
      <alignment horizontal="center" vertical="center"/>
    </xf>
    <xf numFmtId="4" fontId="20" fillId="0" borderId="10" xfId="0" applyNumberFormat="1" applyFont="1" applyBorder="1" applyAlignment="1">
      <alignment vertical="center"/>
    </xf>
    <xf numFmtId="0" fontId="21" fillId="10" borderId="3" xfId="0" applyFont="1" applyFill="1" applyBorder="1" applyAlignment="1">
      <alignment horizontal="center" vertical="center"/>
    </xf>
    <xf numFmtId="0" fontId="55" fillId="10" borderId="3" xfId="0" applyFont="1" applyFill="1" applyBorder="1" applyAlignment="1">
      <alignment horizontal="center" vertical="center"/>
    </xf>
    <xf numFmtId="164" fontId="4" fillId="0" borderId="0" xfId="1" applyNumberFormat="1" applyFont="1" applyFill="1" applyBorder="1" applyAlignment="1">
      <alignment horizontal="center" vertical="center" shrinkToFit="1"/>
    </xf>
    <xf numFmtId="49" fontId="12" fillId="0" borderId="0" xfId="1" applyNumberFormat="1" applyFont="1" applyFill="1" applyBorder="1" applyAlignment="1">
      <alignment horizontal="center" vertical="center" shrinkToFit="1"/>
    </xf>
    <xf numFmtId="14" fontId="12" fillId="0" borderId="0" xfId="1" applyNumberFormat="1" applyFont="1" applyFill="1" applyBorder="1" applyAlignment="1">
      <alignment horizontal="center" vertical="center" shrinkToFit="1"/>
    </xf>
    <xf numFmtId="164" fontId="12" fillId="0" borderId="0" xfId="1" applyNumberFormat="1" applyFont="1" applyFill="1" applyBorder="1" applyAlignment="1">
      <alignment horizontal="center" vertical="center" shrinkToFit="1"/>
    </xf>
    <xf numFmtId="164" fontId="16" fillId="0" borderId="0" xfId="1" applyNumberFormat="1" applyFont="1" applyFill="1" applyBorder="1" applyAlignment="1">
      <alignment horizontal="center" vertical="center" shrinkToFit="1"/>
    </xf>
    <xf numFmtId="4" fontId="11" fillId="0" borderId="8" xfId="1" applyNumberFormat="1" applyFont="1" applyFill="1" applyBorder="1" applyAlignment="1">
      <alignment horizontal="right" vertical="center" shrinkToFit="1"/>
    </xf>
    <xf numFmtId="0" fontId="5" fillId="0" borderId="40" xfId="1" applyFont="1" applyFill="1" applyBorder="1" applyAlignment="1">
      <alignment horizontal="right" vertical="center" shrinkToFit="1"/>
    </xf>
    <xf numFmtId="4" fontId="80" fillId="0" borderId="66" xfId="1" applyNumberFormat="1" applyFont="1" applyFill="1" applyBorder="1" applyAlignment="1">
      <alignment vertical="center" shrinkToFit="1"/>
    </xf>
    <xf numFmtId="4" fontId="11" fillId="0" borderId="47" xfId="1" applyNumberFormat="1" applyFont="1" applyFill="1" applyBorder="1" applyAlignment="1">
      <alignment horizontal="right" vertical="center" shrinkToFit="1"/>
    </xf>
    <xf numFmtId="0" fontId="16" fillId="0" borderId="44" xfId="1" applyFont="1" applyFill="1" applyBorder="1" applyAlignment="1">
      <alignment horizontal="justify" vertical="center" wrapText="1" shrinkToFit="1"/>
    </xf>
    <xf numFmtId="0" fontId="35" fillId="0" borderId="8" xfId="0" applyFont="1" applyFill="1" applyBorder="1" applyAlignment="1">
      <alignment vertical="center"/>
    </xf>
    <xf numFmtId="0" fontId="5" fillId="0" borderId="40" xfId="1" applyFont="1" applyFill="1" applyBorder="1" applyAlignment="1">
      <alignment horizontal="center" vertical="center" shrinkToFit="1"/>
    </xf>
    <xf numFmtId="4" fontId="51" fillId="0" borderId="0" xfId="0" applyNumberFormat="1" applyFont="1" applyFill="1"/>
    <xf numFmtId="164" fontId="45" fillId="0" borderId="44" xfId="1" applyNumberFormat="1" applyFont="1" applyFill="1" applyBorder="1" applyAlignment="1">
      <alignment horizontal="center" vertical="center" shrinkToFit="1"/>
    </xf>
    <xf numFmtId="0" fontId="16" fillId="0" borderId="40" xfId="1" applyFont="1" applyFill="1" applyBorder="1" applyAlignment="1">
      <alignment horizontal="justify" vertical="center" wrapText="1" shrinkToFit="1"/>
    </xf>
    <xf numFmtId="0" fontId="12" fillId="0" borderId="0" xfId="1" applyFont="1" applyFill="1" applyBorder="1" applyAlignment="1">
      <alignment horizontal="center" vertical="center" shrinkToFit="1"/>
    </xf>
    <xf numFmtId="4" fontId="12" fillId="0" borderId="0" xfId="1" applyNumberFormat="1" applyFont="1" applyFill="1" applyBorder="1" applyAlignment="1">
      <alignment horizontal="center" vertical="center" shrinkToFit="1"/>
    </xf>
    <xf numFmtId="0" fontId="44" fillId="0" borderId="0" xfId="0" applyFont="1" applyFill="1" applyBorder="1" applyAlignment="1">
      <alignment horizontal="center" vertical="center"/>
    </xf>
    <xf numFmtId="0" fontId="20" fillId="0" borderId="0" xfId="0" applyFont="1" applyAlignment="1">
      <alignment horizontal="center" vertical="center"/>
    </xf>
    <xf numFmtId="4" fontId="36" fillId="0" borderId="10" xfId="5" applyNumberFormat="1" applyFont="1" applyFill="1" applyBorder="1" applyAlignment="1">
      <alignment horizontal="right" vertical="center"/>
    </xf>
    <xf numFmtId="4" fontId="36" fillId="0" borderId="15" xfId="5" applyNumberFormat="1" applyFont="1" applyFill="1" applyBorder="1" applyAlignment="1">
      <alignment horizontal="right" vertical="center"/>
    </xf>
    <xf numFmtId="4" fontId="5" fillId="0" borderId="0" xfId="1" applyNumberFormat="1" applyFont="1" applyFill="1" applyBorder="1" applyAlignment="1">
      <alignment vertical="center" shrinkToFit="1"/>
    </xf>
    <xf numFmtId="164" fontId="12" fillId="8" borderId="60" xfId="1" applyNumberFormat="1" applyFont="1" applyFill="1" applyBorder="1" applyAlignment="1">
      <alignment horizontal="center" vertical="center" shrinkToFit="1"/>
    </xf>
    <xf numFmtId="166" fontId="16" fillId="0" borderId="43" xfId="1" applyNumberFormat="1" applyFont="1" applyFill="1" applyBorder="1" applyAlignment="1">
      <alignment horizontal="center" vertical="center" shrinkToFit="1"/>
    </xf>
    <xf numFmtId="0" fontId="4" fillId="0" borderId="43" xfId="1" applyFont="1" applyFill="1" applyBorder="1" applyAlignment="1">
      <alignment horizontal="center" vertical="center" wrapText="1" shrinkToFit="1"/>
    </xf>
    <xf numFmtId="0" fontId="3" fillId="0" borderId="63" xfId="1" applyFont="1" applyFill="1" applyBorder="1" applyAlignment="1">
      <alignment horizontal="center" vertical="center" wrapText="1" shrinkToFit="1"/>
    </xf>
    <xf numFmtId="4" fontId="2" fillId="0" borderId="50" xfId="1" applyNumberFormat="1" applyFont="1" applyFill="1" applyBorder="1" applyAlignment="1">
      <alignment vertical="center" shrinkToFit="1"/>
    </xf>
    <xf numFmtId="178" fontId="4" fillId="0" borderId="44" xfId="2" applyNumberFormat="1" applyFont="1" applyFill="1" applyBorder="1" applyAlignment="1">
      <alignment horizontal="center" vertical="center" shrinkToFit="1"/>
    </xf>
    <xf numFmtId="0" fontId="5" fillId="0" borderId="44" xfId="1" applyFont="1" applyFill="1" applyBorder="1" applyAlignment="1">
      <alignment horizontal="center" vertical="center" wrapText="1" shrinkToFit="1"/>
    </xf>
    <xf numFmtId="4" fontId="20" fillId="0" borderId="30" xfId="0" applyNumberFormat="1" applyFont="1" applyFill="1" applyBorder="1" applyAlignment="1">
      <alignment vertical="center"/>
    </xf>
    <xf numFmtId="0" fontId="38" fillId="0" borderId="30" xfId="0" applyFont="1" applyFill="1" applyBorder="1" applyAlignment="1">
      <alignment vertical="center"/>
    </xf>
    <xf numFmtId="178" fontId="4" fillId="0" borderId="44" xfId="1" applyNumberFormat="1" applyFont="1" applyFill="1" applyBorder="1" applyAlignment="1">
      <alignment horizontal="center" vertical="center" shrinkToFit="1"/>
    </xf>
    <xf numFmtId="0" fontId="12" fillId="0" borderId="40" xfId="1" applyNumberFormat="1" applyFont="1" applyFill="1" applyBorder="1" applyAlignment="1">
      <alignment horizontal="justify" vertical="center" wrapText="1" shrinkToFit="1"/>
    </xf>
    <xf numFmtId="4" fontId="5" fillId="0" borderId="30" xfId="1" applyNumberFormat="1" applyFont="1" applyFill="1" applyBorder="1" applyAlignment="1">
      <alignment vertical="center" shrinkToFit="1"/>
    </xf>
    <xf numFmtId="0" fontId="4" fillId="0" borderId="44" xfId="1" applyFont="1" applyFill="1" applyBorder="1" applyAlignment="1">
      <alignment horizontal="center" vertical="center" wrapText="1" shrinkToFit="1"/>
    </xf>
    <xf numFmtId="0" fontId="12" fillId="0" borderId="40" xfId="1" applyFont="1" applyFill="1" applyBorder="1" applyAlignment="1">
      <alignment horizontal="justify" vertical="center" wrapText="1" shrinkToFit="1"/>
    </xf>
    <xf numFmtId="0" fontId="42" fillId="0" borderId="40" xfId="0" applyFont="1" applyBorder="1" applyAlignment="1">
      <alignment horizontal="justify" vertical="center" wrapText="1"/>
    </xf>
    <xf numFmtId="4" fontId="20" fillId="0" borderId="30" xfId="0" applyNumberFormat="1" applyFont="1" applyFill="1" applyBorder="1" applyAlignment="1">
      <alignment vertical="center" wrapText="1"/>
    </xf>
    <xf numFmtId="4" fontId="20" fillId="0" borderId="30" xfId="0" applyNumberFormat="1" applyFont="1" applyBorder="1" applyAlignment="1">
      <alignment vertical="center" wrapText="1"/>
    </xf>
    <xf numFmtId="0" fontId="20" fillId="0" borderId="30" xfId="0" applyFont="1" applyBorder="1" applyAlignment="1">
      <alignment vertical="center"/>
    </xf>
    <xf numFmtId="0" fontId="12" fillId="0" borderId="40" xfId="1" applyFont="1" applyFill="1" applyBorder="1" applyAlignment="1">
      <alignment horizontal="justify" vertical="center" wrapText="1"/>
    </xf>
    <xf numFmtId="0" fontId="20" fillId="0" borderId="38" xfId="0" applyFont="1" applyBorder="1" applyAlignment="1">
      <alignment vertical="center"/>
    </xf>
    <xf numFmtId="4" fontId="4" fillId="0" borderId="30" xfId="1" applyNumberFormat="1" applyFont="1" applyFill="1" applyBorder="1" applyAlignment="1">
      <alignment vertical="center" wrapText="1" shrinkToFit="1"/>
    </xf>
    <xf numFmtId="169" fontId="5" fillId="0" borderId="30" xfId="1" applyNumberFormat="1" applyFont="1" applyFill="1" applyBorder="1" applyAlignment="1">
      <alignment vertical="center" shrinkToFit="1"/>
    </xf>
    <xf numFmtId="0" fontId="42" fillId="0" borderId="40" xfId="0" applyFont="1" applyBorder="1" applyAlignment="1">
      <alignment horizontal="justify" vertical="center" wrapText="1" shrinkToFit="1"/>
    </xf>
    <xf numFmtId="4" fontId="20" fillId="0" borderId="30" xfId="0" applyNumberFormat="1" applyFont="1" applyBorder="1" applyAlignment="1">
      <alignment vertical="center"/>
    </xf>
    <xf numFmtId="0" fontId="21" fillId="0" borderId="44" xfId="0" applyFont="1" applyBorder="1" applyAlignment="1">
      <alignment horizontal="center" vertical="center" wrapText="1"/>
    </xf>
    <xf numFmtId="0" fontId="108" fillId="0" borderId="40" xfId="0" applyFont="1" applyBorder="1" applyAlignment="1">
      <alignment vertical="center" wrapText="1"/>
    </xf>
    <xf numFmtId="4" fontId="21" fillId="0" borderId="30" xfId="0" applyNumberFormat="1" applyFont="1" applyFill="1" applyBorder="1" applyAlignment="1">
      <alignment vertical="center"/>
    </xf>
    <xf numFmtId="178" fontId="20" fillId="0" borderId="44" xfId="0" applyNumberFormat="1" applyFont="1" applyFill="1" applyBorder="1" applyAlignment="1">
      <alignment horizontal="center" vertical="center"/>
    </xf>
    <xf numFmtId="0" fontId="20" fillId="0" borderId="44" xfId="0" applyFont="1" applyBorder="1" applyAlignment="1">
      <alignment horizontal="center" vertical="center" wrapText="1"/>
    </xf>
    <xf numFmtId="4" fontId="108" fillId="0" borderId="40" xfId="0" applyNumberFormat="1" applyFont="1" applyBorder="1" applyAlignment="1">
      <alignment horizontal="justify" vertical="center" wrapText="1"/>
    </xf>
    <xf numFmtId="4" fontId="5" fillId="0" borderId="30" xfId="1" applyNumberFormat="1" applyFont="1" applyFill="1" applyBorder="1" applyAlignment="1">
      <alignment horizontal="right" vertical="center" wrapText="1"/>
    </xf>
    <xf numFmtId="0" fontId="42" fillId="0" borderId="40" xfId="0" applyFont="1" applyBorder="1" applyAlignment="1">
      <alignment vertical="center"/>
    </xf>
    <xf numFmtId="4" fontId="4" fillId="0" borderId="30" xfId="1" applyNumberFormat="1" applyFont="1" applyFill="1" applyBorder="1" applyAlignment="1">
      <alignment horizontal="right" vertical="center" wrapText="1"/>
    </xf>
    <xf numFmtId="171" fontId="20" fillId="0" borderId="30" xfId="0" applyNumberFormat="1" applyFont="1" applyFill="1" applyBorder="1" applyAlignment="1">
      <alignment vertical="center"/>
    </xf>
    <xf numFmtId="4" fontId="4" fillId="0" borderId="30" xfId="1" applyNumberFormat="1" applyFont="1" applyFill="1" applyBorder="1" applyAlignment="1">
      <alignment horizontal="right" vertical="center" wrapText="1" shrinkToFit="1"/>
    </xf>
    <xf numFmtId="169" fontId="20" fillId="0" borderId="0" xfId="0" applyNumberFormat="1" applyFont="1" applyFill="1" applyAlignment="1">
      <alignment vertical="center"/>
    </xf>
    <xf numFmtId="0" fontId="16" fillId="0" borderId="40" xfId="1" applyFont="1" applyFill="1" applyBorder="1" applyAlignment="1">
      <alignment horizontal="justify" vertical="center" wrapText="1"/>
    </xf>
    <xf numFmtId="4" fontId="40" fillId="0" borderId="30" xfId="0" applyNumberFormat="1" applyFont="1" applyFill="1" applyBorder="1" applyAlignment="1">
      <alignment vertical="center"/>
    </xf>
    <xf numFmtId="0" fontId="21" fillId="0" borderId="30" xfId="0" applyFont="1" applyFill="1" applyBorder="1" applyAlignment="1">
      <alignment vertical="center"/>
    </xf>
    <xf numFmtId="4" fontId="2" fillId="0" borderId="30" xfId="1" applyNumberFormat="1" applyFont="1" applyFill="1" applyBorder="1" applyAlignment="1">
      <alignment vertical="center" shrinkToFit="1"/>
    </xf>
    <xf numFmtId="178" fontId="20" fillId="0" borderId="55" xfId="0" applyNumberFormat="1" applyFont="1" applyFill="1" applyBorder="1" applyAlignment="1">
      <alignment horizontal="center" vertical="center"/>
    </xf>
    <xf numFmtId="0" fontId="5" fillId="0" borderId="55" xfId="1" applyFont="1" applyFill="1" applyBorder="1" applyAlignment="1">
      <alignment horizontal="center" vertical="center" shrinkToFit="1"/>
    </xf>
    <xf numFmtId="0" fontId="12" fillId="0" borderId="64" xfId="1" applyFont="1" applyFill="1" applyBorder="1" applyAlignment="1">
      <alignment horizontal="left" vertical="center" wrapText="1" shrinkToFit="1"/>
    </xf>
    <xf numFmtId="4" fontId="40" fillId="0" borderId="68" xfId="0" applyNumberFormat="1" applyFont="1" applyFill="1" applyBorder="1" applyAlignment="1">
      <alignment vertical="center"/>
    </xf>
    <xf numFmtId="4" fontId="20" fillId="0" borderId="68" xfId="0" applyNumberFormat="1" applyFont="1" applyFill="1" applyBorder="1" applyAlignment="1">
      <alignment vertical="center"/>
    </xf>
    <xf numFmtId="4" fontId="21" fillId="0" borderId="68" xfId="0" applyNumberFormat="1" applyFont="1" applyFill="1" applyBorder="1" applyAlignment="1">
      <alignment vertical="center"/>
    </xf>
    <xf numFmtId="4" fontId="21" fillId="11" borderId="9" xfId="0" applyNumberFormat="1" applyFont="1" applyFill="1" applyBorder="1" applyAlignment="1">
      <alignment vertical="center"/>
    </xf>
    <xf numFmtId="4" fontId="21" fillId="11" borderId="62" xfId="0" applyNumberFormat="1" applyFont="1" applyFill="1" applyBorder="1" applyAlignment="1">
      <alignment vertical="center"/>
    </xf>
    <xf numFmtId="166" fontId="40" fillId="0" borderId="14" xfId="0" applyNumberFormat="1" applyFont="1" applyFill="1" applyBorder="1" applyAlignment="1">
      <alignment horizontal="center" vertical="center"/>
    </xf>
    <xf numFmtId="0" fontId="5" fillId="0" borderId="15" xfId="1" applyFont="1" applyFill="1" applyBorder="1" applyAlignment="1">
      <alignment horizontal="center" vertical="center" shrinkToFit="1"/>
    </xf>
    <xf numFmtId="4" fontId="20" fillId="0" borderId="15" xfId="0" applyNumberFormat="1" applyFont="1" applyFill="1" applyBorder="1" applyAlignment="1">
      <alignment vertical="center"/>
    </xf>
    <xf numFmtId="4" fontId="21" fillId="0" borderId="16" xfId="0" applyNumberFormat="1" applyFont="1" applyFill="1" applyBorder="1" applyAlignment="1">
      <alignment vertical="center"/>
    </xf>
    <xf numFmtId="4" fontId="20" fillId="0" borderId="50" xfId="0" applyNumberFormat="1" applyFont="1" applyBorder="1" applyAlignment="1">
      <alignment vertical="center" wrapText="1"/>
    </xf>
    <xf numFmtId="4" fontId="4" fillId="0" borderId="51" xfId="0" applyNumberFormat="1" applyFont="1" applyFill="1" applyBorder="1" applyAlignment="1">
      <alignment vertical="center"/>
    </xf>
    <xf numFmtId="4" fontId="4" fillId="0" borderId="30" xfId="0" applyNumberFormat="1" applyFont="1" applyFill="1" applyBorder="1" applyAlignment="1">
      <alignment vertical="center"/>
    </xf>
    <xf numFmtId="4" fontId="21" fillId="0" borderId="30" xfId="0" applyNumberFormat="1" applyFont="1" applyBorder="1" applyAlignment="1">
      <alignment vertical="center"/>
    </xf>
    <xf numFmtId="4" fontId="5" fillId="0" borderId="30" xfId="0" applyNumberFormat="1" applyFont="1" applyFill="1" applyBorder="1" applyAlignment="1">
      <alignment vertical="center"/>
    </xf>
    <xf numFmtId="4" fontId="5" fillId="0" borderId="68" xfId="0" applyNumberFormat="1" applyFont="1" applyFill="1" applyBorder="1" applyAlignment="1">
      <alignment vertical="center" wrapText="1"/>
    </xf>
    <xf numFmtId="4" fontId="21" fillId="11" borderId="34" xfId="0" applyNumberFormat="1" applyFont="1" applyFill="1" applyBorder="1" applyAlignment="1">
      <alignment vertical="center" wrapText="1"/>
    </xf>
    <xf numFmtId="4" fontId="16" fillId="11" borderId="41" xfId="0" applyNumberFormat="1" applyFont="1" applyFill="1" applyBorder="1" applyAlignment="1">
      <alignment vertical="center"/>
    </xf>
    <xf numFmtId="4" fontId="16" fillId="11" borderId="35" xfId="0" applyNumberFormat="1" applyFont="1" applyFill="1" applyBorder="1" applyAlignment="1">
      <alignment vertical="center"/>
    </xf>
    <xf numFmtId="4" fontId="5" fillId="11" borderId="25" xfId="0" applyNumberFormat="1" applyFont="1" applyFill="1" applyBorder="1" applyAlignment="1">
      <alignment vertical="center"/>
    </xf>
    <xf numFmtId="166" fontId="4" fillId="0" borderId="0" xfId="1" applyNumberFormat="1" applyFont="1" applyFill="1" applyBorder="1" applyAlignment="1">
      <alignment horizontal="center" vertical="center" shrinkToFit="1"/>
    </xf>
    <xf numFmtId="0" fontId="36" fillId="0" borderId="0" xfId="1" applyFont="1" applyFill="1" applyBorder="1" applyAlignment="1">
      <alignment horizontal="center" vertical="center" shrinkToFit="1"/>
    </xf>
    <xf numFmtId="0" fontId="71" fillId="0" borderId="0" xfId="1" applyNumberFormat="1" applyFont="1" applyFill="1" applyBorder="1" applyAlignment="1">
      <alignment horizontal="center" vertical="center" wrapText="1"/>
    </xf>
    <xf numFmtId="0" fontId="54" fillId="0" borderId="0" xfId="0" applyFont="1" applyFill="1" applyBorder="1" applyAlignment="1">
      <alignment vertical="center"/>
    </xf>
    <xf numFmtId="166" fontId="16" fillId="0" borderId="0" xfId="1" applyNumberFormat="1" applyFont="1" applyFill="1" applyBorder="1" applyAlignment="1">
      <alignment horizontal="center" vertical="center" shrinkToFit="1"/>
    </xf>
    <xf numFmtId="0" fontId="5" fillId="0" borderId="0" xfId="1" applyFont="1" applyFill="1" applyBorder="1" applyAlignment="1">
      <alignment horizontal="center" vertical="center" shrinkToFit="1"/>
    </xf>
    <xf numFmtId="0" fontId="12" fillId="0" borderId="0" xfId="0" applyFont="1" applyFill="1" applyBorder="1" applyAlignment="1">
      <alignment vertical="center" shrinkToFit="1"/>
    </xf>
    <xf numFmtId="0" fontId="4" fillId="0" borderId="0" xfId="0" applyFont="1" applyFill="1" applyBorder="1" applyAlignment="1">
      <alignment vertical="center" shrinkToFit="1"/>
    </xf>
    <xf numFmtId="4" fontId="5" fillId="0" borderId="0" xfId="0" applyNumberFormat="1" applyFont="1" applyFill="1" applyBorder="1" applyAlignment="1">
      <alignment vertical="center" shrinkToFit="1"/>
    </xf>
    <xf numFmtId="0" fontId="12" fillId="0" borderId="0" xfId="1" applyFont="1" applyFill="1" applyBorder="1" applyAlignment="1">
      <alignment vertical="center" shrinkToFit="1"/>
    </xf>
    <xf numFmtId="4" fontId="4" fillId="0" borderId="0" xfId="1" applyNumberFormat="1" applyFont="1" applyFill="1" applyBorder="1" applyAlignment="1">
      <alignment vertical="center" shrinkToFit="1"/>
    </xf>
    <xf numFmtId="0" fontId="4" fillId="0" borderId="0" xfId="1" applyFont="1" applyFill="1" applyBorder="1" applyAlignment="1">
      <alignment horizontal="center" vertical="center" shrinkToFit="1"/>
    </xf>
    <xf numFmtId="0" fontId="16" fillId="0" borderId="0" xfId="1" applyFont="1" applyFill="1" applyBorder="1" applyAlignment="1">
      <alignment vertical="center" shrinkToFit="1"/>
    </xf>
    <xf numFmtId="4" fontId="54" fillId="0" borderId="0" xfId="0" applyNumberFormat="1" applyFont="1" applyFill="1" applyBorder="1" applyAlignment="1">
      <alignment vertical="center"/>
    </xf>
    <xf numFmtId="0" fontId="36" fillId="0" borderId="0" xfId="1" applyFont="1" applyFill="1" applyBorder="1" applyAlignment="1">
      <alignment horizontal="justify" vertical="center" wrapText="1" shrinkToFit="1"/>
    </xf>
    <xf numFmtId="14" fontId="4" fillId="0" borderId="0" xfId="1" applyNumberFormat="1" applyFont="1" applyFill="1" applyBorder="1" applyAlignment="1">
      <alignment horizontal="center" vertical="center" shrinkToFit="1"/>
    </xf>
    <xf numFmtId="0" fontId="71" fillId="0" borderId="0" xfId="1" applyFont="1" applyFill="1" applyBorder="1" applyAlignment="1">
      <alignment horizontal="center" vertical="center" shrinkToFit="1"/>
    </xf>
    <xf numFmtId="0" fontId="16" fillId="0" borderId="0" xfId="1" applyFont="1" applyFill="1" applyBorder="1" applyAlignment="1">
      <alignment shrinkToFit="1"/>
    </xf>
    <xf numFmtId="0" fontId="70" fillId="0" borderId="0" xfId="0" applyFont="1" applyFill="1" applyBorder="1" applyAlignment="1">
      <alignment vertical="center"/>
    </xf>
    <xf numFmtId="0" fontId="36" fillId="0" borderId="0" xfId="1" applyFont="1" applyFill="1" applyBorder="1" applyAlignment="1">
      <alignment horizontal="justify" vertical="top" wrapText="1" shrinkToFit="1"/>
    </xf>
    <xf numFmtId="0" fontId="12" fillId="0" borderId="0" xfId="1" applyFont="1" applyFill="1" applyBorder="1" applyAlignment="1">
      <alignment vertical="top" shrinkToFit="1"/>
    </xf>
    <xf numFmtId="0" fontId="16" fillId="0" borderId="0" xfId="1" applyFont="1" applyFill="1" applyBorder="1" applyAlignment="1">
      <alignment vertical="top" shrinkToFit="1"/>
    </xf>
    <xf numFmtId="0" fontId="16" fillId="0" borderId="0" xfId="1" applyFont="1" applyFill="1" applyBorder="1" applyAlignment="1">
      <alignment horizontal="center" shrinkToFit="1"/>
    </xf>
    <xf numFmtId="4" fontId="4" fillId="0" borderId="0" xfId="1" applyNumberFormat="1" applyFont="1" applyFill="1" applyBorder="1" applyAlignment="1">
      <alignment shrinkToFit="1"/>
    </xf>
    <xf numFmtId="4" fontId="108" fillId="0" borderId="0" xfId="0" applyNumberFormat="1" applyFont="1" applyFill="1" applyBorder="1" applyAlignment="1">
      <alignment vertical="center"/>
    </xf>
    <xf numFmtId="0" fontId="40" fillId="0" borderId="0" xfId="0" applyFont="1" applyFill="1" applyBorder="1" applyAlignment="1">
      <alignment vertical="center"/>
    </xf>
    <xf numFmtId="4" fontId="40" fillId="0" borderId="0" xfId="0" applyNumberFormat="1" applyFont="1" applyFill="1" applyBorder="1" applyAlignment="1">
      <alignment vertical="center"/>
    </xf>
    <xf numFmtId="0" fontId="16" fillId="0" borderId="0" xfId="1" applyFont="1" applyFill="1" applyBorder="1" applyAlignment="1">
      <alignment horizontal="center" vertical="distributed" shrinkToFit="1"/>
    </xf>
    <xf numFmtId="4" fontId="5" fillId="0" borderId="0" xfId="1" applyNumberFormat="1" applyFont="1" applyFill="1" applyBorder="1" applyAlignment="1">
      <alignment vertical="distributed" shrinkToFit="1"/>
    </xf>
    <xf numFmtId="4" fontId="4" fillId="0" borderId="0" xfId="1" applyNumberFormat="1" applyFont="1" applyFill="1" applyBorder="1" applyAlignment="1">
      <alignment vertical="distributed" shrinkToFit="1"/>
    </xf>
    <xf numFmtId="14" fontId="16" fillId="0" borderId="0" xfId="1" applyNumberFormat="1" applyFont="1" applyFill="1" applyBorder="1" applyAlignment="1">
      <alignment horizontal="center" vertical="center" shrinkToFit="1"/>
    </xf>
    <xf numFmtId="0" fontId="6" fillId="0" borderId="0" xfId="1" applyFont="1" applyFill="1" applyBorder="1" applyAlignment="1">
      <alignment horizontal="justify" vertical="top" wrapText="1"/>
    </xf>
    <xf numFmtId="164" fontId="36" fillId="0" borderId="0" xfId="1" applyNumberFormat="1" applyFont="1" applyFill="1" applyBorder="1" applyAlignment="1">
      <alignment horizontal="center" vertical="center" shrinkToFit="1"/>
    </xf>
    <xf numFmtId="0" fontId="12" fillId="0" borderId="0" xfId="1" applyFont="1" applyFill="1" applyBorder="1" applyAlignment="1">
      <alignment horizontal="left" vertical="center" shrinkToFit="1"/>
    </xf>
    <xf numFmtId="166" fontId="36" fillId="0" borderId="0" xfId="1" applyNumberFormat="1" applyFont="1" applyFill="1" applyBorder="1" applyAlignment="1">
      <alignment horizontal="center" vertical="center" shrinkToFit="1"/>
    </xf>
    <xf numFmtId="14" fontId="4" fillId="0" borderId="0" xfId="1" applyNumberFormat="1" applyFont="1" applyFill="1" applyBorder="1" applyAlignment="1">
      <alignment horizontal="center" shrinkToFit="1"/>
    </xf>
    <xf numFmtId="0" fontId="16" fillId="0" borderId="0" xfId="1" applyFont="1" applyFill="1" applyBorder="1" applyAlignment="1">
      <alignment horizontal="center" vertical="center" shrinkToFit="1"/>
    </xf>
    <xf numFmtId="0" fontId="6" fillId="0" borderId="0" xfId="1" applyNumberFormat="1" applyFont="1" applyFill="1" applyBorder="1" applyAlignment="1">
      <alignment horizontal="justify" vertical="center" wrapText="1"/>
    </xf>
    <xf numFmtId="4" fontId="36" fillId="0" borderId="0" xfId="1" applyNumberFormat="1" applyFont="1" applyFill="1" applyBorder="1" applyAlignment="1">
      <alignment vertical="center" shrinkToFit="1"/>
    </xf>
    <xf numFmtId="4" fontId="23" fillId="0" borderId="0" xfId="1" applyNumberFormat="1" applyFont="1" applyFill="1" applyBorder="1" applyAlignment="1">
      <alignment vertical="center" shrinkToFit="1"/>
    </xf>
    <xf numFmtId="0" fontId="16" fillId="0" borderId="0" xfId="6" applyFont="1" applyFill="1" applyBorder="1" applyAlignment="1">
      <alignment vertical="center" shrinkToFit="1"/>
    </xf>
    <xf numFmtId="14" fontId="16" fillId="0" borderId="0" xfId="1" applyNumberFormat="1" applyFont="1" applyFill="1" applyBorder="1" applyAlignment="1">
      <alignment horizontal="center" shrinkToFit="1"/>
    </xf>
    <xf numFmtId="4" fontId="21" fillId="0" borderId="0" xfId="0" applyNumberFormat="1" applyFont="1" applyFill="1" applyBorder="1" applyAlignment="1">
      <alignment vertical="center" shrinkToFit="1"/>
    </xf>
    <xf numFmtId="0" fontId="110" fillId="0" borderId="0" xfId="2" applyFont="1" applyFill="1" applyBorder="1" applyAlignment="1">
      <alignment horizontal="center" vertical="center"/>
    </xf>
    <xf numFmtId="14" fontId="20" fillId="0" borderId="0" xfId="0" applyNumberFormat="1" applyFont="1" applyFill="1" applyBorder="1" applyAlignment="1">
      <alignment horizontal="center" vertical="center"/>
    </xf>
    <xf numFmtId="0" fontId="2" fillId="0" borderId="0" xfId="2" applyFont="1" applyFill="1" applyBorder="1" applyAlignment="1">
      <alignment horizontal="center" vertical="center"/>
    </xf>
    <xf numFmtId="0" fontId="2" fillId="0" borderId="0" xfId="1" applyNumberFormat="1" applyFont="1" applyFill="1" applyBorder="1" applyAlignment="1">
      <alignment horizontal="justify" vertical="center" wrapText="1" shrinkToFit="1"/>
    </xf>
    <xf numFmtId="0" fontId="3" fillId="0" borderId="0" xfId="1" applyNumberFormat="1" applyFont="1" applyFill="1" applyBorder="1" applyAlignment="1">
      <alignment horizontal="center" vertical="center" wrapText="1"/>
    </xf>
    <xf numFmtId="0" fontId="2" fillId="0" borderId="0" xfId="2" applyFont="1" applyFill="1" applyBorder="1" applyAlignment="1">
      <alignment horizontal="center" vertical="center" shrinkToFit="1"/>
    </xf>
    <xf numFmtId="0" fontId="2" fillId="0" borderId="0" xfId="1" applyFont="1" applyFill="1" applyBorder="1" applyAlignment="1">
      <alignment horizontal="justify" vertical="center" wrapText="1" shrinkToFit="1"/>
    </xf>
    <xf numFmtId="4" fontId="42" fillId="0" borderId="0" xfId="0" applyNumberFormat="1" applyFont="1" applyFill="1" applyBorder="1" applyAlignment="1">
      <alignment vertical="center"/>
    </xf>
    <xf numFmtId="0" fontId="12" fillId="0" borderId="0" xfId="2" applyFont="1" applyFill="1" applyBorder="1" applyAlignment="1">
      <alignment horizontal="center" vertical="center" shrinkToFit="1"/>
    </xf>
    <xf numFmtId="0" fontId="12" fillId="0" borderId="0" xfId="1" applyFont="1" applyFill="1" applyBorder="1" applyAlignment="1">
      <alignment vertical="center" wrapText="1" shrinkToFit="1"/>
    </xf>
    <xf numFmtId="0" fontId="16" fillId="0" borderId="0" xfId="1" applyFont="1" applyFill="1" applyBorder="1" applyAlignment="1">
      <alignment vertical="center" wrapText="1" shrinkToFit="1"/>
    </xf>
    <xf numFmtId="0" fontId="42" fillId="0" borderId="0" xfId="0" applyFont="1" applyFill="1" applyBorder="1" applyAlignment="1">
      <alignment vertical="center"/>
    </xf>
    <xf numFmtId="0" fontId="3" fillId="0" borderId="0" xfId="1" applyFont="1" applyFill="1" applyBorder="1" applyAlignment="1">
      <alignment horizontal="center" vertical="center" wrapText="1" shrinkToFit="1"/>
    </xf>
    <xf numFmtId="0" fontId="3" fillId="0" borderId="0" xfId="1" applyFont="1" applyFill="1" applyBorder="1" applyAlignment="1">
      <alignment horizontal="justify" vertical="center" wrapText="1" shrinkToFit="1"/>
    </xf>
    <xf numFmtId="0" fontId="40" fillId="0" borderId="0" xfId="0" applyFont="1" applyFill="1" applyBorder="1" applyAlignment="1">
      <alignment horizontal="center" vertical="center"/>
    </xf>
    <xf numFmtId="0" fontId="12" fillId="0" borderId="0" xfId="1" applyFont="1" applyFill="1" applyBorder="1" applyAlignment="1">
      <alignment horizontal="justify" vertical="center" wrapText="1" shrinkToFit="1"/>
    </xf>
    <xf numFmtId="0" fontId="16" fillId="0" borderId="0" xfId="1" applyFont="1" applyFill="1" applyBorder="1" applyAlignment="1">
      <alignment horizontal="justify" vertical="center" wrapText="1" shrinkToFit="1"/>
    </xf>
    <xf numFmtId="3" fontId="20" fillId="0" borderId="0" xfId="0" applyNumberFormat="1" applyFont="1" applyFill="1" applyBorder="1" applyAlignment="1">
      <alignment vertical="center"/>
    </xf>
    <xf numFmtId="0" fontId="6" fillId="0" borderId="0" xfId="1" applyFont="1" applyFill="1" applyBorder="1" applyAlignment="1">
      <alignment horizontal="justify" vertical="center" wrapText="1" shrinkToFit="1"/>
    </xf>
    <xf numFmtId="0" fontId="4" fillId="0" borderId="0" xfId="2" applyFont="1" applyFill="1" applyBorder="1" applyAlignment="1">
      <alignment horizontal="center" vertical="center" shrinkToFit="1"/>
    </xf>
    <xf numFmtId="0" fontId="2" fillId="0" borderId="0" xfId="1" applyFont="1" applyFill="1" applyBorder="1" applyAlignment="1">
      <alignment vertical="distributed" shrinkToFit="1"/>
    </xf>
    <xf numFmtId="0" fontId="3" fillId="0" borderId="0" xfId="1" applyFont="1" applyFill="1" applyBorder="1" applyAlignment="1">
      <alignment horizontal="center" vertical="distributed" shrinkToFit="1"/>
    </xf>
    <xf numFmtId="0" fontId="70" fillId="0" borderId="0" xfId="0" applyFont="1" applyFill="1" applyBorder="1" applyAlignment="1">
      <alignment vertical="center" wrapText="1"/>
    </xf>
    <xf numFmtId="0" fontId="42" fillId="0" borderId="0" xfId="1" applyNumberFormat="1" applyFont="1" applyFill="1" applyBorder="1" applyAlignment="1">
      <alignment horizontal="justify" vertical="center" wrapText="1"/>
    </xf>
    <xf numFmtId="0" fontId="6" fillId="0" borderId="0" xfId="6" applyFont="1" applyFill="1" applyBorder="1" applyAlignment="1">
      <alignment horizontal="justify" vertical="center" wrapText="1" shrinkToFit="1"/>
    </xf>
    <xf numFmtId="4" fontId="2" fillId="0" borderId="0" xfId="1" applyNumberFormat="1" applyFont="1" applyFill="1" applyBorder="1" applyAlignment="1">
      <alignment vertical="distributed" shrinkToFit="1"/>
    </xf>
    <xf numFmtId="4" fontId="68" fillId="0" borderId="0" xfId="0" applyNumberFormat="1" applyFont="1" applyFill="1" applyBorder="1" applyAlignment="1">
      <alignment vertical="center"/>
    </xf>
    <xf numFmtId="4" fontId="72" fillId="0" borderId="0" xfId="0" applyNumberFormat="1" applyFont="1" applyFill="1" applyBorder="1" applyAlignment="1">
      <alignment vertical="center"/>
    </xf>
    <xf numFmtId="4" fontId="73" fillId="0" borderId="0" xfId="0" applyNumberFormat="1" applyFont="1" applyFill="1" applyBorder="1" applyAlignment="1">
      <alignment vertical="center"/>
    </xf>
    <xf numFmtId="0" fontId="73" fillId="0" borderId="0" xfId="0" applyFont="1" applyFill="1" applyBorder="1" applyAlignment="1">
      <alignment vertical="center"/>
    </xf>
    <xf numFmtId="0" fontId="72" fillId="0" borderId="0" xfId="0" applyFont="1" applyFill="1" applyBorder="1" applyAlignment="1">
      <alignment vertical="center"/>
    </xf>
    <xf numFmtId="4" fontId="74" fillId="0" borderId="0" xfId="0" applyNumberFormat="1" applyFont="1" applyFill="1" applyBorder="1" applyAlignment="1">
      <alignment vertical="center"/>
    </xf>
    <xf numFmtId="14" fontId="16" fillId="0" borderId="0" xfId="1" applyNumberFormat="1" applyFont="1" applyFill="1" applyBorder="1" applyAlignment="1">
      <alignment vertical="center" shrinkToFit="1"/>
    </xf>
    <xf numFmtId="14" fontId="27" fillId="0" borderId="0" xfId="0" applyNumberFormat="1" applyFont="1" applyFill="1" applyBorder="1" applyAlignment="1">
      <alignment vertical="center"/>
    </xf>
    <xf numFmtId="14" fontId="19" fillId="0" borderId="0" xfId="0" applyNumberFormat="1" applyFont="1" applyFill="1" applyBorder="1" applyAlignment="1">
      <alignment vertical="center"/>
    </xf>
    <xf numFmtId="14" fontId="2" fillId="0" borderId="0" xfId="1" applyNumberFormat="1" applyFont="1" applyFill="1" applyBorder="1" applyAlignment="1">
      <alignment horizontal="center" vertical="center" shrinkToFit="1"/>
    </xf>
    <xf numFmtId="0" fontId="75" fillId="0" borderId="0" xfId="0" applyFont="1" applyFill="1" applyBorder="1" applyAlignment="1">
      <alignment horizontal="center" vertical="center"/>
    </xf>
    <xf numFmtId="14" fontId="16" fillId="0" borderId="0" xfId="2" applyNumberFormat="1" applyFont="1" applyFill="1" applyBorder="1" applyAlignment="1">
      <alignment horizontal="center" vertical="center" shrinkToFit="1"/>
    </xf>
    <xf numFmtId="4" fontId="19" fillId="0" borderId="0" xfId="0" applyNumberFormat="1" applyFont="1" applyFill="1" applyBorder="1" applyAlignment="1">
      <alignment vertical="center"/>
    </xf>
    <xf numFmtId="0" fontId="38" fillId="0" borderId="0" xfId="0" applyFont="1" applyFill="1" applyBorder="1" applyAlignment="1">
      <alignment vertical="center"/>
    </xf>
    <xf numFmtId="4" fontId="3" fillId="0" borderId="0" xfId="1" applyNumberFormat="1" applyFont="1" applyFill="1" applyBorder="1" applyAlignment="1">
      <alignment vertical="center" shrinkToFit="1"/>
    </xf>
    <xf numFmtId="4" fontId="64" fillId="0" borderId="0" xfId="0" applyNumberFormat="1" applyFont="1" applyFill="1" applyBorder="1" applyAlignment="1">
      <alignment vertical="center"/>
    </xf>
    <xf numFmtId="4" fontId="65" fillId="0" borderId="0" xfId="0" applyNumberFormat="1" applyFont="1" applyFill="1" applyBorder="1" applyAlignment="1">
      <alignment vertical="center"/>
    </xf>
    <xf numFmtId="0" fontId="64" fillId="0" borderId="0" xfId="0" applyFont="1" applyFill="1" applyBorder="1" applyAlignment="1">
      <alignment vertical="center"/>
    </xf>
    <xf numFmtId="164" fontId="2" fillId="0" borderId="0" xfId="2" applyNumberFormat="1" applyFont="1" applyFill="1" applyBorder="1" applyAlignment="1">
      <alignment horizontal="center" vertical="center" shrinkToFit="1"/>
    </xf>
    <xf numFmtId="164" fontId="4" fillId="0" borderId="0" xfId="2" applyNumberFormat="1" applyFont="1" applyFill="1" applyBorder="1" applyAlignment="1">
      <alignment horizontal="center" vertical="center" shrinkToFit="1"/>
    </xf>
    <xf numFmtId="14" fontId="16" fillId="0" borderId="0" xfId="1" applyNumberFormat="1" applyFont="1" applyFill="1" applyBorder="1" applyAlignment="1">
      <alignment horizontal="center" vertical="top" shrinkToFit="1"/>
    </xf>
    <xf numFmtId="0" fontId="111" fillId="0" borderId="0" xfId="0" applyFont="1" applyFill="1" applyBorder="1" applyAlignment="1">
      <alignment horizontal="center" vertical="center"/>
    </xf>
    <xf numFmtId="14" fontId="40" fillId="0" borderId="0" xfId="0" applyNumberFormat="1" applyFont="1" applyFill="1" applyBorder="1" applyAlignment="1">
      <alignment horizontal="center" vertical="center"/>
    </xf>
    <xf numFmtId="4" fontId="25" fillId="0" borderId="0" xfId="0" applyNumberFormat="1" applyFont="1" applyFill="1" applyBorder="1" applyAlignment="1">
      <alignment vertical="center"/>
    </xf>
    <xf numFmtId="0" fontId="34" fillId="0" borderId="0" xfId="1" applyFont="1" applyFill="1" applyBorder="1" applyAlignment="1">
      <alignment horizontal="center" vertical="center" shrinkToFit="1"/>
    </xf>
    <xf numFmtId="4" fontId="34" fillId="0" borderId="0" xfId="1" applyNumberFormat="1" applyFont="1" applyFill="1" applyBorder="1" applyAlignment="1">
      <alignment vertical="center" shrinkToFit="1"/>
    </xf>
    <xf numFmtId="4" fontId="11" fillId="0" borderId="0" xfId="1" applyNumberFormat="1" applyFont="1" applyFill="1" applyBorder="1" applyAlignment="1">
      <alignment vertical="center" shrinkToFit="1"/>
    </xf>
    <xf numFmtId="0" fontId="67" fillId="0" borderId="0" xfId="1" applyFont="1" applyFill="1" applyBorder="1" applyAlignment="1">
      <alignment vertical="center" shrinkToFit="1"/>
    </xf>
    <xf numFmtId="4" fontId="16" fillId="0" borderId="0" xfId="2" applyNumberFormat="1" applyFont="1" applyFill="1" applyBorder="1" applyAlignment="1">
      <alignment horizontal="left" vertical="center" shrinkToFit="1"/>
    </xf>
    <xf numFmtId="4" fontId="16" fillId="0" borderId="0" xfId="2" applyNumberFormat="1" applyFont="1" applyFill="1" applyBorder="1" applyAlignment="1">
      <alignment horizontal="left" vertical="center"/>
    </xf>
    <xf numFmtId="4" fontId="5" fillId="0" borderId="0" xfId="1" applyNumberFormat="1" applyFont="1" applyFill="1" applyBorder="1" applyAlignment="1">
      <alignment horizontal="right" vertical="center" shrinkToFit="1"/>
    </xf>
    <xf numFmtId="49" fontId="67" fillId="0" borderId="0" xfId="1" applyNumberFormat="1" applyFont="1" applyFill="1" applyBorder="1" applyAlignment="1">
      <alignment horizontal="left" vertical="center" shrinkToFit="1"/>
    </xf>
    <xf numFmtId="4" fontId="4" fillId="0" borderId="0" xfId="2" applyNumberFormat="1" applyFont="1" applyFill="1" applyBorder="1" applyAlignment="1">
      <alignment horizontal="right" vertical="center"/>
    </xf>
    <xf numFmtId="164" fontId="20" fillId="0" borderId="0" xfId="0" applyNumberFormat="1" applyFont="1" applyFill="1" applyBorder="1" applyAlignment="1">
      <alignment horizontal="center" vertical="center"/>
    </xf>
    <xf numFmtId="4" fontId="67" fillId="0" borderId="0" xfId="1" applyNumberFormat="1" applyFont="1" applyFill="1" applyBorder="1" applyAlignment="1">
      <alignment horizontal="left" vertical="center" shrinkToFit="1"/>
    </xf>
    <xf numFmtId="4" fontId="107" fillId="0" borderId="0" xfId="1" applyNumberFormat="1" applyFont="1" applyFill="1" applyBorder="1" applyAlignment="1">
      <alignment horizontal="right" vertical="center" shrinkToFit="1"/>
    </xf>
    <xf numFmtId="14" fontId="34" fillId="0" borderId="0" xfId="1" applyNumberFormat="1" applyFont="1" applyFill="1" applyBorder="1" applyAlignment="1">
      <alignment horizontal="center" vertical="center" shrinkToFit="1"/>
    </xf>
    <xf numFmtId="14" fontId="63" fillId="0" borderId="0" xfId="0" applyNumberFormat="1" applyFont="1" applyFill="1" applyBorder="1" applyAlignment="1">
      <alignment vertical="center"/>
    </xf>
    <xf numFmtId="14" fontId="42" fillId="0" borderId="0" xfId="0" applyNumberFormat="1" applyFont="1" applyFill="1" applyBorder="1" applyAlignment="1">
      <alignment horizontal="center" vertical="center"/>
    </xf>
    <xf numFmtId="0" fontId="4" fillId="0" borderId="40" xfId="1" applyFont="1" applyFill="1" applyBorder="1" applyAlignment="1">
      <alignment horizontal="center" vertical="center" shrinkToFit="1"/>
    </xf>
    <xf numFmtId="4" fontId="80" fillId="0" borderId="51" xfId="1" applyNumberFormat="1" applyFont="1" applyFill="1" applyBorder="1" applyAlignment="1">
      <alignment vertical="center" shrinkToFit="1"/>
    </xf>
    <xf numFmtId="0" fontId="2" fillId="0" borderId="40" xfId="2" applyFont="1" applyFill="1" applyBorder="1" applyAlignment="1">
      <alignment horizontal="center" vertical="center"/>
    </xf>
    <xf numFmtId="0" fontId="2" fillId="0" borderId="40" xfId="2" applyFont="1" applyFill="1" applyBorder="1" applyAlignment="1">
      <alignment horizontal="center" vertical="center" shrinkToFit="1"/>
    </xf>
    <xf numFmtId="0" fontId="20" fillId="0" borderId="0" xfId="0" applyFont="1" applyAlignment="1">
      <alignment horizontal="center" vertical="center"/>
    </xf>
    <xf numFmtId="0" fontId="44" fillId="0" borderId="0" xfId="0" applyFont="1" applyFill="1" applyBorder="1" applyAlignment="1">
      <alignment horizontal="center" vertical="center"/>
    </xf>
    <xf numFmtId="0" fontId="87" fillId="0" borderId="63" xfId="0" applyFont="1" applyFill="1" applyBorder="1" applyAlignment="1">
      <alignment vertical="center"/>
    </xf>
    <xf numFmtId="0" fontId="39" fillId="0" borderId="63" xfId="0" applyFont="1" applyFill="1" applyBorder="1" applyAlignment="1">
      <alignment vertical="center"/>
    </xf>
    <xf numFmtId="4" fontId="20" fillId="4" borderId="0" xfId="0" applyNumberFormat="1" applyFont="1" applyFill="1" applyAlignment="1">
      <alignment vertical="center"/>
    </xf>
    <xf numFmtId="0" fontId="2" fillId="0" borderId="40" xfId="1" applyFont="1" applyFill="1" applyBorder="1" applyAlignment="1">
      <alignment horizontal="center" vertical="center" shrinkToFit="1"/>
    </xf>
    <xf numFmtId="4" fontId="80" fillId="3" borderId="40" xfId="1" applyNumberFormat="1" applyFont="1" applyFill="1" applyBorder="1" applyAlignment="1">
      <alignment vertical="center" shrinkToFit="1"/>
    </xf>
    <xf numFmtId="0" fontId="16" fillId="0" borderId="45" xfId="6" applyFont="1" applyFill="1" applyBorder="1" applyAlignment="1">
      <alignment horizontal="justify" vertical="center" wrapText="1" shrinkToFit="1"/>
    </xf>
    <xf numFmtId="0" fontId="16" fillId="0" borderId="45" xfId="1" applyFont="1" applyFill="1" applyBorder="1" applyAlignment="1">
      <alignment horizontal="left" vertical="center" wrapText="1" shrinkToFit="1"/>
    </xf>
    <xf numFmtId="14" fontId="12" fillId="3" borderId="40" xfId="1" applyNumberFormat="1" applyFont="1" applyFill="1" applyBorder="1" applyAlignment="1">
      <alignment horizontal="center" vertical="center" shrinkToFit="1"/>
    </xf>
    <xf numFmtId="0" fontId="4" fillId="0" borderId="45" xfId="1" applyFont="1" applyFill="1" applyBorder="1" applyAlignment="1">
      <alignment horizontal="justify" vertical="center" wrapText="1" shrinkToFit="1"/>
    </xf>
    <xf numFmtId="0" fontId="16" fillId="0" borderId="40" xfId="1" applyNumberFormat="1" applyFont="1" applyFill="1" applyBorder="1" applyAlignment="1">
      <alignment horizontal="justify" vertical="center" wrapText="1" shrinkToFit="1"/>
    </xf>
    <xf numFmtId="0" fontId="12" fillId="0" borderId="44" xfId="1" applyFont="1" applyFill="1" applyBorder="1" applyAlignment="1">
      <alignment vertical="center" shrinkToFit="1"/>
    </xf>
    <xf numFmtId="0" fontId="12" fillId="0" borderId="56" xfId="1" applyFont="1" applyFill="1" applyBorder="1" applyAlignment="1">
      <alignment vertical="center" shrinkToFit="1"/>
    </xf>
    <xf numFmtId="0" fontId="16" fillId="0" borderId="44" xfId="6" applyFont="1" applyFill="1" applyBorder="1" applyAlignment="1">
      <alignment horizontal="justify" vertical="center" wrapText="1" shrinkToFit="1"/>
    </xf>
    <xf numFmtId="0" fontId="20" fillId="0" borderId="64" xfId="0" applyFont="1" applyFill="1" applyBorder="1" applyAlignment="1">
      <alignment vertical="center"/>
    </xf>
    <xf numFmtId="4" fontId="106" fillId="0" borderId="45" xfId="0" applyNumberFormat="1" applyFont="1" applyFill="1" applyBorder="1" applyAlignment="1">
      <alignment vertical="center"/>
    </xf>
    <xf numFmtId="0" fontId="16" fillId="0" borderId="45" xfId="1" applyFont="1" applyFill="1" applyBorder="1" applyAlignment="1">
      <alignment horizontal="justify" vertical="center" wrapText="1" shrinkToFit="1"/>
    </xf>
    <xf numFmtId="4" fontId="12" fillId="0" borderId="40" xfId="1" applyNumberFormat="1" applyFont="1" applyFill="1" applyBorder="1" applyAlignment="1">
      <alignment horizontal="center" vertical="center" shrinkToFit="1"/>
    </xf>
    <xf numFmtId="0" fontId="5" fillId="0" borderId="8" xfId="1" applyFont="1" applyFill="1" applyBorder="1" applyAlignment="1">
      <alignment horizontal="right" vertical="center" shrinkToFit="1"/>
    </xf>
    <xf numFmtId="0" fontId="5" fillId="0" borderId="30" xfId="1" applyFont="1" applyFill="1" applyBorder="1" applyAlignment="1">
      <alignment horizontal="right" vertical="center" shrinkToFit="1"/>
    </xf>
    <xf numFmtId="0" fontId="5" fillId="0" borderId="63" xfId="1" applyFont="1" applyFill="1" applyBorder="1" applyAlignment="1">
      <alignment horizontal="right" vertical="center" shrinkToFit="1"/>
    </xf>
    <xf numFmtId="4" fontId="39" fillId="0" borderId="65" xfId="0" applyNumberFormat="1" applyFont="1" applyFill="1" applyBorder="1" applyAlignment="1">
      <alignment vertical="center"/>
    </xf>
    <xf numFmtId="0" fontId="42" fillId="0" borderId="40" xfId="0" applyFont="1" applyFill="1" applyBorder="1" applyAlignment="1">
      <alignment horizontal="justify" vertical="center" wrapText="1"/>
    </xf>
    <xf numFmtId="0" fontId="16" fillId="0" borderId="45" xfId="1" applyNumberFormat="1" applyFont="1" applyFill="1" applyBorder="1" applyAlignment="1">
      <alignment horizontal="justify" vertical="center" wrapText="1"/>
    </xf>
    <xf numFmtId="0" fontId="12" fillId="0" borderId="0" xfId="1" applyFont="1" applyFill="1" applyBorder="1" applyAlignment="1">
      <alignment horizontal="center" vertical="center" shrinkToFit="1"/>
    </xf>
    <xf numFmtId="4" fontId="12" fillId="0" borderId="0" xfId="1" applyNumberFormat="1" applyFont="1" applyFill="1" applyBorder="1" applyAlignment="1">
      <alignment horizontal="center" vertical="center" shrinkToFit="1"/>
    </xf>
    <xf numFmtId="4" fontId="80" fillId="0" borderId="0" xfId="1" applyNumberFormat="1" applyFont="1" applyFill="1" applyBorder="1" applyAlignment="1">
      <alignment vertical="center" shrinkToFit="1"/>
    </xf>
    <xf numFmtId="4" fontId="87" fillId="0" borderId="0" xfId="1" applyNumberFormat="1" applyFont="1" applyFill="1" applyBorder="1" applyAlignment="1">
      <alignment vertical="center" shrinkToFit="1"/>
    </xf>
    <xf numFmtId="4" fontId="16" fillId="0" borderId="0" xfId="1" applyNumberFormat="1" applyFont="1" applyFill="1" applyBorder="1" applyAlignment="1">
      <alignment horizontal="right" vertical="center" shrinkToFit="1"/>
    </xf>
    <xf numFmtId="0" fontId="20" fillId="0" borderId="0" xfId="0" applyFont="1" applyFill="1" applyAlignment="1">
      <alignment horizontal="center" vertical="center"/>
    </xf>
    <xf numFmtId="2" fontId="20" fillId="0" borderId="0" xfId="0" applyNumberFormat="1" applyFont="1" applyFill="1" applyAlignment="1">
      <alignment vertical="center"/>
    </xf>
    <xf numFmtId="4" fontId="42" fillId="0" borderId="40" xfId="0" applyNumberFormat="1" applyFont="1" applyFill="1" applyBorder="1" applyAlignment="1">
      <alignment horizontal="justify" vertical="center" wrapText="1"/>
    </xf>
    <xf numFmtId="0" fontId="21" fillId="0" borderId="0" xfId="0" applyFont="1" applyAlignment="1">
      <alignment horizontal="center" vertical="center"/>
    </xf>
    <xf numFmtId="0" fontId="2" fillId="0" borderId="40" xfId="1" applyFont="1" applyFill="1" applyBorder="1" applyAlignment="1">
      <alignment horizontal="justify" vertical="center" wrapText="1" shrinkToFit="1"/>
    </xf>
    <xf numFmtId="4" fontId="34" fillId="0" borderId="66" xfId="1" applyNumberFormat="1" applyFont="1" applyFill="1" applyBorder="1" applyAlignment="1">
      <alignment vertical="center" shrinkToFit="1"/>
    </xf>
    <xf numFmtId="0" fontId="5" fillId="0" borderId="45" xfId="0" applyFont="1" applyFill="1" applyBorder="1" applyAlignment="1">
      <alignment vertical="center" shrinkToFit="1"/>
    </xf>
    <xf numFmtId="0" fontId="5" fillId="0" borderId="45" xfId="1" applyFont="1" applyFill="1" applyBorder="1" applyAlignment="1">
      <alignment vertical="center" shrinkToFit="1"/>
    </xf>
    <xf numFmtId="0" fontId="4" fillId="0" borderId="45" xfId="1" applyFont="1" applyFill="1" applyBorder="1" applyAlignment="1">
      <alignment vertical="center" shrinkToFit="1"/>
    </xf>
    <xf numFmtId="4" fontId="43" fillId="0" borderId="66" xfId="1" applyNumberFormat="1" applyFont="1" applyFill="1" applyBorder="1" applyAlignment="1">
      <alignment horizontal="right" vertical="center" shrinkToFit="1"/>
    </xf>
    <xf numFmtId="4" fontId="43" fillId="0" borderId="8" xfId="1" applyNumberFormat="1" applyFont="1" applyFill="1" applyBorder="1" applyAlignment="1">
      <alignment horizontal="right" vertical="center" shrinkToFit="1"/>
    </xf>
    <xf numFmtId="0" fontId="43" fillId="0" borderId="66" xfId="1" applyFont="1" applyFill="1" applyBorder="1" applyAlignment="1">
      <alignment horizontal="right" vertical="center" shrinkToFit="1"/>
    </xf>
    <xf numFmtId="4" fontId="34" fillId="0" borderId="40" xfId="1" applyNumberFormat="1" applyFont="1" applyFill="1" applyBorder="1" applyAlignment="1">
      <alignment vertical="center" shrinkToFit="1"/>
    </xf>
    <xf numFmtId="4" fontId="34" fillId="0" borderId="66" xfId="1" applyNumberFormat="1" applyFont="1" applyFill="1" applyBorder="1" applyAlignment="1">
      <alignment horizontal="right" vertical="center" shrinkToFit="1"/>
    </xf>
    <xf numFmtId="4" fontId="34" fillId="0" borderId="40" xfId="1" applyNumberFormat="1" applyFont="1" applyFill="1" applyBorder="1" applyAlignment="1">
      <alignment horizontal="right" vertical="center" shrinkToFit="1"/>
    </xf>
    <xf numFmtId="4" fontId="43" fillId="0" borderId="40" xfId="1" applyNumberFormat="1" applyFont="1" applyFill="1" applyBorder="1" applyAlignment="1">
      <alignment horizontal="right" vertical="center" shrinkToFit="1"/>
    </xf>
    <xf numFmtId="4" fontId="24" fillId="0" borderId="66" xfId="1" applyNumberFormat="1" applyFont="1" applyFill="1" applyBorder="1" applyAlignment="1">
      <alignment vertical="center" shrinkToFit="1"/>
    </xf>
    <xf numFmtId="4" fontId="24" fillId="0" borderId="66" xfId="1" applyNumberFormat="1" applyFont="1" applyFill="1" applyBorder="1" applyAlignment="1">
      <alignment horizontal="right" vertical="center" shrinkToFit="1"/>
    </xf>
    <xf numFmtId="4" fontId="43" fillId="0" borderId="7" xfId="1" applyNumberFormat="1" applyFont="1" applyFill="1" applyBorder="1" applyAlignment="1">
      <alignment horizontal="right" vertical="center" shrinkToFit="1"/>
    </xf>
    <xf numFmtId="0" fontId="43" fillId="0" borderId="40" xfId="1" applyFont="1" applyFill="1" applyBorder="1" applyAlignment="1">
      <alignment horizontal="right" vertical="center" shrinkToFit="1"/>
    </xf>
    <xf numFmtId="4" fontId="43" fillId="0" borderId="51" xfId="1" applyNumberFormat="1" applyFont="1" applyFill="1" applyBorder="1" applyAlignment="1">
      <alignment horizontal="right" vertical="center" shrinkToFit="1"/>
    </xf>
    <xf numFmtId="0" fontId="43" fillId="0" borderId="38" xfId="1" applyFont="1" applyFill="1" applyBorder="1" applyAlignment="1">
      <alignment horizontal="right" vertical="center" shrinkToFit="1"/>
    </xf>
    <xf numFmtId="0" fontId="43" fillId="0" borderId="51" xfId="1" applyFont="1" applyFill="1" applyBorder="1" applyAlignment="1">
      <alignment horizontal="right" vertical="center" shrinkToFit="1"/>
    </xf>
    <xf numFmtId="0" fontId="43" fillId="0" borderId="8" xfId="1" applyFont="1" applyFill="1" applyBorder="1" applyAlignment="1">
      <alignment horizontal="right" vertical="center" shrinkToFit="1"/>
    </xf>
    <xf numFmtId="0" fontId="5" fillId="0" borderId="40" xfId="1" applyFont="1" applyFill="1" applyBorder="1" applyAlignment="1">
      <alignment vertical="center" shrinkToFit="1"/>
    </xf>
    <xf numFmtId="0" fontId="4" fillId="0" borderId="66" xfId="1" applyFont="1" applyFill="1" applyBorder="1" applyAlignment="1">
      <alignment vertical="center" shrinkToFit="1"/>
    </xf>
    <xf numFmtId="0" fontId="4" fillId="0" borderId="40" xfId="1" applyFont="1" applyFill="1" applyBorder="1" applyAlignment="1">
      <alignment vertical="center" shrinkToFit="1"/>
    </xf>
    <xf numFmtId="0" fontId="5" fillId="0" borderId="40" xfId="1" applyFont="1" applyFill="1" applyBorder="1" applyAlignment="1">
      <alignment horizontal="left" vertical="center" shrinkToFit="1"/>
    </xf>
    <xf numFmtId="0" fontId="4" fillId="0" borderId="40" xfId="1" applyFont="1" applyFill="1" applyBorder="1" applyAlignment="1">
      <alignment horizontal="center" vertical="distributed" shrinkToFit="1"/>
    </xf>
    <xf numFmtId="0" fontId="4" fillId="0" borderId="44" xfId="1" applyFont="1" applyFill="1" applyBorder="1" applyAlignment="1">
      <alignment horizontal="center" vertical="distributed" shrinkToFit="1"/>
    </xf>
    <xf numFmtId="0" fontId="4" fillId="0" borderId="44" xfId="1" applyFont="1" applyFill="1" applyBorder="1" applyAlignment="1">
      <alignment horizontal="center" shrinkToFit="1"/>
    </xf>
    <xf numFmtId="0" fontId="4" fillId="0" borderId="65" xfId="1" applyFont="1" applyFill="1" applyBorder="1" applyAlignment="1">
      <alignment horizontal="center" vertical="center" shrinkToFit="1"/>
    </xf>
    <xf numFmtId="0" fontId="5" fillId="0" borderId="8" xfId="1" applyFont="1" applyFill="1" applyBorder="1" applyAlignment="1">
      <alignment horizontal="left" vertical="center" shrinkToFit="1"/>
    </xf>
    <xf numFmtId="0" fontId="5" fillId="0" borderId="45" xfId="1" applyFont="1" applyFill="1" applyBorder="1" applyAlignment="1">
      <alignment horizontal="left" vertical="center" shrinkToFit="1"/>
    </xf>
    <xf numFmtId="4" fontId="43" fillId="0" borderId="45" xfId="1" applyNumberFormat="1" applyFont="1" applyFill="1" applyBorder="1" applyAlignment="1">
      <alignment vertical="center" shrinkToFit="1"/>
    </xf>
    <xf numFmtId="4" fontId="43" fillId="0" borderId="40" xfId="1" applyNumberFormat="1" applyFont="1" applyFill="1" applyBorder="1" applyAlignment="1">
      <alignment vertical="center" shrinkToFit="1"/>
    </xf>
    <xf numFmtId="0" fontId="5" fillId="0" borderId="56" xfId="1" applyFont="1" applyFill="1" applyBorder="1" applyAlignment="1">
      <alignment horizontal="center" vertical="center" shrinkToFit="1"/>
    </xf>
    <xf numFmtId="0" fontId="4" fillId="0" borderId="40" xfId="1" applyNumberFormat="1" applyFont="1" applyFill="1" applyBorder="1" applyAlignment="1">
      <alignment horizontal="justify" vertical="center" wrapText="1"/>
    </xf>
    <xf numFmtId="4" fontId="43" fillId="0" borderId="8" xfId="1" applyNumberFormat="1" applyFont="1" applyFill="1" applyBorder="1" applyAlignment="1">
      <alignment vertical="center" shrinkToFit="1"/>
    </xf>
    <xf numFmtId="4" fontId="43" fillId="0" borderId="66" xfId="1" applyNumberFormat="1" applyFont="1" applyFill="1" applyBorder="1" applyAlignment="1">
      <alignment vertical="center" shrinkToFit="1"/>
    </xf>
    <xf numFmtId="0" fontId="16" fillId="0" borderId="65" xfId="1" applyFont="1" applyFill="1" applyBorder="1" applyAlignment="1">
      <alignment horizontal="justify" vertical="center" wrapText="1" shrinkToFit="1"/>
    </xf>
    <xf numFmtId="0" fontId="4" fillId="0" borderId="40" xfId="6" applyFont="1" applyFill="1" applyBorder="1" applyAlignment="1">
      <alignment vertical="center" shrinkToFit="1"/>
    </xf>
    <xf numFmtId="4" fontId="112" fillId="8" borderId="24" xfId="0" applyNumberFormat="1" applyFont="1" applyFill="1" applyBorder="1" applyAlignment="1">
      <alignment vertical="center" wrapText="1" shrinkToFit="1"/>
    </xf>
    <xf numFmtId="4" fontId="112" fillId="8" borderId="41" xfId="0" applyNumberFormat="1" applyFont="1" applyFill="1" applyBorder="1" applyAlignment="1">
      <alignment vertical="center" wrapText="1" shrinkToFit="1"/>
    </xf>
    <xf numFmtId="4" fontId="112" fillId="8" borderId="3" xfId="0" applyNumberFormat="1" applyFont="1" applyFill="1" applyBorder="1" applyAlignment="1">
      <alignment vertical="center" wrapText="1" shrinkToFit="1"/>
    </xf>
    <xf numFmtId="4" fontId="112" fillId="3" borderId="19" xfId="0" applyNumberFormat="1" applyFont="1" applyFill="1" applyBorder="1" applyAlignment="1">
      <alignment vertical="center" wrapText="1" shrinkToFit="1"/>
    </xf>
    <xf numFmtId="4" fontId="88" fillId="3" borderId="21" xfId="0" applyNumberFormat="1" applyFont="1" applyFill="1" applyBorder="1" applyAlignment="1">
      <alignment vertical="center" wrapText="1" shrinkToFit="1"/>
    </xf>
    <xf numFmtId="16" fontId="89" fillId="3" borderId="1" xfId="0" applyNumberFormat="1" applyFont="1" applyFill="1" applyBorder="1" applyAlignment="1">
      <alignment horizontal="center" vertical="center" shrinkToFit="1"/>
    </xf>
    <xf numFmtId="16" fontId="89" fillId="3" borderId="1" xfId="0" applyNumberFormat="1" applyFont="1" applyFill="1" applyBorder="1" applyAlignment="1">
      <alignment horizontal="center" wrapText="1" shrinkToFit="1"/>
    </xf>
    <xf numFmtId="4" fontId="112" fillId="8" borderId="34" xfId="0" applyNumberFormat="1" applyFont="1" applyFill="1" applyBorder="1" applyAlignment="1">
      <alignment vertical="center" wrapText="1" shrinkToFit="1"/>
    </xf>
    <xf numFmtId="4" fontId="88" fillId="3" borderId="19" xfId="0" applyNumberFormat="1" applyFont="1" applyFill="1" applyBorder="1" applyAlignment="1">
      <alignment vertical="center" wrapText="1" shrinkToFit="1"/>
    </xf>
    <xf numFmtId="4" fontId="88" fillId="3" borderId="28" xfId="0" applyNumberFormat="1" applyFont="1" applyFill="1" applyBorder="1" applyAlignment="1">
      <alignment vertical="center" wrapText="1" shrinkToFit="1"/>
    </xf>
    <xf numFmtId="16" fontId="89" fillId="3" borderId="18" xfId="0" applyNumberFormat="1" applyFont="1" applyFill="1" applyBorder="1" applyAlignment="1">
      <alignment horizontal="center" vertical="center" wrapText="1" shrinkToFit="1"/>
    </xf>
    <xf numFmtId="16" fontId="89" fillId="3" borderId="1" xfId="0" applyNumberFormat="1" applyFont="1" applyFill="1" applyBorder="1" applyAlignment="1">
      <alignment horizontal="center" vertical="center" wrapText="1" shrinkToFit="1"/>
    </xf>
    <xf numFmtId="16" fontId="89" fillId="3" borderId="52" xfId="0" applyNumberFormat="1" applyFont="1" applyFill="1" applyBorder="1" applyAlignment="1">
      <alignment horizontal="center" vertical="center" wrapText="1" shrinkToFit="1"/>
    </xf>
    <xf numFmtId="4" fontId="112" fillId="8" borderId="4" xfId="0" applyNumberFormat="1" applyFont="1" applyFill="1" applyBorder="1" applyAlignment="1">
      <alignment vertical="center" wrapText="1" shrinkToFit="1"/>
    </xf>
    <xf numFmtId="4" fontId="112" fillId="8" borderId="6" xfId="0" applyNumberFormat="1" applyFont="1" applyFill="1" applyBorder="1" applyAlignment="1">
      <alignment vertical="center" wrapText="1" shrinkToFit="1"/>
    </xf>
    <xf numFmtId="4" fontId="88" fillId="3" borderId="23" xfId="0" applyNumberFormat="1" applyFont="1" applyFill="1" applyBorder="1" applyAlignment="1">
      <alignment vertical="center" wrapText="1" shrinkToFit="1"/>
    </xf>
    <xf numFmtId="16" fontId="89" fillId="3" borderId="10" xfId="0" applyNumberFormat="1" applyFont="1" applyFill="1" applyBorder="1" applyAlignment="1">
      <alignment horizontal="center" vertical="center" shrinkToFit="1"/>
    </xf>
    <xf numFmtId="16" fontId="89" fillId="3" borderId="1" xfId="0" applyNumberFormat="1" applyFont="1" applyFill="1" applyBorder="1" applyAlignment="1">
      <alignment vertical="center" shrinkToFit="1"/>
    </xf>
    <xf numFmtId="16" fontId="89" fillId="3" borderId="27" xfId="0" applyNumberFormat="1" applyFont="1" applyFill="1" applyBorder="1" applyAlignment="1">
      <alignment vertical="center" shrinkToFit="1"/>
    </xf>
    <xf numFmtId="4" fontId="112" fillId="8" borderId="24" xfId="0" applyNumberFormat="1" applyFont="1" applyFill="1" applyBorder="1" applyAlignment="1">
      <alignment vertical="center" shrinkToFit="1"/>
    </xf>
    <xf numFmtId="4" fontId="112" fillId="8" borderId="34" xfId="0" applyNumberFormat="1" applyFont="1" applyFill="1" applyBorder="1" applyAlignment="1">
      <alignment vertical="center" shrinkToFit="1"/>
    </xf>
    <xf numFmtId="4" fontId="88" fillId="3" borderId="19" xfId="0" applyNumberFormat="1" applyFont="1" applyFill="1" applyBorder="1" applyAlignment="1">
      <alignment vertical="center" shrinkToFit="1"/>
    </xf>
    <xf numFmtId="4" fontId="88" fillId="3" borderId="21" xfId="0" applyNumberFormat="1" applyFont="1" applyFill="1" applyBorder="1" applyAlignment="1">
      <alignment vertical="center" shrinkToFit="1"/>
    </xf>
    <xf numFmtId="4" fontId="88" fillId="3" borderId="28" xfId="0" applyNumberFormat="1" applyFont="1" applyFill="1" applyBorder="1" applyAlignment="1">
      <alignment vertical="center" shrinkToFit="1"/>
    </xf>
    <xf numFmtId="4" fontId="89" fillId="0" borderId="0" xfId="0" applyNumberFormat="1" applyFont="1" applyFill="1" applyBorder="1" applyAlignment="1">
      <alignment vertical="center" wrapText="1" shrinkToFit="1"/>
    </xf>
    <xf numFmtId="176" fontId="89" fillId="3" borderId="18" xfId="0" applyNumberFormat="1" applyFont="1" applyFill="1" applyBorder="1" applyAlignment="1">
      <alignment horizontal="center" vertical="center" wrapText="1" shrinkToFit="1"/>
    </xf>
    <xf numFmtId="4" fontId="112" fillId="8" borderId="41" xfId="0" applyNumberFormat="1" applyFont="1" applyFill="1" applyBorder="1" applyAlignment="1">
      <alignment vertical="center" shrinkToFit="1"/>
    </xf>
    <xf numFmtId="16" fontId="89" fillId="0" borderId="10" xfId="0" applyNumberFormat="1" applyFont="1" applyFill="1" applyBorder="1" applyAlignment="1">
      <alignment horizontal="center" vertical="center" shrinkToFit="1"/>
    </xf>
    <xf numFmtId="4" fontId="88" fillId="3" borderId="32" xfId="0" applyNumberFormat="1" applyFont="1" applyFill="1" applyBorder="1" applyAlignment="1">
      <alignment vertical="center" shrinkToFit="1"/>
    </xf>
    <xf numFmtId="16" fontId="89" fillId="3" borderId="10" xfId="0" applyNumberFormat="1" applyFont="1" applyFill="1" applyBorder="1" applyAlignment="1">
      <alignment horizontal="center" vertical="center" wrapText="1" shrinkToFit="1"/>
    </xf>
    <xf numFmtId="16" fontId="89" fillId="3" borderId="27" xfId="0" applyNumberFormat="1" applyFont="1" applyFill="1" applyBorder="1" applyAlignment="1">
      <alignment horizontal="center" vertical="center" wrapText="1" shrinkToFit="1"/>
    </xf>
    <xf numFmtId="4" fontId="112" fillId="8" borderId="25" xfId="0" applyNumberFormat="1" applyFont="1" applyFill="1" applyBorder="1" applyAlignment="1">
      <alignment vertical="center" wrapText="1" shrinkToFit="1"/>
    </xf>
    <xf numFmtId="16" fontId="89" fillId="3" borderId="18" xfId="0" applyNumberFormat="1" applyFont="1" applyFill="1" applyBorder="1" applyAlignment="1">
      <alignment horizontal="center" vertical="center" shrinkToFit="1"/>
    </xf>
    <xf numFmtId="16" fontId="89" fillId="0" borderId="52" xfId="0" applyNumberFormat="1" applyFont="1" applyFill="1" applyBorder="1" applyAlignment="1">
      <alignment horizontal="center" vertical="center" shrinkToFit="1"/>
    </xf>
    <xf numFmtId="16" fontId="89" fillId="0" borderId="18" xfId="0" applyNumberFormat="1" applyFont="1" applyFill="1" applyBorder="1" applyAlignment="1">
      <alignment horizontal="center" vertical="center" shrinkToFit="1"/>
    </xf>
    <xf numFmtId="16" fontId="89" fillId="0" borderId="1" xfId="0" applyNumberFormat="1" applyFont="1" applyFill="1" applyBorder="1" applyAlignment="1">
      <alignment vertical="center" shrinkToFit="1"/>
    </xf>
    <xf numFmtId="16" fontId="89" fillId="0" borderId="2" xfId="0" applyNumberFormat="1" applyFont="1" applyFill="1" applyBorder="1" applyAlignment="1">
      <alignment vertical="center" shrinkToFit="1"/>
    </xf>
    <xf numFmtId="16" fontId="89" fillId="0" borderId="27" xfId="0" applyNumberFormat="1" applyFont="1" applyFill="1" applyBorder="1" applyAlignment="1">
      <alignment vertical="center" shrinkToFit="1"/>
    </xf>
    <xf numFmtId="4" fontId="112" fillId="8" borderId="3" xfId="0" applyNumberFormat="1" applyFont="1" applyFill="1" applyBorder="1" applyAlignment="1">
      <alignment vertical="center" shrinkToFit="1"/>
    </xf>
    <xf numFmtId="4" fontId="88" fillId="3" borderId="33" xfId="0" applyNumberFormat="1" applyFont="1" applyFill="1" applyBorder="1" applyAlignment="1">
      <alignment vertical="center" shrinkToFit="1"/>
    </xf>
    <xf numFmtId="4" fontId="88" fillId="0" borderId="19" xfId="0" applyNumberFormat="1" applyFont="1" applyFill="1" applyBorder="1" applyAlignment="1">
      <alignment vertical="center" shrinkToFit="1"/>
    </xf>
    <xf numFmtId="4" fontId="88" fillId="0" borderId="21" xfId="0" applyNumberFormat="1" applyFont="1" applyFill="1" applyBorder="1" applyAlignment="1">
      <alignment vertical="center" shrinkToFit="1"/>
    </xf>
    <xf numFmtId="4" fontId="88" fillId="0" borderId="23" xfId="0" applyNumberFormat="1" applyFont="1" applyFill="1" applyBorder="1" applyAlignment="1">
      <alignment vertical="center" shrinkToFit="1"/>
    </xf>
    <xf numFmtId="16" fontId="89" fillId="0" borderId="1" xfId="0" applyNumberFormat="1" applyFont="1" applyFill="1" applyBorder="1" applyAlignment="1">
      <alignment horizontal="center" vertical="center" shrinkToFit="1"/>
    </xf>
    <xf numFmtId="4" fontId="88" fillId="3" borderId="23" xfId="0" applyNumberFormat="1" applyFont="1" applyFill="1" applyBorder="1" applyAlignment="1">
      <alignment vertical="center" shrinkToFit="1"/>
    </xf>
    <xf numFmtId="16" fontId="89" fillId="3" borderId="1" xfId="0" applyNumberFormat="1" applyFont="1" applyFill="1" applyBorder="1" applyAlignment="1">
      <alignment vertical="center" wrapText="1" shrinkToFit="1"/>
    </xf>
    <xf numFmtId="16" fontId="89" fillId="3" borderId="2" xfId="0" applyNumberFormat="1" applyFont="1" applyFill="1" applyBorder="1" applyAlignment="1">
      <alignment vertical="center" wrapText="1" shrinkToFit="1"/>
    </xf>
    <xf numFmtId="16" fontId="89" fillId="3" borderId="27" xfId="0" applyNumberFormat="1" applyFont="1" applyFill="1" applyBorder="1" applyAlignment="1">
      <alignment vertical="center" wrapText="1" shrinkToFit="1"/>
    </xf>
    <xf numFmtId="16" fontId="89" fillId="3" borderId="2" xfId="0" applyNumberFormat="1" applyFont="1" applyFill="1" applyBorder="1" applyAlignment="1">
      <alignment horizontal="center" vertical="center" shrinkToFit="1"/>
    </xf>
    <xf numFmtId="4" fontId="112" fillId="8" borderId="4" xfId="0" applyNumberFormat="1" applyFont="1" applyFill="1" applyBorder="1" applyAlignment="1">
      <alignment vertical="center" shrinkToFit="1"/>
    </xf>
    <xf numFmtId="4" fontId="112" fillId="8" borderId="13" xfId="0" applyNumberFormat="1" applyFont="1" applyFill="1" applyBorder="1" applyAlignment="1">
      <alignment vertical="center" shrinkToFit="1"/>
    </xf>
    <xf numFmtId="16" fontId="89" fillId="3" borderId="27" xfId="0" applyNumberFormat="1" applyFont="1" applyFill="1" applyBorder="1" applyAlignment="1">
      <alignment horizontal="center" vertical="center" shrinkToFit="1"/>
    </xf>
    <xf numFmtId="16" fontId="89" fillId="3" borderId="10" xfId="0" applyNumberFormat="1" applyFont="1" applyFill="1" applyBorder="1" applyAlignment="1">
      <alignment vertical="center" shrinkToFit="1"/>
    </xf>
    <xf numFmtId="0" fontId="20" fillId="0" borderId="0" xfId="0" applyFont="1" applyAlignment="1">
      <alignment horizontal="center" vertical="center"/>
    </xf>
    <xf numFmtId="4" fontId="48" fillId="0" borderId="10" xfId="0" applyNumberFormat="1" applyFont="1" applyBorder="1" applyAlignment="1">
      <alignment horizontal="center" vertical="center"/>
    </xf>
    <xf numFmtId="4" fontId="47" fillId="0" borderId="63" xfId="0" applyNumberFormat="1" applyFont="1" applyFill="1" applyBorder="1" applyAlignment="1">
      <alignment vertical="center"/>
    </xf>
    <xf numFmtId="4" fontId="48" fillId="0" borderId="63" xfId="0" applyNumberFormat="1" applyFont="1" applyFill="1" applyBorder="1" applyAlignment="1">
      <alignment vertical="center"/>
    </xf>
    <xf numFmtId="4" fontId="48" fillId="0" borderId="58" xfId="0" applyNumberFormat="1" applyFont="1" applyFill="1" applyBorder="1" applyAlignment="1">
      <alignment vertical="center"/>
    </xf>
    <xf numFmtId="4" fontId="48" fillId="0" borderId="39" xfId="0" applyNumberFormat="1" applyFont="1" applyFill="1" applyBorder="1" applyAlignment="1">
      <alignment vertical="center"/>
    </xf>
    <xf numFmtId="4" fontId="50" fillId="0" borderId="0" xfId="0" applyNumberFormat="1" applyFont="1" applyFill="1"/>
    <xf numFmtId="4" fontId="47" fillId="0" borderId="66" xfId="0" applyNumberFormat="1" applyFont="1" applyFill="1" applyBorder="1" applyAlignment="1">
      <alignment vertical="center"/>
    </xf>
    <xf numFmtId="4" fontId="48" fillId="0" borderId="40" xfId="0" applyNumberFormat="1" applyFont="1" applyFill="1" applyBorder="1" applyAlignment="1">
      <alignment vertical="center"/>
    </xf>
    <xf numFmtId="4" fontId="47" fillId="0" borderId="40" xfId="0" applyNumberFormat="1" applyFont="1" applyFill="1" applyBorder="1" applyAlignment="1">
      <alignment vertical="center"/>
    </xf>
    <xf numFmtId="4" fontId="48" fillId="0" borderId="45" xfId="0" applyNumberFormat="1" applyFont="1" applyFill="1" applyBorder="1" applyAlignment="1">
      <alignment vertical="center"/>
    </xf>
    <xf numFmtId="4" fontId="47" fillId="0" borderId="65" xfId="0" applyNumberFormat="1" applyFont="1" applyFill="1" applyBorder="1" applyAlignment="1">
      <alignment vertical="center"/>
    </xf>
    <xf numFmtId="4" fontId="48" fillId="0" borderId="65" xfId="0" applyNumberFormat="1" applyFont="1" applyFill="1" applyBorder="1" applyAlignment="1">
      <alignment vertical="center"/>
    </xf>
    <xf numFmtId="4" fontId="48" fillId="0" borderId="7" xfId="0" applyNumberFormat="1" applyFont="1" applyFill="1" applyBorder="1" applyAlignment="1">
      <alignment vertical="center"/>
    </xf>
    <xf numFmtId="4" fontId="47" fillId="0" borderId="64" xfId="0" applyNumberFormat="1" applyFont="1" applyFill="1" applyBorder="1" applyAlignment="1">
      <alignment vertical="center"/>
    </xf>
    <xf numFmtId="4" fontId="48" fillId="0" borderId="64" xfId="0" applyNumberFormat="1" applyFont="1" applyFill="1" applyBorder="1" applyAlignment="1">
      <alignment vertical="center"/>
    </xf>
    <xf numFmtId="4" fontId="48" fillId="0" borderId="59" xfId="0" applyNumberFormat="1" applyFont="1" applyFill="1" applyBorder="1" applyAlignment="1">
      <alignment vertical="center"/>
    </xf>
    <xf numFmtId="4" fontId="113" fillId="8" borderId="3" xfId="0" applyNumberFormat="1" applyFont="1" applyFill="1" applyBorder="1" applyAlignment="1">
      <alignment vertical="center"/>
    </xf>
    <xf numFmtId="4" fontId="113" fillId="8" borderId="34" xfId="0" applyNumberFormat="1" applyFont="1" applyFill="1" applyBorder="1" applyAlignment="1">
      <alignment vertical="center"/>
    </xf>
    <xf numFmtId="4" fontId="113" fillId="8" borderId="41" xfId="0" applyNumberFormat="1" applyFont="1" applyFill="1" applyBorder="1" applyAlignment="1">
      <alignment vertical="center"/>
    </xf>
    <xf numFmtId="0" fontId="51" fillId="0" borderId="0" xfId="0" applyFont="1"/>
    <xf numFmtId="2" fontId="0" fillId="0" borderId="0" xfId="0" applyNumberFormat="1"/>
    <xf numFmtId="0" fontId="5" fillId="0" borderId="71" xfId="1" applyFont="1" applyFill="1" applyBorder="1" applyAlignment="1">
      <alignment horizontal="justify" vertical="center" wrapText="1" shrinkToFit="1"/>
    </xf>
    <xf numFmtId="0" fontId="4" fillId="0" borderId="40" xfId="1" applyFont="1" applyFill="1" applyBorder="1" applyAlignment="1">
      <alignment horizontal="left" vertical="center" shrinkToFit="1"/>
    </xf>
    <xf numFmtId="0" fontId="5" fillId="0" borderId="44" xfId="2" applyFont="1" applyFill="1" applyBorder="1" applyAlignment="1">
      <alignment horizontal="center" vertical="center" shrinkToFit="1"/>
    </xf>
    <xf numFmtId="0" fontId="5" fillId="0" borderId="44" xfId="1" applyFont="1" applyFill="1" applyBorder="1" applyAlignment="1">
      <alignment vertical="center" wrapText="1" shrinkToFit="1"/>
    </xf>
    <xf numFmtId="0" fontId="5" fillId="0" borderId="44" xfId="1" applyFont="1" applyFill="1" applyBorder="1" applyAlignment="1">
      <alignment horizontal="left" vertical="center" shrinkToFit="1"/>
    </xf>
    <xf numFmtId="4" fontId="114" fillId="0" borderId="45" xfId="0" applyNumberFormat="1" applyFont="1" applyFill="1" applyBorder="1" applyAlignment="1">
      <alignment vertical="center"/>
    </xf>
    <xf numFmtId="4" fontId="114" fillId="0" borderId="40" xfId="0" applyNumberFormat="1" applyFont="1" applyFill="1" applyBorder="1" applyAlignment="1">
      <alignment vertical="center"/>
    </xf>
    <xf numFmtId="0" fontId="114" fillId="0" borderId="40" xfId="0" applyFont="1" applyFill="1" applyBorder="1" applyAlignment="1">
      <alignment vertical="center"/>
    </xf>
    <xf numFmtId="0" fontId="114" fillId="0" borderId="45" xfId="0" applyFont="1" applyFill="1" applyBorder="1" applyAlignment="1">
      <alignment vertical="center"/>
    </xf>
    <xf numFmtId="0" fontId="114" fillId="0" borderId="66" xfId="0" applyFont="1" applyFill="1" applyBorder="1" applyAlignment="1">
      <alignment vertical="center"/>
    </xf>
    <xf numFmtId="4" fontId="46" fillId="0" borderId="45" xfId="1" applyNumberFormat="1" applyFont="1" applyFill="1" applyBorder="1" applyAlignment="1">
      <alignment vertical="center" shrinkToFit="1"/>
    </xf>
    <xf numFmtId="4" fontId="46" fillId="0" borderId="40" xfId="1" applyNumberFormat="1" applyFont="1" applyFill="1" applyBorder="1" applyAlignment="1">
      <alignment vertical="center" shrinkToFit="1"/>
    </xf>
    <xf numFmtId="4" fontId="43" fillId="3" borderId="45" xfId="1" applyNumberFormat="1" applyFont="1" applyFill="1" applyBorder="1" applyAlignment="1">
      <alignment vertical="center" shrinkToFit="1"/>
    </xf>
    <xf numFmtId="4" fontId="43" fillId="3" borderId="40" xfId="1" applyNumberFormat="1" applyFont="1" applyFill="1" applyBorder="1" applyAlignment="1">
      <alignment vertical="center" shrinkToFit="1"/>
    </xf>
    <xf numFmtId="0" fontId="4" fillId="0" borderId="45" xfId="6" applyFont="1" applyFill="1" applyBorder="1" applyAlignment="1">
      <alignment vertical="center" shrinkToFit="1"/>
    </xf>
    <xf numFmtId="0" fontId="4" fillId="0" borderId="66" xfId="1" applyFont="1" applyFill="1" applyBorder="1" applyAlignment="1">
      <alignment horizontal="center" vertical="center" shrinkToFit="1"/>
    </xf>
    <xf numFmtId="0" fontId="5" fillId="3" borderId="40" xfId="1" applyFont="1" applyFill="1" applyBorder="1" applyAlignment="1">
      <alignment horizontal="center" vertical="center" shrinkToFit="1"/>
    </xf>
    <xf numFmtId="4" fontId="43" fillId="3" borderId="8" xfId="1" applyNumberFormat="1" applyFont="1" applyFill="1" applyBorder="1" applyAlignment="1">
      <alignment vertical="center" shrinkToFit="1"/>
    </xf>
    <xf numFmtId="4" fontId="43" fillId="3" borderId="66" xfId="1" applyNumberFormat="1" applyFont="1" applyFill="1" applyBorder="1" applyAlignment="1">
      <alignment vertical="center" shrinkToFit="1"/>
    </xf>
    <xf numFmtId="4" fontId="44" fillId="0" borderId="45" xfId="0" applyNumberFormat="1" applyFont="1" applyFill="1" applyBorder="1" applyAlignment="1">
      <alignment vertical="center"/>
    </xf>
    <xf numFmtId="0" fontId="43" fillId="0" borderId="40" xfId="1" applyFont="1" applyFill="1" applyBorder="1" applyAlignment="1">
      <alignment horizontal="center" vertical="center" shrinkToFit="1"/>
    </xf>
    <xf numFmtId="0" fontId="43" fillId="0" borderId="45" xfId="1" applyFont="1" applyFill="1" applyBorder="1" applyAlignment="1">
      <alignment horizontal="center" vertical="center" shrinkToFit="1"/>
    </xf>
    <xf numFmtId="4" fontId="44" fillId="0" borderId="40" xfId="0" applyNumberFormat="1" applyFont="1" applyFill="1" applyBorder="1" applyAlignment="1">
      <alignment vertical="center"/>
    </xf>
    <xf numFmtId="4" fontId="39" fillId="0" borderId="66" xfId="0" applyNumberFormat="1" applyFont="1" applyFill="1" applyBorder="1" applyAlignment="1">
      <alignment vertical="center"/>
    </xf>
    <xf numFmtId="0" fontId="44" fillId="0" borderId="40" xfId="0" applyFont="1" applyFill="1" applyBorder="1" applyAlignment="1">
      <alignment vertical="center"/>
    </xf>
    <xf numFmtId="0" fontId="44" fillId="0" borderId="45" xfId="0" applyFont="1" applyFill="1" applyBorder="1" applyAlignment="1">
      <alignment vertical="center"/>
    </xf>
    <xf numFmtId="0" fontId="44" fillId="0" borderId="8" xfId="0" applyFont="1" applyFill="1" applyBorder="1" applyAlignment="1">
      <alignment vertical="center"/>
    </xf>
    <xf numFmtId="4" fontId="44" fillId="0" borderId="66" xfId="0" applyNumberFormat="1" applyFont="1" applyFill="1" applyBorder="1" applyAlignment="1">
      <alignment vertical="center"/>
    </xf>
    <xf numFmtId="0" fontId="45" fillId="0" borderId="45" xfId="0" applyFont="1" applyFill="1" applyBorder="1" applyAlignment="1">
      <alignment vertical="center"/>
    </xf>
    <xf numFmtId="0" fontId="45" fillId="0" borderId="40" xfId="0" applyFont="1" applyFill="1" applyBorder="1" applyAlignment="1">
      <alignment vertical="center"/>
    </xf>
    <xf numFmtId="0" fontId="4" fillId="0" borderId="44" xfId="1" applyFont="1" applyFill="1" applyBorder="1" applyAlignment="1">
      <alignment horizontal="center" vertical="center" shrinkToFit="1"/>
    </xf>
    <xf numFmtId="0" fontId="4" fillId="0" borderId="71" xfId="1" applyFont="1" applyFill="1" applyBorder="1" applyAlignment="1">
      <alignment horizontal="center" vertical="center" shrinkToFit="1"/>
    </xf>
    <xf numFmtId="0" fontId="5" fillId="0" borderId="40" xfId="0" applyFont="1" applyFill="1" applyBorder="1" applyAlignment="1">
      <alignment vertical="center" shrinkToFit="1"/>
    </xf>
    <xf numFmtId="14" fontId="98" fillId="0" borderId="56" xfId="1" applyNumberFormat="1" applyFont="1" applyFill="1" applyBorder="1" applyAlignment="1">
      <alignment horizontal="center" vertical="center" shrinkToFit="1"/>
    </xf>
    <xf numFmtId="4" fontId="34" fillId="3" borderId="40" xfId="1" applyNumberFormat="1" applyFont="1" applyFill="1" applyBorder="1" applyAlignment="1">
      <alignment vertical="center" shrinkToFit="1"/>
    </xf>
    <xf numFmtId="0" fontId="20" fillId="0" borderId="65" xfId="0" applyFont="1" applyFill="1" applyBorder="1" applyAlignment="1">
      <alignment vertical="center"/>
    </xf>
    <xf numFmtId="4" fontId="88" fillId="0" borderId="1" xfId="0" applyNumberFormat="1" applyFont="1" applyFill="1" applyBorder="1" applyAlignment="1">
      <alignment vertical="center" wrapText="1" shrinkToFit="1"/>
    </xf>
    <xf numFmtId="4" fontId="115" fillId="0" borderId="1" xfId="0" applyNumberFormat="1" applyFont="1" applyBorder="1" applyAlignment="1">
      <alignment vertical="center"/>
    </xf>
    <xf numFmtId="4" fontId="115" fillId="0" borderId="0" xfId="0" applyNumberFormat="1" applyFont="1" applyAlignment="1">
      <alignment vertical="center"/>
    </xf>
    <xf numFmtId="4" fontId="88" fillId="0" borderId="27" xfId="0" applyNumberFormat="1" applyFont="1" applyFill="1" applyBorder="1" applyAlignment="1">
      <alignment vertical="center" wrapText="1" shrinkToFit="1"/>
    </xf>
    <xf numFmtId="4" fontId="88" fillId="0" borderId="1" xfId="0" applyNumberFormat="1" applyFont="1" applyFill="1" applyBorder="1" applyAlignment="1">
      <alignment vertical="center" shrinkToFit="1"/>
    </xf>
    <xf numFmtId="4" fontId="116" fillId="0" borderId="1" xfId="0" applyNumberFormat="1" applyFont="1" applyFill="1" applyBorder="1" applyAlignment="1">
      <alignment vertical="center" wrapText="1" shrinkToFit="1"/>
    </xf>
    <xf numFmtId="4" fontId="88" fillId="3" borderId="18" xfId="0" applyNumberFormat="1" applyFont="1" applyFill="1" applyBorder="1" applyAlignment="1">
      <alignment vertical="center" shrinkToFit="1"/>
    </xf>
    <xf numFmtId="4" fontId="88" fillId="3" borderId="1" xfId="0" applyNumberFormat="1" applyFont="1" applyFill="1" applyBorder="1" applyAlignment="1">
      <alignment vertical="center" shrinkToFit="1"/>
    </xf>
    <xf numFmtId="4" fontId="88" fillId="3" borderId="2" xfId="0" applyNumberFormat="1" applyFont="1" applyFill="1" applyBorder="1" applyAlignment="1">
      <alignment vertical="center" shrinkToFit="1"/>
    </xf>
    <xf numFmtId="4" fontId="88" fillId="3" borderId="10" xfId="0" applyNumberFormat="1" applyFont="1" applyFill="1" applyBorder="1" applyAlignment="1">
      <alignment vertical="center" shrinkToFit="1"/>
    </xf>
    <xf numFmtId="4" fontId="88" fillId="3" borderId="27" xfId="0" applyNumberFormat="1" applyFont="1" applyFill="1" applyBorder="1" applyAlignment="1">
      <alignment vertical="center" shrinkToFit="1"/>
    </xf>
    <xf numFmtId="4" fontId="88" fillId="0" borderId="18" xfId="0" applyNumberFormat="1" applyFont="1" applyFill="1" applyBorder="1" applyAlignment="1">
      <alignment vertical="center" shrinkToFit="1"/>
    </xf>
    <xf numFmtId="4" fontId="88" fillId="0" borderId="10" xfId="0" applyNumberFormat="1" applyFont="1" applyFill="1" applyBorder="1" applyAlignment="1">
      <alignment vertical="center" shrinkToFit="1"/>
    </xf>
    <xf numFmtId="4" fontId="116" fillId="0" borderId="1" xfId="0" applyNumberFormat="1" applyFont="1" applyFill="1" applyBorder="1" applyAlignment="1">
      <alignment vertical="center" shrinkToFit="1"/>
    </xf>
    <xf numFmtId="4" fontId="88" fillId="0" borderId="27" xfId="0" applyNumberFormat="1" applyFont="1" applyFill="1" applyBorder="1" applyAlignment="1">
      <alignment vertical="center" shrinkToFit="1"/>
    </xf>
    <xf numFmtId="4" fontId="88" fillId="3" borderId="18" xfId="0" applyNumberFormat="1" applyFont="1" applyFill="1" applyBorder="1" applyAlignment="1">
      <alignment vertical="center" wrapText="1" shrinkToFit="1"/>
    </xf>
    <xf numFmtId="4" fontId="88" fillId="0" borderId="1" xfId="0" applyNumberFormat="1" applyFont="1" applyFill="1" applyBorder="1" applyAlignment="1">
      <alignment horizontal="center" vertical="center" shrinkToFit="1"/>
    </xf>
    <xf numFmtId="4" fontId="88" fillId="3" borderId="1" xfId="0" applyNumberFormat="1" applyFont="1" applyFill="1" applyBorder="1" applyAlignment="1">
      <alignment horizontal="center" vertical="center" shrinkToFit="1"/>
    </xf>
    <xf numFmtId="4" fontId="112" fillId="3" borderId="18" xfId="0" applyNumberFormat="1" applyFont="1" applyFill="1" applyBorder="1" applyAlignment="1">
      <alignment vertical="center" wrapText="1" shrinkToFit="1"/>
    </xf>
    <xf numFmtId="4" fontId="88" fillId="3" borderId="1" xfId="0" applyNumberFormat="1" applyFont="1" applyFill="1" applyBorder="1" applyAlignment="1">
      <alignment horizontal="center" vertical="center" wrapText="1" shrinkToFit="1"/>
    </xf>
    <xf numFmtId="4" fontId="88" fillId="3" borderId="1" xfId="0" applyNumberFormat="1" applyFont="1" applyFill="1" applyBorder="1" applyAlignment="1">
      <alignment vertical="center" wrapText="1" shrinkToFit="1"/>
    </xf>
    <xf numFmtId="4" fontId="88" fillId="3" borderId="2" xfId="0" applyNumberFormat="1" applyFont="1" applyFill="1" applyBorder="1" applyAlignment="1">
      <alignment vertical="center" wrapText="1" shrinkToFit="1"/>
    </xf>
    <xf numFmtId="4" fontId="88" fillId="3" borderId="27" xfId="0" applyNumberFormat="1" applyFont="1" applyFill="1" applyBorder="1" applyAlignment="1">
      <alignment vertical="center" wrapText="1" shrinkToFit="1"/>
    </xf>
    <xf numFmtId="4" fontId="112" fillId="3" borderId="18" xfId="0" applyNumberFormat="1" applyFont="1" applyFill="1" applyBorder="1" applyAlignment="1">
      <alignment vertical="center" shrinkToFit="1"/>
    </xf>
    <xf numFmtId="4" fontId="88" fillId="3" borderId="2" xfId="0" applyNumberFormat="1" applyFont="1" applyFill="1" applyBorder="1" applyAlignment="1">
      <alignment horizontal="center" vertical="center" shrinkToFit="1"/>
    </xf>
    <xf numFmtId="4" fontId="88" fillId="3" borderId="52" xfId="0" applyNumberFormat="1" applyFont="1" applyFill="1" applyBorder="1" applyAlignment="1">
      <alignment horizontal="center" vertical="center" shrinkToFit="1"/>
    </xf>
    <xf numFmtId="4" fontId="88" fillId="3" borderId="52" xfId="0" applyNumberFormat="1" applyFont="1" applyFill="1" applyBorder="1" applyAlignment="1">
      <alignment vertical="center" shrinkToFit="1"/>
    </xf>
    <xf numFmtId="4" fontId="116" fillId="3" borderId="52" xfId="0" applyNumberFormat="1" applyFont="1" applyFill="1" applyBorder="1" applyAlignment="1">
      <alignment vertical="center" shrinkToFit="1"/>
    </xf>
    <xf numFmtId="4" fontId="112" fillId="3" borderId="49" xfId="0" applyNumberFormat="1" applyFont="1" applyFill="1" applyBorder="1" applyAlignment="1">
      <alignment vertical="center" shrinkToFit="1"/>
    </xf>
    <xf numFmtId="4" fontId="112" fillId="0" borderId="18" xfId="0" applyNumberFormat="1" applyFont="1" applyFill="1" applyBorder="1" applyAlignment="1">
      <alignment vertical="center" shrinkToFit="1"/>
    </xf>
    <xf numFmtId="0" fontId="104" fillId="0" borderId="37" xfId="0" applyFont="1" applyBorder="1" applyAlignment="1">
      <alignment vertical="center"/>
    </xf>
    <xf numFmtId="0" fontId="115" fillId="0" borderId="1" xfId="0" applyFont="1" applyBorder="1" applyAlignment="1">
      <alignment horizontal="center" vertical="center"/>
    </xf>
    <xf numFmtId="4" fontId="115" fillId="0" borderId="0" xfId="0" applyNumberFormat="1" applyFont="1" applyBorder="1" applyAlignment="1">
      <alignment vertical="center"/>
    </xf>
    <xf numFmtId="4" fontId="88" fillId="0" borderId="2" xfId="0" applyNumberFormat="1" applyFont="1" applyFill="1" applyBorder="1" applyAlignment="1">
      <alignment horizontal="center" vertical="center" shrinkToFit="1"/>
    </xf>
    <xf numFmtId="4" fontId="88" fillId="0" borderId="2" xfId="0" applyNumberFormat="1" applyFont="1" applyFill="1" applyBorder="1" applyAlignment="1">
      <alignment vertical="center" shrinkToFit="1"/>
    </xf>
    <xf numFmtId="4" fontId="112" fillId="3" borderId="10" xfId="0" applyNumberFormat="1" applyFont="1" applyFill="1" applyBorder="1" applyAlignment="1">
      <alignment vertical="center" shrinkToFit="1"/>
    </xf>
    <xf numFmtId="4" fontId="112" fillId="3" borderId="18" xfId="0" applyNumberFormat="1" applyFont="1" applyFill="1" applyBorder="1" applyAlignment="1">
      <alignment horizontal="right" vertical="center" shrinkToFit="1"/>
    </xf>
    <xf numFmtId="4" fontId="88" fillId="3" borderId="73" xfId="0" applyNumberFormat="1" applyFont="1" applyFill="1" applyBorder="1" applyAlignment="1">
      <alignment vertical="center" wrapText="1" shrinkToFit="1"/>
    </xf>
    <xf numFmtId="4" fontId="88" fillId="3" borderId="29" xfId="0" applyNumberFormat="1" applyFont="1" applyFill="1" applyBorder="1" applyAlignment="1">
      <alignment vertical="center" wrapText="1" shrinkToFit="1"/>
    </xf>
    <xf numFmtId="4" fontId="88" fillId="0" borderId="29" xfId="0" applyNumberFormat="1" applyFont="1" applyFill="1" applyBorder="1" applyAlignment="1">
      <alignment vertical="center" wrapText="1" shrinkToFit="1"/>
    </xf>
    <xf numFmtId="4" fontId="115" fillId="0" borderId="29" xfId="0" applyNumberFormat="1" applyFont="1" applyBorder="1" applyAlignment="1">
      <alignment vertical="center"/>
    </xf>
    <xf numFmtId="4" fontId="88" fillId="3" borderId="52" xfId="0" applyNumberFormat="1" applyFont="1" applyFill="1" applyBorder="1" applyAlignment="1">
      <alignment horizontal="center" vertical="center" wrapText="1" shrinkToFit="1"/>
    </xf>
    <xf numFmtId="0" fontId="104" fillId="0" borderId="9" xfId="0" applyFont="1" applyBorder="1" applyAlignment="1">
      <alignment vertical="center"/>
    </xf>
    <xf numFmtId="4" fontId="104" fillId="0" borderId="53" xfId="0" applyNumberFormat="1" applyFont="1" applyBorder="1" applyAlignment="1">
      <alignment vertical="center"/>
    </xf>
    <xf numFmtId="49" fontId="88" fillId="0" borderId="1" xfId="0" applyNumberFormat="1" applyFont="1" applyFill="1" applyBorder="1" applyAlignment="1">
      <alignment horizontal="center" vertical="center" wrapText="1" shrinkToFit="1"/>
    </xf>
    <xf numFmtId="4" fontId="88" fillId="0" borderId="1" xfId="0" applyNumberFormat="1" applyFont="1" applyFill="1" applyBorder="1" applyAlignment="1">
      <alignment horizontal="center" vertical="center" wrapText="1" shrinkToFit="1"/>
    </xf>
    <xf numFmtId="4" fontId="88" fillId="3" borderId="27" xfId="0" applyNumberFormat="1" applyFont="1" applyFill="1" applyBorder="1" applyAlignment="1">
      <alignment horizontal="center" vertical="center" wrapText="1" shrinkToFit="1"/>
    </xf>
    <xf numFmtId="4" fontId="43" fillId="0" borderId="0" xfId="1" applyNumberFormat="1" applyFont="1" applyFill="1" applyBorder="1" applyAlignment="1">
      <alignment vertical="center" shrinkToFit="1"/>
    </xf>
    <xf numFmtId="0" fontId="100" fillId="0" borderId="41" xfId="0" applyFont="1" applyBorder="1" applyAlignment="1">
      <alignment horizontal="justify" vertical="center" wrapText="1"/>
    </xf>
    <xf numFmtId="4" fontId="12" fillId="0" borderId="0" xfId="1" applyNumberFormat="1" applyFont="1" applyFill="1" applyBorder="1" applyAlignment="1">
      <alignment horizontal="center" vertical="center" shrinkToFit="1"/>
    </xf>
    <xf numFmtId="4" fontId="46" fillId="0" borderId="0" xfId="0" applyNumberFormat="1" applyFont="1" applyFill="1" applyBorder="1" applyAlignment="1">
      <alignment vertical="center" shrinkToFit="1"/>
    </xf>
    <xf numFmtId="0" fontId="100" fillId="0" borderId="11" xfId="0" applyFont="1" applyBorder="1" applyAlignment="1">
      <alignment horizontal="justify" vertical="center" wrapText="1"/>
    </xf>
    <xf numFmtId="0" fontId="36" fillId="0" borderId="22" xfId="5" applyFont="1" applyFill="1" applyBorder="1" applyAlignment="1">
      <alignment horizontal="center" vertical="center"/>
    </xf>
    <xf numFmtId="0" fontId="36" fillId="0" borderId="2" xfId="5" applyFont="1" applyFill="1" applyBorder="1" applyAlignment="1">
      <alignment horizontal="left" vertical="center" wrapText="1"/>
    </xf>
    <xf numFmtId="4" fontId="36" fillId="0" borderId="2" xfId="5" applyNumberFormat="1" applyFont="1" applyFill="1" applyBorder="1" applyAlignment="1">
      <alignment horizontal="right" vertical="center"/>
    </xf>
    <xf numFmtId="4" fontId="36" fillId="3" borderId="9" xfId="5" applyNumberFormat="1" applyFont="1" applyFill="1" applyBorder="1" applyAlignment="1">
      <alignment horizontal="right" vertical="center"/>
    </xf>
    <xf numFmtId="0" fontId="24" fillId="0" borderId="63" xfId="0" applyFont="1" applyBorder="1" applyAlignment="1">
      <alignment horizontal="justify" vertical="center" wrapText="1"/>
    </xf>
    <xf numFmtId="4" fontId="98" fillId="0" borderId="63" xfId="0" applyNumberFormat="1" applyFont="1" applyFill="1" applyBorder="1" applyAlignment="1">
      <alignment horizontal="right" vertical="center" shrinkToFit="1"/>
    </xf>
    <xf numFmtId="0" fontId="24" fillId="0" borderId="40" xfId="0" applyFont="1" applyBorder="1" applyAlignment="1">
      <alignment horizontal="justify" vertical="center" wrapText="1"/>
    </xf>
    <xf numFmtId="4" fontId="98" fillId="0" borderId="40" xfId="0" applyNumberFormat="1" applyFont="1" applyBorder="1" applyAlignment="1">
      <alignment vertical="center"/>
    </xf>
    <xf numFmtId="4" fontId="98" fillId="0" borderId="66" xfId="0" applyNumberFormat="1" applyFont="1" applyBorder="1" applyAlignment="1">
      <alignment vertical="center"/>
    </xf>
    <xf numFmtId="166" fontId="12" fillId="8" borderId="13" xfId="1" applyNumberFormat="1" applyFont="1" applyFill="1" applyBorder="1" applyAlignment="1">
      <alignment horizontal="center" vertical="center" shrinkToFit="1"/>
    </xf>
    <xf numFmtId="166" fontId="12" fillId="8" borderId="11" xfId="1" applyNumberFormat="1" applyFont="1" applyFill="1" applyBorder="1" applyAlignment="1">
      <alignment horizontal="center" vertical="center" shrinkToFit="1"/>
    </xf>
    <xf numFmtId="4" fontId="40" fillId="0" borderId="0" xfId="0" applyNumberFormat="1" applyFont="1" applyFill="1" applyAlignment="1">
      <alignment vertical="center"/>
    </xf>
    <xf numFmtId="0" fontId="16" fillId="0" borderId="66" xfId="1" applyFont="1" applyFill="1" applyBorder="1" applyAlignment="1">
      <alignment horizontal="justify" vertical="center" wrapText="1" shrinkToFit="1"/>
    </xf>
    <xf numFmtId="166" fontId="97" fillId="11" borderId="3" xfId="1" applyNumberFormat="1" applyFont="1" applyFill="1" applyBorder="1" applyAlignment="1">
      <alignment horizontal="center" vertical="center" shrinkToFit="1"/>
    </xf>
    <xf numFmtId="166" fontId="39" fillId="0" borderId="56" xfId="1" applyNumberFormat="1" applyFont="1" applyFill="1" applyBorder="1" applyAlignment="1">
      <alignment horizontal="center" vertical="center" shrinkToFit="1"/>
    </xf>
    <xf numFmtId="166" fontId="16" fillId="0" borderId="56" xfId="1" applyNumberFormat="1" applyFont="1" applyFill="1" applyBorder="1" applyAlignment="1">
      <alignment horizontal="center" vertical="center" shrinkToFit="1"/>
    </xf>
    <xf numFmtId="166" fontId="89" fillId="0" borderId="56" xfId="1" applyNumberFormat="1" applyFont="1" applyFill="1" applyBorder="1" applyAlignment="1">
      <alignment horizontal="center" vertical="center" shrinkToFit="1"/>
    </xf>
    <xf numFmtId="166" fontId="11" fillId="0" borderId="44" xfId="1" applyNumberFormat="1" applyFont="1" applyFill="1" applyBorder="1" applyAlignment="1">
      <alignment horizontal="center" vertical="center" shrinkToFit="1"/>
    </xf>
    <xf numFmtId="166" fontId="34" fillId="0" borderId="56" xfId="1" applyNumberFormat="1" applyFont="1" applyFill="1" applyBorder="1" applyAlignment="1">
      <alignment horizontal="center" vertical="center" shrinkToFit="1"/>
    </xf>
    <xf numFmtId="166" fontId="11" fillId="0" borderId="56" xfId="1" applyNumberFormat="1" applyFont="1" applyFill="1" applyBorder="1" applyAlignment="1">
      <alignment horizontal="center" vertical="center" shrinkToFit="1"/>
    </xf>
    <xf numFmtId="166" fontId="34" fillId="0" borderId="44" xfId="1" applyNumberFormat="1" applyFont="1" applyFill="1" applyBorder="1" applyAlignment="1">
      <alignment horizontal="center" vertical="center" shrinkToFit="1"/>
    </xf>
    <xf numFmtId="166" fontId="89" fillId="0" borderId="44" xfId="1" applyNumberFormat="1" applyFont="1" applyFill="1" applyBorder="1" applyAlignment="1">
      <alignment horizontal="center" vertical="center" shrinkToFit="1"/>
    </xf>
    <xf numFmtId="166" fontId="12" fillId="0" borderId="56" xfId="1" applyNumberFormat="1" applyFont="1" applyFill="1" applyBorder="1" applyAlignment="1">
      <alignment horizontal="center" vertical="center" shrinkToFit="1"/>
    </xf>
    <xf numFmtId="166" fontId="97" fillId="0" borderId="44" xfId="1" applyNumberFormat="1" applyFont="1" applyFill="1" applyBorder="1" applyAlignment="1">
      <alignment horizontal="center" vertical="center" shrinkToFit="1"/>
    </xf>
    <xf numFmtId="0" fontId="21" fillId="0" borderId="0" xfId="0" applyFont="1" applyAlignment="1">
      <alignment horizontal="center" vertical="center"/>
    </xf>
    <xf numFmtId="0" fontId="20" fillId="0" borderId="0" xfId="0" applyFont="1" applyAlignment="1">
      <alignment horizontal="center" vertical="center"/>
    </xf>
    <xf numFmtId="0" fontId="5" fillId="0" borderId="65" xfId="1" applyFont="1" applyFill="1" applyBorder="1" applyAlignment="1">
      <alignment horizontal="center" vertical="center" shrinkToFit="1"/>
    </xf>
    <xf numFmtId="0" fontId="11" fillId="0" borderId="0" xfId="0" applyFont="1" applyAlignment="1">
      <alignment horizontal="center" vertical="center"/>
    </xf>
    <xf numFmtId="0" fontId="4" fillId="0" borderId="40" xfId="1" applyFont="1" applyFill="1" applyBorder="1" applyAlignment="1">
      <alignment horizontal="justify" vertical="center" wrapText="1" shrinkToFit="1"/>
    </xf>
    <xf numFmtId="0" fontId="20" fillId="0" borderId="44" xfId="1" applyFont="1" applyFill="1" applyBorder="1" applyAlignment="1">
      <alignment horizontal="justify" vertical="center" wrapText="1" shrinkToFit="1"/>
    </xf>
    <xf numFmtId="166" fontId="98" fillId="0" borderId="44" xfId="1" applyNumberFormat="1" applyFont="1" applyFill="1" applyBorder="1" applyAlignment="1">
      <alignment horizontal="center" vertical="center" shrinkToFit="1"/>
    </xf>
    <xf numFmtId="166" fontId="98" fillId="0" borderId="45" xfId="1" applyNumberFormat="1" applyFont="1" applyFill="1" applyBorder="1" applyAlignment="1">
      <alignment horizontal="center" vertical="center" shrinkToFit="1"/>
    </xf>
    <xf numFmtId="166" fontId="20" fillId="0" borderId="30" xfId="0" applyNumberFormat="1" applyFont="1" applyFill="1" applyBorder="1" applyAlignment="1">
      <alignment vertical="center"/>
    </xf>
    <xf numFmtId="166" fontId="99" fillId="0" borderId="44" xfId="1" applyNumberFormat="1" applyFont="1" applyFill="1" applyBorder="1" applyAlignment="1">
      <alignment horizontal="center" vertical="center" shrinkToFit="1"/>
    </xf>
    <xf numFmtId="166" fontId="99" fillId="0" borderId="56" xfId="1" applyNumberFormat="1" applyFont="1" applyFill="1" applyBorder="1" applyAlignment="1">
      <alignment horizontal="center" vertical="center" shrinkToFit="1"/>
    </xf>
    <xf numFmtId="166" fontId="48" fillId="0" borderId="44" xfId="1" applyNumberFormat="1" applyFont="1" applyFill="1" applyBorder="1" applyAlignment="1">
      <alignment horizontal="center" vertical="center" shrinkToFit="1"/>
    </xf>
    <xf numFmtId="0" fontId="4" fillId="0" borderId="44" xfId="1" applyFont="1" applyFill="1" applyBorder="1" applyAlignment="1">
      <alignment horizontal="left" vertical="center" wrapText="1" shrinkToFit="1"/>
    </xf>
    <xf numFmtId="4" fontId="39" fillId="0" borderId="38" xfId="0" applyNumberFormat="1" applyFont="1" applyFill="1" applyBorder="1" applyAlignment="1">
      <alignment vertical="center"/>
    </xf>
    <xf numFmtId="4" fontId="39" fillId="0" borderId="30" xfId="0" applyNumberFormat="1" applyFont="1" applyFill="1" applyBorder="1" applyAlignment="1">
      <alignment vertical="center"/>
    </xf>
    <xf numFmtId="0" fontId="45" fillId="0" borderId="47" xfId="0" applyFont="1" applyFill="1" applyBorder="1" applyAlignment="1">
      <alignment vertical="center"/>
    </xf>
    <xf numFmtId="0" fontId="45" fillId="0" borderId="76" xfId="0" applyFont="1" applyFill="1" applyBorder="1" applyAlignment="1">
      <alignment vertical="center"/>
    </xf>
    <xf numFmtId="0" fontId="44" fillId="0" borderId="66" xfId="0" applyFont="1" applyFill="1" applyBorder="1" applyAlignment="1">
      <alignment vertical="center"/>
    </xf>
    <xf numFmtId="4" fontId="44" fillId="0" borderId="8" xfId="0" applyNumberFormat="1" applyFont="1" applyFill="1" applyBorder="1" applyAlignment="1">
      <alignment vertical="center"/>
    </xf>
    <xf numFmtId="0" fontId="45" fillId="0" borderId="66" xfId="0" applyFont="1" applyFill="1" applyBorder="1" applyAlignment="1">
      <alignment vertical="center"/>
    </xf>
    <xf numFmtId="4" fontId="45" fillId="0" borderId="40" xfId="0" applyNumberFormat="1" applyFont="1" applyFill="1" applyBorder="1" applyAlignment="1">
      <alignment vertical="center"/>
    </xf>
    <xf numFmtId="4" fontId="45" fillId="0" borderId="65" xfId="0" applyNumberFormat="1" applyFont="1" applyFill="1" applyBorder="1" applyAlignment="1">
      <alignment vertical="center"/>
    </xf>
    <xf numFmtId="166" fontId="39" fillId="11" borderId="44" xfId="1" applyNumberFormat="1" applyFont="1" applyFill="1" applyBorder="1" applyAlignment="1">
      <alignment horizontal="center" vertical="center" shrinkToFit="1"/>
    </xf>
    <xf numFmtId="3" fontId="20" fillId="0" borderId="0" xfId="0" applyNumberFormat="1" applyFont="1" applyFill="1" applyAlignment="1">
      <alignment vertical="center"/>
    </xf>
    <xf numFmtId="1" fontId="20" fillId="0" borderId="0" xfId="0" applyNumberFormat="1" applyFont="1" applyFill="1" applyAlignment="1">
      <alignment vertical="center"/>
    </xf>
    <xf numFmtId="0" fontId="20" fillId="0" borderId="43" xfId="0" applyFont="1" applyFill="1" applyBorder="1" applyAlignment="1">
      <alignment vertical="center"/>
    </xf>
    <xf numFmtId="0" fontId="12" fillId="0" borderId="56" xfId="1" applyFont="1" applyFill="1" applyBorder="1" applyAlignment="1">
      <alignment horizontal="center" vertical="center" shrinkToFit="1"/>
    </xf>
    <xf numFmtId="0" fontId="12" fillId="0" borderId="44" xfId="1" applyFont="1" applyFill="1" applyBorder="1" applyAlignment="1">
      <alignment horizontal="center" vertical="center" wrapText="1" shrinkToFit="1"/>
    </xf>
    <xf numFmtId="0" fontId="108" fillId="0" borderId="63" xfId="0" applyFont="1" applyFill="1" applyBorder="1" applyAlignment="1">
      <alignment horizontal="center" vertical="center"/>
    </xf>
    <xf numFmtId="14" fontId="11" fillId="7" borderId="11" xfId="0" applyNumberFormat="1" applyFont="1" applyFill="1" applyBorder="1" applyAlignment="1">
      <alignment horizontal="center" vertical="center" wrapText="1"/>
    </xf>
    <xf numFmtId="166" fontId="91" fillId="7" borderId="3" xfId="0" applyNumberFormat="1" applyFont="1" applyFill="1" applyBorder="1" applyAlignment="1">
      <alignment horizontal="center" vertical="center"/>
    </xf>
    <xf numFmtId="4" fontId="113" fillId="7" borderId="3" xfId="0" applyNumberFormat="1" applyFont="1" applyFill="1" applyBorder="1" applyAlignment="1">
      <alignment horizontal="right" vertical="center"/>
    </xf>
    <xf numFmtId="0" fontId="35" fillId="11" borderId="39" xfId="0" applyFont="1" applyFill="1" applyBorder="1" applyAlignment="1">
      <alignment horizontal="center" vertical="center"/>
    </xf>
    <xf numFmtId="0" fontId="35" fillId="11" borderId="42" xfId="0" applyFont="1" applyFill="1" applyBorder="1" applyAlignment="1">
      <alignment horizontal="center" vertical="center"/>
    </xf>
    <xf numFmtId="4" fontId="113" fillId="11" borderId="34" xfId="0" applyNumberFormat="1" applyFont="1" applyFill="1" applyBorder="1" applyAlignment="1">
      <alignment vertical="center"/>
    </xf>
    <xf numFmtId="4" fontId="113" fillId="11" borderId="35" xfId="0" applyNumberFormat="1" applyFont="1" applyFill="1" applyBorder="1" applyAlignment="1">
      <alignment vertical="center"/>
    </xf>
    <xf numFmtId="4" fontId="113" fillId="11" borderId="3" xfId="0" applyNumberFormat="1" applyFont="1" applyFill="1" applyBorder="1" applyAlignment="1">
      <alignment vertical="center"/>
    </xf>
    <xf numFmtId="0" fontId="19" fillId="0" borderId="0" xfId="0" applyFont="1" applyBorder="1" applyAlignment="1">
      <alignment vertical="center"/>
    </xf>
    <xf numFmtId="0" fontId="42" fillId="0" borderId="40" xfId="0" applyFont="1" applyFill="1" applyBorder="1" applyAlignment="1">
      <alignment horizontal="left" vertical="center"/>
    </xf>
    <xf numFmtId="4" fontId="114" fillId="0" borderId="66" xfId="0" applyNumberFormat="1" applyFont="1" applyFill="1" applyBorder="1" applyAlignment="1">
      <alignment vertical="center"/>
    </xf>
    <xf numFmtId="0" fontId="108" fillId="0" borderId="66" xfId="0" applyFont="1" applyFill="1" applyBorder="1" applyAlignment="1">
      <alignment horizontal="center" vertical="center"/>
    </xf>
    <xf numFmtId="0" fontId="4" fillId="0" borderId="44" xfId="1" applyFont="1" applyFill="1" applyBorder="1" applyAlignment="1">
      <alignment horizontal="left" vertical="center" shrinkToFit="1"/>
    </xf>
    <xf numFmtId="0" fontId="12" fillId="0" borderId="8" xfId="1" applyFont="1" applyFill="1" applyBorder="1" applyAlignment="1">
      <alignment horizontal="center" vertical="center" shrinkToFit="1"/>
    </xf>
    <xf numFmtId="166" fontId="4" fillId="11" borderId="3" xfId="1" applyNumberFormat="1" applyFont="1" applyFill="1" applyBorder="1" applyAlignment="1">
      <alignment horizontal="center" vertical="center" shrinkToFit="1"/>
    </xf>
    <xf numFmtId="0" fontId="108" fillId="0" borderId="44" xfId="0" applyFont="1" applyFill="1" applyBorder="1" applyAlignment="1">
      <alignment horizontal="center" vertical="center"/>
    </xf>
    <xf numFmtId="0" fontId="108" fillId="0" borderId="60" xfId="0" applyFont="1" applyFill="1" applyBorder="1" applyAlignment="1">
      <alignment horizontal="center" vertical="center"/>
    </xf>
    <xf numFmtId="166" fontId="98" fillId="0" borderId="56" xfId="1" applyNumberFormat="1" applyFont="1" applyFill="1" applyBorder="1" applyAlignment="1">
      <alignment horizontal="center" vertical="center" shrinkToFit="1"/>
    </xf>
    <xf numFmtId="166" fontId="20" fillId="0" borderId="44" xfId="0" applyNumberFormat="1" applyFont="1" applyFill="1" applyBorder="1" applyAlignment="1">
      <alignment vertical="center"/>
    </xf>
    <xf numFmtId="0" fontId="12" fillId="0" borderId="45" xfId="6" applyFont="1" applyFill="1" applyBorder="1" applyAlignment="1">
      <alignment horizontal="center" vertical="center" wrapText="1" shrinkToFit="1"/>
    </xf>
    <xf numFmtId="0" fontId="46" fillId="8" borderId="42" xfId="0" applyFont="1" applyFill="1" applyBorder="1" applyAlignment="1">
      <alignment horizontal="center" vertical="center"/>
    </xf>
    <xf numFmtId="4" fontId="46" fillId="8" borderId="39" xfId="0" applyNumberFormat="1" applyFont="1" applyFill="1" applyBorder="1" applyAlignment="1">
      <alignment horizontal="center" vertical="center" shrinkToFit="1"/>
    </xf>
    <xf numFmtId="0" fontId="136" fillId="0" borderId="63" xfId="0" applyFont="1" applyBorder="1" applyAlignment="1">
      <alignment horizontal="justify" vertical="center"/>
    </xf>
    <xf numFmtId="4" fontId="138" fillId="0" borderId="63" xfId="0" applyNumberFormat="1" applyFont="1" applyFill="1" applyBorder="1" applyAlignment="1">
      <alignment horizontal="right" vertical="center" shrinkToFit="1"/>
    </xf>
    <xf numFmtId="0" fontId="47" fillId="0" borderId="40" xfId="0" applyFont="1" applyBorder="1" applyAlignment="1">
      <alignment horizontal="justify" vertical="center"/>
    </xf>
    <xf numFmtId="4" fontId="138" fillId="0" borderId="66" xfId="0" applyNumberFormat="1" applyFont="1" applyFill="1" applyBorder="1" applyAlignment="1">
      <alignment horizontal="right" vertical="center" shrinkToFit="1"/>
    </xf>
    <xf numFmtId="0" fontId="47" fillId="0" borderId="66" xfId="0" applyFont="1" applyBorder="1" applyAlignment="1">
      <alignment horizontal="justify" vertical="center"/>
    </xf>
    <xf numFmtId="4" fontId="139" fillId="11" borderId="3" xfId="0" applyNumberFormat="1" applyFont="1" applyFill="1" applyBorder="1" applyAlignment="1">
      <alignment vertical="center"/>
    </xf>
    <xf numFmtId="4" fontId="138" fillId="0" borderId="34" xfId="0" applyNumberFormat="1" applyFont="1" applyFill="1" applyBorder="1" applyAlignment="1">
      <alignment vertical="center"/>
    </xf>
    <xf numFmtId="0" fontId="46" fillId="11" borderId="11" xfId="0" applyFont="1" applyFill="1" applyBorder="1" applyAlignment="1">
      <alignment horizontal="right" vertical="center" wrapText="1"/>
    </xf>
    <xf numFmtId="0" fontId="140" fillId="0" borderId="3" xfId="0" applyFont="1" applyBorder="1" applyAlignment="1">
      <alignment vertical="center"/>
    </xf>
    <xf numFmtId="0" fontId="141" fillId="0" borderId="12" xfId="0" applyFont="1" applyBorder="1" applyAlignment="1">
      <alignment horizontal="center" vertical="center" wrapText="1"/>
    </xf>
    <xf numFmtId="0" fontId="141" fillId="0" borderId="3" xfId="0" applyFont="1" applyBorder="1" applyAlignment="1">
      <alignment horizontal="center" vertical="center" wrapText="1"/>
    </xf>
    <xf numFmtId="0" fontId="141" fillId="0" borderId="3" xfId="0" applyFont="1" applyBorder="1" applyAlignment="1">
      <alignment horizontal="center" wrapText="1"/>
    </xf>
    <xf numFmtId="0" fontId="47" fillId="0" borderId="3" xfId="0" applyFont="1" applyBorder="1" applyAlignment="1">
      <alignment horizontal="left" vertical="center" wrapText="1"/>
    </xf>
    <xf numFmtId="4" fontId="61" fillId="0" borderId="63" xfId="0" applyNumberFormat="1" applyFont="1" applyBorder="1" applyAlignment="1">
      <alignment vertical="center"/>
    </xf>
    <xf numFmtId="0" fontId="142" fillId="0" borderId="66" xfId="0" applyFont="1" applyBorder="1" applyAlignment="1">
      <alignment vertical="center"/>
    </xf>
    <xf numFmtId="4" fontId="143" fillId="0" borderId="8" xfId="0" applyNumberFormat="1" applyFont="1" applyBorder="1" applyAlignment="1">
      <alignment horizontal="right" vertical="center"/>
    </xf>
    <xf numFmtId="4" fontId="143" fillId="0" borderId="66" xfId="0" applyNumberFormat="1" applyFont="1" applyBorder="1" applyAlignment="1">
      <alignment horizontal="right" vertical="center"/>
    </xf>
    <xf numFmtId="4" fontId="26" fillId="0" borderId="0" xfId="0" applyNumberFormat="1" applyFont="1" applyBorder="1" applyAlignment="1">
      <alignment horizontal="center" vertical="center"/>
    </xf>
    <xf numFmtId="0" fontId="47" fillId="0" borderId="3" xfId="0" applyFont="1" applyBorder="1" applyAlignment="1">
      <alignment horizontal="justify" vertical="center" wrapText="1"/>
    </xf>
    <xf numFmtId="4" fontId="61" fillId="0" borderId="39" xfId="0" applyNumberFormat="1" applyFont="1" applyFill="1" applyBorder="1" applyAlignment="1">
      <alignment horizontal="right" vertical="center" shrinkToFit="1"/>
    </xf>
    <xf numFmtId="0" fontId="142" fillId="0" borderId="40" xfId="0" applyFont="1" applyBorder="1" applyAlignment="1">
      <alignment vertical="center"/>
    </xf>
    <xf numFmtId="4" fontId="143" fillId="0" borderId="45" xfId="0" applyNumberFormat="1" applyFont="1" applyBorder="1" applyAlignment="1">
      <alignment horizontal="right" vertical="center"/>
    </xf>
    <xf numFmtId="4" fontId="143" fillId="0" borderId="40" xfId="0" applyNumberFormat="1" applyFont="1" applyBorder="1" applyAlignment="1">
      <alignment horizontal="right" vertical="center"/>
    </xf>
    <xf numFmtId="4" fontId="61" fillId="0" borderId="3" xfId="0" applyNumberFormat="1" applyFont="1" applyFill="1" applyBorder="1" applyAlignment="1">
      <alignment horizontal="right" vertical="center" shrinkToFit="1"/>
    </xf>
    <xf numFmtId="4" fontId="61" fillId="0" borderId="34" xfId="0" applyNumberFormat="1" applyFont="1" applyFill="1" applyBorder="1" applyAlignment="1">
      <alignment vertical="center"/>
    </xf>
    <xf numFmtId="0" fontId="142" fillId="0" borderId="65" xfId="0" applyFont="1" applyBorder="1" applyAlignment="1">
      <alignment vertical="center"/>
    </xf>
    <xf numFmtId="4" fontId="143" fillId="0" borderId="7" xfId="0" applyNumberFormat="1" applyFont="1" applyBorder="1" applyAlignment="1">
      <alignment horizontal="right" vertical="center"/>
    </xf>
    <xf numFmtId="4" fontId="143" fillId="0" borderId="65" xfId="0" applyNumberFormat="1" applyFont="1" applyBorder="1" applyAlignment="1">
      <alignment horizontal="right" vertical="center"/>
    </xf>
    <xf numFmtId="0" fontId="46" fillId="8" borderId="3" xfId="0" applyFont="1" applyFill="1" applyBorder="1" applyAlignment="1">
      <alignment horizontal="right" vertical="center" wrapText="1"/>
    </xf>
    <xf numFmtId="4" fontId="139" fillId="8" borderId="3" xfId="0" applyNumberFormat="1" applyFont="1" applyFill="1" applyBorder="1" applyAlignment="1">
      <alignment vertical="center"/>
    </xf>
    <xf numFmtId="4" fontId="26" fillId="0" borderId="0" xfId="0" applyNumberFormat="1" applyFont="1" applyAlignment="1">
      <alignment horizontal="left" vertical="center"/>
    </xf>
    <xf numFmtId="4" fontId="25" fillId="0" borderId="0" xfId="0" applyNumberFormat="1" applyFont="1" applyAlignment="1">
      <alignment horizontal="left" vertical="center"/>
    </xf>
    <xf numFmtId="0" fontId="142" fillId="0" borderId="3" xfId="0" applyFont="1" applyBorder="1" applyAlignment="1">
      <alignment horizontal="center" vertical="center"/>
    </xf>
    <xf numFmtId="4" fontId="142" fillId="0" borderId="12" xfId="0" applyNumberFormat="1" applyFont="1" applyBorder="1" applyAlignment="1">
      <alignment vertical="center"/>
    </xf>
    <xf numFmtId="4" fontId="142" fillId="0" borderId="3" xfId="0" applyNumberFormat="1" applyFont="1" applyBorder="1" applyAlignment="1">
      <alignment vertical="center"/>
    </xf>
    <xf numFmtId="4" fontId="26" fillId="11" borderId="0" xfId="0" applyNumberFormat="1" applyFont="1" applyFill="1" applyBorder="1" applyAlignment="1">
      <alignment vertical="center" wrapText="1"/>
    </xf>
    <xf numFmtId="4" fontId="144" fillId="0" borderId="0" xfId="0" applyNumberFormat="1" applyFont="1" applyBorder="1" applyAlignment="1">
      <alignment vertical="center"/>
    </xf>
    <xf numFmtId="4" fontId="0" fillId="0" borderId="0" xfId="0" applyNumberFormat="1" applyFont="1" applyAlignment="1">
      <alignment vertical="center"/>
    </xf>
    <xf numFmtId="4" fontId="26" fillId="4" borderId="0" xfId="0" applyNumberFormat="1" applyFont="1" applyFill="1" applyBorder="1" applyAlignment="1">
      <alignment vertical="center"/>
    </xf>
    <xf numFmtId="0" fontId="47" fillId="0" borderId="34" xfId="0" applyFont="1" applyBorder="1" applyAlignment="1">
      <alignment horizontal="justify" vertical="center" wrapText="1"/>
    </xf>
    <xf numFmtId="4" fontId="61" fillId="0" borderId="47" xfId="0" applyNumberFormat="1" applyFont="1" applyFill="1" applyBorder="1" applyAlignment="1">
      <alignment horizontal="right" vertical="center" shrinkToFit="1"/>
    </xf>
    <xf numFmtId="0" fontId="47" fillId="0" borderId="63" xfId="0" applyFont="1" applyBorder="1" applyAlignment="1">
      <alignment horizontal="left" vertical="center" wrapText="1"/>
    </xf>
    <xf numFmtId="0" fontId="19" fillId="0" borderId="0" xfId="0" applyFont="1" applyBorder="1" applyAlignment="1">
      <alignment vertical="center"/>
    </xf>
    <xf numFmtId="4" fontId="43" fillId="0" borderId="72" xfId="1" applyNumberFormat="1" applyFont="1" applyFill="1" applyBorder="1" applyAlignment="1">
      <alignment horizontal="right" vertical="center" shrinkToFit="1"/>
    </xf>
    <xf numFmtId="4" fontId="98" fillId="0" borderId="47" xfId="0" applyNumberFormat="1" applyFont="1" applyBorder="1" applyAlignment="1">
      <alignment vertical="center"/>
    </xf>
    <xf numFmtId="0" fontId="91" fillId="0" borderId="41" xfId="0" applyFont="1" applyBorder="1" applyAlignment="1">
      <alignment horizontal="justify" vertical="center" wrapText="1"/>
    </xf>
    <xf numFmtId="0" fontId="47" fillId="0" borderId="11" xfId="0" applyFont="1" applyBorder="1" applyAlignment="1">
      <alignment horizontal="justify" vertical="center" wrapText="1"/>
    </xf>
    <xf numFmtId="0" fontId="47" fillId="0" borderId="43" xfId="0" applyFont="1" applyBorder="1" applyAlignment="1">
      <alignment horizontal="justify" vertical="center" wrapText="1"/>
    </xf>
    <xf numFmtId="4" fontId="138" fillId="0" borderId="63" xfId="0" applyNumberFormat="1" applyFont="1" applyFill="1" applyBorder="1" applyAlignment="1">
      <alignment vertical="center"/>
    </xf>
    <xf numFmtId="0" fontId="47" fillId="0" borderId="44" xfId="0" applyFont="1" applyBorder="1" applyAlignment="1">
      <alignment horizontal="justify" vertical="center" wrapText="1"/>
    </xf>
    <xf numFmtId="4" fontId="138" fillId="0" borderId="40" xfId="0" applyNumberFormat="1" applyFont="1" applyFill="1" applyBorder="1" applyAlignment="1">
      <alignment vertical="center"/>
    </xf>
    <xf numFmtId="0" fontId="145" fillId="11" borderId="3" xfId="0" applyFont="1" applyFill="1" applyBorder="1" applyAlignment="1">
      <alignment horizontal="right" vertical="center" wrapText="1"/>
    </xf>
    <xf numFmtId="49" fontId="23" fillId="9" borderId="39" xfId="5" applyNumberFormat="1" applyFont="1" applyFill="1" applyBorder="1" applyAlignment="1">
      <alignment horizontal="center" vertical="center" wrapText="1"/>
    </xf>
    <xf numFmtId="49" fontId="23" fillId="9" borderId="47" xfId="5" applyNumberFormat="1" applyFont="1" applyFill="1" applyBorder="1" applyAlignment="1">
      <alignment horizontal="center" vertical="center" wrapText="1"/>
    </xf>
    <xf numFmtId="49" fontId="23" fillId="9" borderId="34" xfId="5" applyNumberFormat="1" applyFont="1" applyFill="1" applyBorder="1" applyAlignment="1">
      <alignment horizontal="center" vertical="center" wrapText="1"/>
    </xf>
    <xf numFmtId="0" fontId="23" fillId="9" borderId="11" xfId="5" applyFont="1" applyFill="1" applyBorder="1" applyAlignment="1">
      <alignment horizontal="center" vertical="center"/>
    </xf>
    <xf numFmtId="0" fontId="23" fillId="9" borderId="13" xfId="5" applyFont="1" applyFill="1" applyBorder="1" applyAlignment="1">
      <alignment horizontal="center" vertical="center"/>
    </xf>
    <xf numFmtId="49" fontId="23" fillId="17" borderId="39" xfId="5" applyNumberFormat="1" applyFont="1" applyFill="1" applyBorder="1" applyAlignment="1">
      <alignment horizontal="center" vertical="center" wrapText="1"/>
    </xf>
    <xf numFmtId="49" fontId="23" fillId="17" borderId="47" xfId="5" applyNumberFormat="1" applyFont="1" applyFill="1" applyBorder="1" applyAlignment="1">
      <alignment horizontal="center" vertical="center" wrapText="1"/>
    </xf>
    <xf numFmtId="49" fontId="23" fillId="9" borderId="18" xfId="5" applyNumberFormat="1" applyFont="1" applyFill="1" applyBorder="1" applyAlignment="1">
      <alignment horizontal="center" vertical="center" wrapText="1"/>
    </xf>
    <xf numFmtId="49" fontId="23" fillId="9" borderId="1" xfId="5" applyNumberFormat="1" applyFont="1" applyFill="1" applyBorder="1" applyAlignment="1">
      <alignment horizontal="center" vertical="center" wrapText="1"/>
    </xf>
    <xf numFmtId="49" fontId="23" fillId="9" borderId="27" xfId="5" applyNumberFormat="1" applyFont="1" applyFill="1" applyBorder="1" applyAlignment="1">
      <alignment horizontal="center" vertical="center" wrapText="1"/>
    </xf>
    <xf numFmtId="0" fontId="5" fillId="2" borderId="0" xfId="5" applyFont="1" applyFill="1" applyBorder="1" applyAlignment="1">
      <alignment horizontal="center" vertical="center"/>
    </xf>
    <xf numFmtId="0" fontId="41" fillId="2" borderId="0" xfId="5" applyFont="1" applyFill="1" applyBorder="1" applyAlignment="1">
      <alignment horizontal="center" vertical="center"/>
    </xf>
    <xf numFmtId="166" fontId="5" fillId="13" borderId="35" xfId="5" applyNumberFormat="1" applyFont="1" applyFill="1" applyBorder="1" applyAlignment="1">
      <alignment horizontal="center" vertical="center"/>
    </xf>
    <xf numFmtId="49" fontId="23" fillId="17" borderId="60" xfId="5" applyNumberFormat="1" applyFont="1" applyFill="1" applyBorder="1" applyAlignment="1">
      <alignment horizontal="center" vertical="center" wrapText="1"/>
    </xf>
    <xf numFmtId="49" fontId="23" fillId="17" borderId="17" xfId="5" applyNumberFormat="1" applyFont="1" applyFill="1" applyBorder="1" applyAlignment="1">
      <alignment horizontal="center" vertical="center" wrapText="1"/>
    </xf>
    <xf numFmtId="49" fontId="23" fillId="17" borderId="22" xfId="5" applyNumberFormat="1" applyFont="1" applyFill="1" applyBorder="1" applyAlignment="1">
      <alignment horizontal="center" vertical="center" wrapText="1"/>
    </xf>
    <xf numFmtId="49" fontId="23" fillId="9" borderId="2" xfId="5" applyNumberFormat="1" applyFont="1" applyFill="1" applyBorder="1" applyAlignment="1">
      <alignment horizontal="center" vertical="center" wrapText="1"/>
    </xf>
    <xf numFmtId="49" fontId="23" fillId="17" borderId="18" xfId="5" applyNumberFormat="1" applyFont="1" applyFill="1" applyBorder="1" applyAlignment="1">
      <alignment horizontal="center" vertical="center" wrapText="1"/>
    </xf>
    <xf numFmtId="49" fontId="23" fillId="17" borderId="2" xfId="5" applyNumberFormat="1" applyFont="1" applyFill="1" applyBorder="1" applyAlignment="1">
      <alignment horizontal="center" vertical="center" wrapText="1"/>
    </xf>
    <xf numFmtId="49" fontId="23" fillId="17" borderId="19" xfId="5" applyNumberFormat="1" applyFont="1" applyFill="1" applyBorder="1" applyAlignment="1">
      <alignment horizontal="center" vertical="center" wrapText="1"/>
    </xf>
    <xf numFmtId="49" fontId="23" fillId="17" borderId="23" xfId="5" applyNumberFormat="1" applyFont="1" applyFill="1" applyBorder="1" applyAlignment="1">
      <alignment horizontal="center" vertical="center" wrapText="1"/>
    </xf>
    <xf numFmtId="49" fontId="23" fillId="9" borderId="38" xfId="5" applyNumberFormat="1" applyFont="1" applyFill="1" applyBorder="1" applyAlignment="1">
      <alignment horizontal="center" vertical="center" wrapText="1"/>
    </xf>
    <xf numFmtId="49" fontId="23" fillId="9" borderId="42" xfId="5" applyNumberFormat="1" applyFont="1" applyFill="1" applyBorder="1" applyAlignment="1">
      <alignment horizontal="center" vertical="center" wrapText="1"/>
    </xf>
    <xf numFmtId="49" fontId="23" fillId="9" borderId="37" xfId="5" applyNumberFormat="1" applyFont="1" applyFill="1" applyBorder="1" applyAlignment="1">
      <alignment horizontal="center" vertical="center" wrapText="1"/>
    </xf>
    <xf numFmtId="49" fontId="23" fillId="9" borderId="61" xfId="5" applyNumberFormat="1" applyFont="1" applyFill="1" applyBorder="1" applyAlignment="1">
      <alignment horizontal="center" vertical="center" wrapText="1"/>
    </xf>
    <xf numFmtId="49" fontId="23" fillId="9" borderId="17" xfId="5" applyNumberFormat="1" applyFont="1" applyFill="1" applyBorder="1" applyAlignment="1">
      <alignment horizontal="center" vertical="center" wrapText="1"/>
    </xf>
    <xf numFmtId="49" fontId="23" fillId="9" borderId="20" xfId="5" applyNumberFormat="1" applyFont="1" applyFill="1" applyBorder="1" applyAlignment="1">
      <alignment horizontal="center" vertical="center" wrapText="1"/>
    </xf>
    <xf numFmtId="49" fontId="23" fillId="9" borderId="26" xfId="5" applyNumberFormat="1" applyFont="1" applyFill="1" applyBorder="1" applyAlignment="1">
      <alignment horizontal="center" vertical="center" wrapText="1"/>
    </xf>
    <xf numFmtId="49" fontId="23" fillId="9" borderId="15" xfId="5" applyNumberFormat="1" applyFont="1" applyFill="1" applyBorder="1" applyAlignment="1">
      <alignment horizontal="center" vertical="center" wrapText="1"/>
    </xf>
    <xf numFmtId="49" fontId="23" fillId="9" borderId="9" xfId="5" applyNumberFormat="1" applyFont="1" applyFill="1" applyBorder="1" applyAlignment="1">
      <alignment horizontal="center" vertical="center" wrapText="1"/>
    </xf>
    <xf numFmtId="49" fontId="23" fillId="9" borderId="52" xfId="5" applyNumberFormat="1" applyFont="1" applyFill="1" applyBorder="1" applyAlignment="1">
      <alignment horizontal="center" vertical="center" wrapText="1"/>
    </xf>
    <xf numFmtId="49" fontId="23" fillId="9" borderId="16" xfId="5" applyNumberFormat="1" applyFont="1" applyFill="1" applyBorder="1" applyAlignment="1">
      <alignment horizontal="center" vertical="center" wrapText="1"/>
    </xf>
    <xf numFmtId="49" fontId="23" fillId="9" borderId="62" xfId="5" applyNumberFormat="1" applyFont="1" applyFill="1" applyBorder="1" applyAlignment="1">
      <alignment horizontal="center" vertical="center" wrapText="1"/>
    </xf>
    <xf numFmtId="49" fontId="23" fillId="9" borderId="33" xfId="5" applyNumberFormat="1" applyFont="1" applyFill="1" applyBorder="1" applyAlignment="1">
      <alignment horizontal="center" vertical="center" wrapText="1"/>
    </xf>
    <xf numFmtId="0" fontId="23" fillId="9" borderId="12" xfId="5" applyFont="1" applyFill="1" applyBorder="1" applyAlignment="1">
      <alignment horizontal="center" vertical="center"/>
    </xf>
    <xf numFmtId="0" fontId="23" fillId="14" borderId="11" xfId="5" applyFont="1" applyFill="1" applyBorder="1" applyAlignment="1">
      <alignment horizontal="center" vertical="center"/>
    </xf>
    <xf numFmtId="0" fontId="23" fillId="14" borderId="48" xfId="5" applyFont="1" applyFill="1" applyBorder="1" applyAlignment="1">
      <alignment horizontal="center" vertical="center"/>
    </xf>
    <xf numFmtId="0" fontId="15" fillId="0" borderId="39" xfId="2" applyFont="1" applyFill="1" applyBorder="1" applyAlignment="1">
      <alignment horizontal="center" vertical="center"/>
    </xf>
    <xf numFmtId="0" fontId="15" fillId="0" borderId="34" xfId="2" applyFont="1" applyFill="1" applyBorder="1" applyAlignment="1">
      <alignment horizontal="center" vertical="center"/>
    </xf>
    <xf numFmtId="0" fontId="35" fillId="0" borderId="60" xfId="0" applyFont="1" applyBorder="1" applyAlignment="1">
      <alignment horizontal="center" vertical="center"/>
    </xf>
    <xf numFmtId="0" fontId="35" fillId="0" borderId="38" xfId="0" applyFont="1" applyBorder="1" applyAlignment="1">
      <alignment horizontal="center" vertical="center"/>
    </xf>
    <xf numFmtId="0" fontId="35" fillId="0" borderId="60" xfId="0" applyFont="1" applyBorder="1" applyAlignment="1">
      <alignment horizontal="center" vertical="center" wrapText="1"/>
    </xf>
    <xf numFmtId="0" fontId="35" fillId="0" borderId="38" xfId="0" applyFont="1" applyBorder="1" applyAlignment="1">
      <alignment horizontal="center" vertical="center" wrapText="1"/>
    </xf>
    <xf numFmtId="14" fontId="46" fillId="0" borderId="60" xfId="0" applyNumberFormat="1" applyFont="1" applyBorder="1" applyAlignment="1">
      <alignment horizontal="center" vertical="center"/>
    </xf>
    <xf numFmtId="0" fontId="46" fillId="0" borderId="38" xfId="0" applyFont="1" applyBorder="1" applyAlignment="1">
      <alignment horizontal="center" vertical="center"/>
    </xf>
    <xf numFmtId="0" fontId="49" fillId="0" borderId="60" xfId="0" applyFont="1" applyBorder="1" applyAlignment="1">
      <alignment horizontal="center" vertical="center"/>
    </xf>
    <xf numFmtId="0" fontId="49" fillId="0" borderId="38" xfId="0" applyFont="1" applyBorder="1" applyAlignment="1">
      <alignment horizontal="center" vertical="center"/>
    </xf>
    <xf numFmtId="0" fontId="46" fillId="0" borderId="60" xfId="0" applyFont="1" applyBorder="1" applyAlignment="1">
      <alignment horizontal="center" vertical="center"/>
    </xf>
    <xf numFmtId="0" fontId="71" fillId="8" borderId="42" xfId="1" applyFont="1" applyFill="1" applyBorder="1" applyAlignment="1">
      <alignment horizontal="center" vertical="center" shrinkToFit="1"/>
    </xf>
    <xf numFmtId="0" fontId="71" fillId="8" borderId="37" xfId="1" applyFont="1" applyFill="1" applyBorder="1" applyAlignment="1">
      <alignment horizontal="center" vertical="center" shrinkToFit="1"/>
    </xf>
    <xf numFmtId="0" fontId="12" fillId="8" borderId="4" xfId="1" applyFont="1" applyFill="1" applyBorder="1" applyAlignment="1">
      <alignment horizontal="center" vertical="center" shrinkToFit="1"/>
    </xf>
    <xf numFmtId="0" fontId="12" fillId="8" borderId="5" xfId="1" applyFont="1" applyFill="1" applyBorder="1" applyAlignment="1">
      <alignment horizontal="center" vertical="center" shrinkToFit="1"/>
    </xf>
    <xf numFmtId="0" fontId="12" fillId="8" borderId="6" xfId="1" applyFont="1" applyFill="1" applyBorder="1" applyAlignment="1">
      <alignment horizontal="center" vertical="center" shrinkToFit="1"/>
    </xf>
    <xf numFmtId="0" fontId="71" fillId="8" borderId="60" xfId="1" applyFont="1" applyFill="1" applyBorder="1" applyAlignment="1">
      <alignment horizontal="center" vertical="center" wrapText="1" shrinkToFit="1"/>
    </xf>
    <xf numFmtId="0" fontId="71" fillId="8" borderId="0" xfId="1" applyFont="1" applyFill="1" applyBorder="1" applyAlignment="1">
      <alignment horizontal="center" vertical="center" wrapText="1" shrinkToFit="1"/>
    </xf>
    <xf numFmtId="0" fontId="71" fillId="8" borderId="41" xfId="1" applyFont="1" applyFill="1" applyBorder="1" applyAlignment="1">
      <alignment horizontal="center" vertical="center" shrinkToFit="1"/>
    </xf>
    <xf numFmtId="0" fontId="71" fillId="8" borderId="35" xfId="1" applyFont="1" applyFill="1" applyBorder="1" applyAlignment="1">
      <alignment horizontal="center" vertical="center" shrinkToFit="1"/>
    </xf>
    <xf numFmtId="0" fontId="12" fillId="8" borderId="63" xfId="1" applyFont="1" applyFill="1" applyBorder="1" applyAlignment="1">
      <alignment horizontal="center" vertical="center" shrinkToFit="1"/>
    </xf>
    <xf numFmtId="0" fontId="12" fillId="8" borderId="40" xfId="1" applyFont="1" applyFill="1" applyBorder="1" applyAlignment="1">
      <alignment horizontal="center" vertical="center" shrinkToFit="1"/>
    </xf>
    <xf numFmtId="0" fontId="12" fillId="8" borderId="65" xfId="1" applyFont="1" applyFill="1" applyBorder="1" applyAlignment="1">
      <alignment horizontal="center" vertical="center" shrinkToFit="1"/>
    </xf>
    <xf numFmtId="0" fontId="12" fillId="8" borderId="8" xfId="1" applyFont="1" applyFill="1" applyBorder="1" applyAlignment="1">
      <alignment horizontal="center" vertical="center" shrinkToFit="1"/>
    </xf>
    <xf numFmtId="0" fontId="12" fillId="8" borderId="45" xfId="1" applyFont="1" applyFill="1" applyBorder="1" applyAlignment="1">
      <alignment horizontal="center" vertical="center" shrinkToFit="1"/>
    </xf>
    <xf numFmtId="0" fontId="12" fillId="8" borderId="7" xfId="1" applyFont="1" applyFill="1" applyBorder="1" applyAlignment="1">
      <alignment horizontal="center" vertical="center" shrinkToFit="1"/>
    </xf>
    <xf numFmtId="4" fontId="12" fillId="8" borderId="56" xfId="1" applyNumberFormat="1" applyFont="1" applyFill="1" applyBorder="1" applyAlignment="1">
      <alignment horizontal="center" vertical="center" shrinkToFit="1"/>
    </xf>
    <xf numFmtId="4" fontId="12" fillId="8" borderId="44" xfId="1" applyNumberFormat="1" applyFont="1" applyFill="1" applyBorder="1" applyAlignment="1">
      <alignment horizontal="center" vertical="center" shrinkToFit="1"/>
    </xf>
    <xf numFmtId="4" fontId="12" fillId="8" borderId="71" xfId="1" applyNumberFormat="1" applyFont="1" applyFill="1" applyBorder="1" applyAlignment="1">
      <alignment horizontal="center" vertical="center" shrinkToFit="1"/>
    </xf>
    <xf numFmtId="0" fontId="12" fillId="8" borderId="51" xfId="1" applyFont="1" applyFill="1" applyBorder="1" applyAlignment="1">
      <alignment horizontal="center" vertical="center" shrinkToFit="1"/>
    </xf>
    <xf numFmtId="0" fontId="12" fillId="8" borderId="72" xfId="1" applyFont="1" applyFill="1" applyBorder="1" applyAlignment="1">
      <alignment horizontal="center" vertical="center" shrinkToFit="1"/>
    </xf>
    <xf numFmtId="0" fontId="70" fillId="0" borderId="20" xfId="0" applyFont="1" applyBorder="1" applyAlignment="1">
      <alignment horizontal="left" vertical="center" wrapText="1"/>
    </xf>
    <xf numFmtId="0" fontId="70" fillId="0" borderId="21" xfId="0" applyFont="1" applyBorder="1" applyAlignment="1">
      <alignment horizontal="left" vertical="center" wrapText="1"/>
    </xf>
    <xf numFmtId="4" fontId="70" fillId="0" borderId="44" xfId="0" applyNumberFormat="1" applyFont="1" applyBorder="1" applyAlignment="1">
      <alignment horizontal="left" vertical="center"/>
    </xf>
    <xf numFmtId="4" fontId="70" fillId="0" borderId="30" xfId="0" applyNumberFormat="1" applyFont="1" applyBorder="1" applyAlignment="1">
      <alignment horizontal="left" vertical="center"/>
    </xf>
    <xf numFmtId="0" fontId="70" fillId="0" borderId="20" xfId="0" applyFont="1" applyBorder="1" applyAlignment="1">
      <alignment horizontal="justify" vertical="center" wrapText="1"/>
    </xf>
    <xf numFmtId="0" fontId="70" fillId="0" borderId="21" xfId="0" applyFont="1" applyBorder="1" applyAlignment="1">
      <alignment horizontal="justify" vertical="center" wrapText="1"/>
    </xf>
    <xf numFmtId="0" fontId="70" fillId="0" borderId="44" xfId="0" applyFont="1" applyBorder="1" applyAlignment="1">
      <alignment horizontal="left" vertical="center"/>
    </xf>
    <xf numFmtId="0" fontId="70" fillId="0" borderId="30" xfId="0" applyFont="1" applyBorder="1" applyAlignment="1">
      <alignment horizontal="left" vertical="center"/>
    </xf>
    <xf numFmtId="0" fontId="12" fillId="0" borderId="26" xfId="0" applyFont="1" applyFill="1" applyBorder="1" applyAlignment="1">
      <alignment horizontal="center" vertical="center"/>
    </xf>
    <xf numFmtId="0" fontId="12" fillId="0" borderId="28" xfId="0" applyFont="1" applyFill="1" applyBorder="1" applyAlignment="1">
      <alignment horizontal="center" vertical="center"/>
    </xf>
    <xf numFmtId="4" fontId="16" fillId="0" borderId="20" xfId="0" applyNumberFormat="1" applyFont="1" applyFill="1" applyBorder="1" applyAlignment="1">
      <alignment horizontal="center" vertical="center"/>
    </xf>
    <xf numFmtId="4" fontId="16" fillId="0" borderId="21" xfId="0" applyNumberFormat="1" applyFont="1" applyFill="1" applyBorder="1" applyAlignment="1">
      <alignment horizontal="center" vertical="center"/>
    </xf>
    <xf numFmtId="0" fontId="21" fillId="11" borderId="60" xfId="0" applyFont="1" applyFill="1" applyBorder="1" applyAlignment="1">
      <alignment horizontal="left" vertical="center"/>
    </xf>
    <xf numFmtId="0" fontId="1" fillId="11" borderId="0" xfId="0" applyFont="1" applyFill="1" applyBorder="1" applyAlignment="1">
      <alignment horizontal="left" vertical="center"/>
    </xf>
    <xf numFmtId="0" fontId="1" fillId="11" borderId="54" xfId="0" applyFont="1" applyFill="1" applyBorder="1" applyAlignment="1">
      <alignment horizontal="left" vertical="center"/>
    </xf>
    <xf numFmtId="0" fontId="40" fillId="0" borderId="4" xfId="0" applyFont="1" applyBorder="1" applyAlignment="1">
      <alignment horizontal="justify" vertical="center" wrapText="1"/>
    </xf>
    <xf numFmtId="0" fontId="40" fillId="0" borderId="5" xfId="0" applyFont="1" applyBorder="1" applyAlignment="1">
      <alignment horizontal="justify" vertical="center" wrapText="1"/>
    </xf>
    <xf numFmtId="0" fontId="40" fillId="0" borderId="6" xfId="0" applyFont="1" applyBorder="1" applyAlignment="1">
      <alignment horizontal="justify" vertical="center" wrapText="1"/>
    </xf>
    <xf numFmtId="0" fontId="21" fillId="0" borderId="4" xfId="0" applyFont="1" applyBorder="1" applyAlignment="1">
      <alignment horizontal="center" vertical="center"/>
    </xf>
    <xf numFmtId="0" fontId="21" fillId="0" borderId="5" xfId="0" applyFont="1" applyBorder="1" applyAlignment="1">
      <alignment horizontal="center" vertical="center"/>
    </xf>
    <xf numFmtId="0" fontId="21" fillId="0" borderId="6" xfId="0" applyFont="1" applyBorder="1" applyAlignment="1">
      <alignment horizontal="center" vertical="center"/>
    </xf>
    <xf numFmtId="0" fontId="70" fillId="0" borderId="17" xfId="0" applyFont="1" applyBorder="1" applyAlignment="1">
      <alignment horizontal="justify" vertical="center" wrapText="1"/>
    </xf>
    <xf numFmtId="0" fontId="70" fillId="0" borderId="19" xfId="0" applyFont="1" applyBorder="1" applyAlignment="1">
      <alignment horizontal="justify" vertical="center" wrapText="1"/>
    </xf>
    <xf numFmtId="0" fontId="70" fillId="0" borderId="31" xfId="0" applyFont="1" applyBorder="1" applyAlignment="1">
      <alignment horizontal="left" vertical="center"/>
    </xf>
    <xf numFmtId="0" fontId="70" fillId="0" borderId="32" xfId="0" applyFont="1" applyBorder="1" applyAlignment="1">
      <alignment horizontal="left" vertical="center"/>
    </xf>
    <xf numFmtId="0" fontId="110" fillId="8" borderId="11" xfId="2" applyFont="1" applyFill="1" applyBorder="1" applyAlignment="1">
      <alignment horizontal="center"/>
    </xf>
    <xf numFmtId="0" fontId="110" fillId="8" borderId="12" xfId="2" applyFont="1" applyFill="1" applyBorder="1" applyAlignment="1">
      <alignment horizontal="center"/>
    </xf>
    <xf numFmtId="0" fontId="110" fillId="8" borderId="13" xfId="2" applyFont="1" applyFill="1" applyBorder="1" applyAlignment="1">
      <alignment horizontal="center"/>
    </xf>
    <xf numFmtId="0" fontId="110" fillId="8" borderId="11" xfId="2" applyFont="1" applyFill="1" applyBorder="1" applyAlignment="1">
      <alignment horizontal="center" vertical="center"/>
    </xf>
    <xf numFmtId="0" fontId="110" fillId="8" borderId="12" xfId="2" applyFont="1" applyFill="1" applyBorder="1" applyAlignment="1">
      <alignment horizontal="center" vertical="center"/>
    </xf>
    <xf numFmtId="0" fontId="110" fillId="8" borderId="13" xfId="2" applyFont="1" applyFill="1" applyBorder="1" applyAlignment="1">
      <alignment horizontal="center" vertical="center"/>
    </xf>
    <xf numFmtId="0" fontId="71" fillId="0" borderId="0" xfId="1" applyFont="1" applyFill="1" applyBorder="1" applyAlignment="1">
      <alignment horizontal="center" vertical="center" shrinkToFit="1"/>
    </xf>
    <xf numFmtId="0" fontId="12" fillId="0" borderId="0" xfId="1" applyFont="1" applyFill="1" applyBorder="1" applyAlignment="1">
      <alignment horizontal="center" vertical="center" shrinkToFit="1"/>
    </xf>
    <xf numFmtId="0" fontId="12" fillId="0" borderId="24" xfId="0" applyFont="1" applyFill="1" applyBorder="1" applyAlignment="1">
      <alignment vertical="center" wrapText="1"/>
    </xf>
    <xf numFmtId="0" fontId="108" fillId="0" borderId="52" xfId="0" applyFont="1" applyBorder="1" applyAlignment="1">
      <alignment vertical="center" wrapText="1"/>
    </xf>
    <xf numFmtId="0" fontId="108" fillId="0" borderId="28" xfId="0" applyFont="1" applyBorder="1" applyAlignment="1">
      <alignment vertical="center" wrapText="1"/>
    </xf>
    <xf numFmtId="4" fontId="16" fillId="0" borderId="26" xfId="0" applyNumberFormat="1" applyFont="1" applyFill="1" applyBorder="1" applyAlignment="1">
      <alignment horizontal="center" vertical="center" wrapText="1"/>
    </xf>
    <xf numFmtId="4" fontId="16" fillId="0" borderId="28" xfId="0" applyNumberFormat="1" applyFont="1" applyFill="1" applyBorder="1" applyAlignment="1">
      <alignment horizontal="center" vertical="center" wrapText="1"/>
    </xf>
    <xf numFmtId="0" fontId="109" fillId="11" borderId="41" xfId="0" applyFont="1" applyFill="1" applyBorder="1" applyAlignment="1">
      <alignment horizontal="center" vertical="center" wrapText="1"/>
    </xf>
    <xf numFmtId="0" fontId="109" fillId="11" borderId="35" xfId="0" applyFont="1" applyFill="1" applyBorder="1" applyAlignment="1">
      <alignment horizontal="center" vertical="center" wrapText="1"/>
    </xf>
    <xf numFmtId="0" fontId="110" fillId="0" borderId="11" xfId="2" applyFont="1" applyBorder="1" applyAlignment="1">
      <alignment horizontal="center" vertical="center"/>
    </xf>
    <xf numFmtId="0" fontId="110" fillId="0" borderId="12" xfId="2" applyFont="1" applyBorder="1" applyAlignment="1">
      <alignment horizontal="center" vertical="center"/>
    </xf>
    <xf numFmtId="0" fontId="110" fillId="0" borderId="13" xfId="2" applyFont="1" applyBorder="1" applyAlignment="1">
      <alignment horizontal="center" vertical="center"/>
    </xf>
    <xf numFmtId="0" fontId="21" fillId="0" borderId="0" xfId="0" applyFont="1" applyFill="1" applyBorder="1" applyAlignment="1">
      <alignment horizontal="center" vertical="center"/>
    </xf>
    <xf numFmtId="0" fontId="110" fillId="0" borderId="0" xfId="2" applyFont="1" applyFill="1" applyBorder="1" applyAlignment="1">
      <alignment horizontal="center" vertical="center"/>
    </xf>
    <xf numFmtId="0" fontId="110" fillId="0" borderId="0" xfId="2" applyFont="1" applyFill="1" applyBorder="1" applyAlignment="1">
      <alignment horizontal="center"/>
    </xf>
    <xf numFmtId="0" fontId="71" fillId="0" borderId="0" xfId="1" applyFont="1" applyFill="1" applyBorder="1" applyAlignment="1">
      <alignment horizontal="center" vertical="center" wrapText="1" shrinkToFit="1"/>
    </xf>
    <xf numFmtId="4" fontId="12" fillId="0" borderId="0" xfId="1" applyNumberFormat="1" applyFont="1" applyFill="1" applyBorder="1" applyAlignment="1">
      <alignment horizontal="center" vertical="center" shrinkToFit="1"/>
    </xf>
    <xf numFmtId="0" fontId="3" fillId="0" borderId="0" xfId="1" applyFont="1" applyFill="1" applyBorder="1" applyAlignment="1">
      <alignment horizontal="center" vertical="center" shrinkToFit="1"/>
    </xf>
    <xf numFmtId="0" fontId="3" fillId="0" borderId="0" xfId="1" applyFont="1" applyFill="1" applyBorder="1" applyAlignment="1">
      <alignment horizontal="center" vertical="center" wrapText="1" shrinkToFit="1"/>
    </xf>
    <xf numFmtId="0" fontId="23" fillId="0" borderId="0" xfId="1" applyFont="1" applyFill="1" applyBorder="1" applyAlignment="1">
      <alignment horizontal="center" vertical="center" shrinkToFit="1"/>
    </xf>
    <xf numFmtId="0" fontId="23" fillId="0" borderId="0" xfId="1" applyFont="1" applyFill="1" applyBorder="1" applyAlignment="1">
      <alignment horizontal="center" vertical="center" wrapText="1" shrinkToFit="1"/>
    </xf>
    <xf numFmtId="0" fontId="15" fillId="0" borderId="0" xfId="2" applyFont="1" applyFill="1" applyBorder="1" applyAlignment="1">
      <alignment horizontal="center" vertical="center"/>
    </xf>
    <xf numFmtId="0" fontId="44" fillId="0" borderId="0" xfId="0" applyFont="1" applyFill="1" applyBorder="1" applyAlignment="1">
      <alignment horizontal="center" vertical="center"/>
    </xf>
    <xf numFmtId="0" fontId="81" fillId="0" borderId="0" xfId="2" applyFont="1" applyFill="1" applyBorder="1" applyAlignment="1">
      <alignment horizontal="center" vertical="center"/>
    </xf>
    <xf numFmtId="0" fontId="21" fillId="11" borderId="11" xfId="0" applyFont="1" applyFill="1" applyBorder="1" applyAlignment="1">
      <alignment horizontal="center" vertical="center"/>
    </xf>
    <xf numFmtId="0" fontId="21" fillId="11" borderId="12" xfId="0" applyFont="1" applyFill="1" applyBorder="1" applyAlignment="1">
      <alignment horizontal="center" vertical="center"/>
    </xf>
    <xf numFmtId="0" fontId="28" fillId="8" borderId="11" xfId="2" applyFont="1" applyFill="1" applyBorder="1" applyAlignment="1">
      <alignment horizontal="center" vertical="center"/>
    </xf>
    <xf numFmtId="0" fontId="28" fillId="8" borderId="12" xfId="2" applyFont="1" applyFill="1" applyBorder="1" applyAlignment="1">
      <alignment horizontal="center" vertical="center"/>
    </xf>
    <xf numFmtId="0" fontId="28" fillId="8" borderId="13" xfId="2" applyFont="1" applyFill="1" applyBorder="1" applyAlignment="1">
      <alignment horizontal="center" vertical="center"/>
    </xf>
    <xf numFmtId="0" fontId="62" fillId="0" borderId="11" xfId="2" applyFont="1" applyBorder="1" applyAlignment="1">
      <alignment horizontal="center" vertical="center"/>
    </xf>
    <xf numFmtId="0" fontId="62" fillId="0" borderId="12" xfId="2" applyFont="1" applyBorder="1" applyAlignment="1">
      <alignment horizontal="center" vertical="center"/>
    </xf>
    <xf numFmtId="0" fontId="62" fillId="0" borderId="13" xfId="2" applyFont="1" applyBorder="1" applyAlignment="1">
      <alignment horizontal="center" vertical="center"/>
    </xf>
    <xf numFmtId="0" fontId="77" fillId="8" borderId="11" xfId="2" applyFont="1" applyFill="1" applyBorder="1" applyAlignment="1">
      <alignment horizontal="center" vertical="center"/>
    </xf>
    <xf numFmtId="0" fontId="77" fillId="8" borderId="12" xfId="2" applyFont="1" applyFill="1" applyBorder="1" applyAlignment="1">
      <alignment horizontal="center" vertical="center"/>
    </xf>
    <xf numFmtId="0" fontId="77" fillId="8" borderId="13" xfId="2" applyFont="1" applyFill="1" applyBorder="1" applyAlignment="1">
      <alignment horizontal="center" vertical="center"/>
    </xf>
    <xf numFmtId="0" fontId="23" fillId="8" borderId="42" xfId="1" applyFont="1" applyFill="1" applyBorder="1" applyAlignment="1">
      <alignment horizontal="center" vertical="center" shrinkToFit="1"/>
    </xf>
    <xf numFmtId="0" fontId="23" fillId="8" borderId="37" xfId="1" applyFont="1" applyFill="1" applyBorder="1" applyAlignment="1">
      <alignment horizontal="center" vertical="center" shrinkToFit="1"/>
    </xf>
    <xf numFmtId="0" fontId="23" fillId="8" borderId="60" xfId="1" applyFont="1" applyFill="1" applyBorder="1" applyAlignment="1">
      <alignment horizontal="center" vertical="center" shrinkToFit="1"/>
    </xf>
    <xf numFmtId="0" fontId="23" fillId="8" borderId="0" xfId="1" applyFont="1" applyFill="1" applyBorder="1" applyAlignment="1">
      <alignment horizontal="center" vertical="center" shrinkToFit="1"/>
    </xf>
    <xf numFmtId="0" fontId="12" fillId="8" borderId="24" xfId="1" applyFont="1" applyFill="1" applyBorder="1" applyAlignment="1">
      <alignment horizontal="center" vertical="center" shrinkToFit="1"/>
    </xf>
    <xf numFmtId="0" fontId="12" fillId="8" borderId="52" xfId="1" applyFont="1" applyFill="1" applyBorder="1" applyAlignment="1">
      <alignment horizontal="center" vertical="center" shrinkToFit="1"/>
    </xf>
    <xf numFmtId="0" fontId="12" fillId="8" borderId="33" xfId="1" applyFont="1" applyFill="1" applyBorder="1" applyAlignment="1">
      <alignment horizontal="center" vertical="center" shrinkToFit="1"/>
    </xf>
    <xf numFmtId="0" fontId="23" fillId="8" borderId="60" xfId="1" applyFont="1" applyFill="1" applyBorder="1" applyAlignment="1">
      <alignment horizontal="center" vertical="center" wrapText="1" shrinkToFit="1"/>
    </xf>
    <xf numFmtId="0" fontId="23" fillId="8" borderId="0" xfId="1" applyFont="1" applyFill="1" applyBorder="1" applyAlignment="1">
      <alignment horizontal="center" vertical="center" wrapText="1" shrinkToFit="1"/>
    </xf>
    <xf numFmtId="0" fontId="23" fillId="8" borderId="41" xfId="1" applyFont="1" applyFill="1" applyBorder="1" applyAlignment="1">
      <alignment horizontal="center" vertical="center" shrinkToFit="1"/>
    </xf>
    <xf numFmtId="0" fontId="23" fillId="8" borderId="35" xfId="1" applyFont="1" applyFill="1" applyBorder="1" applyAlignment="1">
      <alignment horizontal="center" vertical="center" shrinkToFit="1"/>
    </xf>
    <xf numFmtId="0" fontId="12" fillId="8" borderId="58" xfId="1" applyFont="1" applyFill="1" applyBorder="1" applyAlignment="1">
      <alignment horizontal="center" vertical="center" shrinkToFit="1"/>
    </xf>
    <xf numFmtId="0" fontId="12" fillId="8" borderId="59" xfId="1" applyFont="1" applyFill="1" applyBorder="1" applyAlignment="1">
      <alignment horizontal="center" vertical="center" shrinkToFit="1"/>
    </xf>
    <xf numFmtId="4" fontId="12" fillId="8" borderId="63" xfId="1" applyNumberFormat="1" applyFont="1" applyFill="1" applyBorder="1" applyAlignment="1">
      <alignment horizontal="center" vertical="center" shrinkToFit="1"/>
    </xf>
    <xf numFmtId="4" fontId="12" fillId="8" borderId="40" xfId="1" applyNumberFormat="1" applyFont="1" applyFill="1" applyBorder="1" applyAlignment="1">
      <alignment horizontal="center" vertical="center" shrinkToFit="1"/>
    </xf>
    <xf numFmtId="4" fontId="12" fillId="8" borderId="64" xfId="1" applyNumberFormat="1" applyFont="1" applyFill="1" applyBorder="1" applyAlignment="1">
      <alignment horizontal="center" vertical="center" shrinkToFit="1"/>
    </xf>
    <xf numFmtId="0" fontId="12" fillId="8" borderId="64" xfId="1" applyFont="1" applyFill="1" applyBorder="1" applyAlignment="1">
      <alignment horizontal="center" vertical="center" shrinkToFit="1"/>
    </xf>
    <xf numFmtId="0" fontId="28" fillId="8" borderId="41" xfId="2" applyFont="1" applyFill="1" applyBorder="1" applyAlignment="1">
      <alignment horizontal="center" vertical="center"/>
    </xf>
    <xf numFmtId="0" fontId="28" fillId="8" borderId="35" xfId="2" applyFont="1" applyFill="1" applyBorder="1" applyAlignment="1">
      <alignment horizontal="center" vertical="center"/>
    </xf>
    <xf numFmtId="0" fontId="28" fillId="8" borderId="25" xfId="2" applyFont="1" applyFill="1" applyBorder="1" applyAlignment="1">
      <alignment horizontal="center" vertical="center"/>
    </xf>
    <xf numFmtId="0" fontId="35" fillId="11" borderId="41" xfId="0" applyFont="1" applyFill="1" applyBorder="1" applyAlignment="1">
      <alignment horizontal="center" vertical="center"/>
    </xf>
    <xf numFmtId="0" fontId="35" fillId="11" borderId="35" xfId="0" applyFont="1" applyFill="1" applyBorder="1" applyAlignment="1">
      <alignment horizontal="center" vertical="center"/>
    </xf>
    <xf numFmtId="0" fontId="35" fillId="11" borderId="67" xfId="0" applyFont="1" applyFill="1" applyBorder="1" applyAlignment="1">
      <alignment horizontal="center" vertical="center"/>
    </xf>
    <xf numFmtId="0" fontId="23" fillId="8" borderId="60" xfId="1" applyFont="1" applyFill="1" applyBorder="1" applyAlignment="1">
      <alignment horizontal="center" wrapText="1" shrinkToFit="1"/>
    </xf>
    <xf numFmtId="0" fontId="23" fillId="8" borderId="0" xfId="1" applyFont="1" applyFill="1" applyBorder="1" applyAlignment="1">
      <alignment horizontal="center" wrapText="1" shrinkToFit="1"/>
    </xf>
    <xf numFmtId="0" fontId="23" fillId="8" borderId="38" xfId="1" applyFont="1" applyFill="1" applyBorder="1" applyAlignment="1">
      <alignment horizontal="center" wrapText="1" shrinkToFit="1"/>
    </xf>
    <xf numFmtId="0" fontId="12" fillId="8" borderId="68" xfId="1" applyFont="1" applyFill="1" applyBorder="1" applyAlignment="1">
      <alignment horizontal="center" vertical="center" shrinkToFit="1"/>
    </xf>
    <xf numFmtId="0" fontId="15" fillId="8" borderId="42" xfId="2" applyFont="1" applyFill="1" applyBorder="1" applyAlignment="1">
      <alignment horizontal="center" vertical="center"/>
    </xf>
    <xf numFmtId="0" fontId="15" fillId="8" borderId="61" xfId="2" applyFont="1" applyFill="1" applyBorder="1" applyAlignment="1">
      <alignment horizontal="center" vertical="center"/>
    </xf>
    <xf numFmtId="0" fontId="15" fillId="8" borderId="37" xfId="2" applyFont="1" applyFill="1" applyBorder="1" applyAlignment="1">
      <alignment horizontal="center" vertical="center"/>
    </xf>
    <xf numFmtId="0" fontId="15" fillId="8" borderId="41" xfId="2" applyFont="1" applyFill="1" applyBorder="1" applyAlignment="1">
      <alignment horizontal="center" vertical="center"/>
    </xf>
    <xf numFmtId="0" fontId="15" fillId="8" borderId="25" xfId="2" applyFont="1" applyFill="1" applyBorder="1" applyAlignment="1">
      <alignment horizontal="center" vertical="center"/>
    </xf>
    <xf numFmtId="0" fontId="15" fillId="8" borderId="35" xfId="2" applyFont="1" applyFill="1" applyBorder="1" applyAlignment="1">
      <alignment horizontal="center" vertical="center"/>
    </xf>
    <xf numFmtId="0" fontId="21" fillId="11" borderId="13" xfId="0" applyFont="1" applyFill="1" applyBorder="1" applyAlignment="1">
      <alignment horizontal="center" vertical="center"/>
    </xf>
    <xf numFmtId="0" fontId="15" fillId="8" borderId="11" xfId="2" applyFont="1" applyFill="1" applyBorder="1" applyAlignment="1">
      <alignment horizontal="center" vertical="center"/>
    </xf>
    <xf numFmtId="0" fontId="15" fillId="8" borderId="12" xfId="2" applyFont="1" applyFill="1" applyBorder="1" applyAlignment="1">
      <alignment horizontal="center" vertical="center"/>
    </xf>
    <xf numFmtId="0" fontId="15" fillId="8" borderId="13" xfId="2" applyFont="1" applyFill="1" applyBorder="1" applyAlignment="1">
      <alignment horizontal="center" vertical="center"/>
    </xf>
    <xf numFmtId="0" fontId="21" fillId="11" borderId="41" xfId="0" applyFont="1" applyFill="1" applyBorder="1" applyAlignment="1">
      <alignment horizontal="center" vertical="center"/>
    </xf>
    <xf numFmtId="0" fontId="21" fillId="11" borderId="35" xfId="0" applyFont="1" applyFill="1" applyBorder="1" applyAlignment="1">
      <alignment horizontal="center" vertical="center"/>
    </xf>
    <xf numFmtId="0" fontId="21" fillId="11" borderId="67" xfId="0" applyFont="1" applyFill="1" applyBorder="1" applyAlignment="1">
      <alignment horizontal="center" vertical="center"/>
    </xf>
    <xf numFmtId="0" fontId="62" fillId="0" borderId="60" xfId="2" applyFont="1" applyBorder="1" applyAlignment="1">
      <alignment horizontal="center" vertical="center"/>
    </xf>
    <xf numFmtId="0" fontId="19" fillId="0" borderId="0" xfId="0" applyFont="1" applyBorder="1" applyAlignment="1">
      <alignment vertical="center"/>
    </xf>
    <xf numFmtId="0" fontId="76" fillId="0" borderId="11" xfId="2" applyFont="1" applyBorder="1" applyAlignment="1">
      <alignment horizontal="center" vertical="center"/>
    </xf>
    <xf numFmtId="0" fontId="76" fillId="0" borderId="12" xfId="2" applyFont="1" applyBorder="1" applyAlignment="1">
      <alignment horizontal="center" vertical="center"/>
    </xf>
    <xf numFmtId="0" fontId="76" fillId="0" borderId="13" xfId="2" applyFont="1" applyBorder="1" applyAlignment="1">
      <alignment horizontal="center" vertical="center"/>
    </xf>
    <xf numFmtId="4" fontId="12" fillId="8" borderId="43" xfId="1" applyNumberFormat="1" applyFont="1" applyFill="1" applyBorder="1" applyAlignment="1">
      <alignment horizontal="center" vertical="center" shrinkToFit="1"/>
    </xf>
    <xf numFmtId="4" fontId="12" fillId="8" borderId="55" xfId="1" applyNumberFormat="1" applyFont="1" applyFill="1" applyBorder="1" applyAlignment="1">
      <alignment horizontal="center" vertical="center" shrinkToFit="1"/>
    </xf>
    <xf numFmtId="0" fontId="28" fillId="8" borderId="60" xfId="2" applyFont="1" applyFill="1" applyBorder="1" applyAlignment="1">
      <alignment horizontal="center" vertical="center"/>
    </xf>
    <xf numFmtId="0" fontId="28" fillId="8" borderId="38" xfId="2" applyFont="1" applyFill="1" applyBorder="1" applyAlignment="1">
      <alignment horizontal="center" vertical="center"/>
    </xf>
    <xf numFmtId="0" fontId="28" fillId="8" borderId="0" xfId="2" applyFont="1" applyFill="1" applyBorder="1" applyAlignment="1">
      <alignment horizontal="center" vertical="center"/>
    </xf>
    <xf numFmtId="4" fontId="91" fillId="3" borderId="0" xfId="0" applyNumberFormat="1" applyFont="1" applyFill="1" applyBorder="1" applyAlignment="1">
      <alignment horizontal="center" vertical="center" shrinkToFit="1"/>
    </xf>
    <xf numFmtId="4" fontId="91" fillId="0" borderId="0" xfId="0" applyNumberFormat="1" applyFont="1" applyFill="1" applyBorder="1" applyAlignment="1">
      <alignment horizontal="center" vertical="center" shrinkToFit="1"/>
    </xf>
    <xf numFmtId="0" fontId="79" fillId="8" borderId="11" xfId="2" applyFont="1" applyFill="1" applyBorder="1" applyAlignment="1">
      <alignment horizontal="center" vertical="center"/>
    </xf>
    <xf numFmtId="0" fontId="79" fillId="8" borderId="12" xfId="2" applyFont="1" applyFill="1" applyBorder="1" applyAlignment="1">
      <alignment horizontal="center" vertical="center"/>
    </xf>
    <xf numFmtId="0" fontId="79" fillId="8" borderId="13" xfId="2"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3" xfId="0" applyFont="1" applyFill="1" applyBorder="1" applyAlignment="1">
      <alignment horizontal="center" vertical="center"/>
    </xf>
    <xf numFmtId="0" fontId="43" fillId="3" borderId="0" xfId="0" applyFont="1" applyFill="1" applyAlignment="1">
      <alignment horizontal="center" vertical="center" shrinkToFit="1"/>
    </xf>
    <xf numFmtId="0" fontId="78" fillId="8" borderId="11" xfId="2" applyFont="1" applyFill="1" applyBorder="1" applyAlignment="1">
      <alignment horizontal="center" vertical="center"/>
    </xf>
    <xf numFmtId="0" fontId="78" fillId="8" borderId="12" xfId="2" applyFont="1" applyFill="1" applyBorder="1" applyAlignment="1">
      <alignment horizontal="center" vertical="center"/>
    </xf>
    <xf numFmtId="0" fontId="78" fillId="8" borderId="13" xfId="2" applyFont="1" applyFill="1" applyBorder="1" applyAlignment="1">
      <alignment horizontal="center" vertical="center"/>
    </xf>
    <xf numFmtId="0" fontId="24" fillId="3" borderId="0" xfId="0" applyFont="1" applyFill="1" applyAlignment="1">
      <alignment horizontal="center" vertical="center" shrinkToFit="1"/>
    </xf>
    <xf numFmtId="4" fontId="43" fillId="3" borderId="0" xfId="0" applyNumberFormat="1" applyFont="1" applyFill="1" applyBorder="1" applyAlignment="1">
      <alignment horizontal="center" vertical="center" shrinkToFit="1"/>
    </xf>
    <xf numFmtId="0" fontId="43" fillId="0" borderId="35" xfId="0" applyFont="1" applyFill="1" applyBorder="1" applyAlignment="1">
      <alignment horizontal="left" vertical="center" shrinkToFit="1"/>
    </xf>
    <xf numFmtId="0" fontId="46" fillId="0" borderId="0" xfId="0" applyFont="1" applyFill="1" applyBorder="1" applyAlignment="1">
      <alignment horizontal="center" vertical="center"/>
    </xf>
    <xf numFmtId="4" fontId="45" fillId="0" borderId="0" xfId="0" applyNumberFormat="1" applyFont="1" applyFill="1" applyAlignment="1">
      <alignment horizontal="left" vertical="center"/>
    </xf>
    <xf numFmtId="14" fontId="11" fillId="8" borderId="39" xfId="2" applyNumberFormat="1" applyFont="1" applyFill="1" applyBorder="1" applyAlignment="1">
      <alignment horizontal="center" vertical="center"/>
    </xf>
    <xf numFmtId="14" fontId="5" fillId="8" borderId="41" xfId="2" applyNumberFormat="1" applyFont="1" applyFill="1" applyBorder="1" applyAlignment="1">
      <alignment horizontal="center" vertical="center"/>
    </xf>
    <xf numFmtId="4" fontId="11" fillId="8" borderId="11" xfId="2" applyNumberFormat="1" applyFont="1" applyFill="1" applyBorder="1" applyAlignment="1">
      <alignment horizontal="center" vertical="center"/>
    </xf>
    <xf numFmtId="4" fontId="11" fillId="8" borderId="12" xfId="2" applyNumberFormat="1" applyFont="1" applyFill="1" applyBorder="1" applyAlignment="1">
      <alignment horizontal="center" vertical="center"/>
    </xf>
    <xf numFmtId="4" fontId="11" fillId="8" borderId="13" xfId="2" applyNumberFormat="1" applyFont="1" applyFill="1" applyBorder="1" applyAlignment="1">
      <alignment horizontal="center" vertical="center"/>
    </xf>
    <xf numFmtId="0" fontId="5" fillId="3" borderId="0" xfId="0" applyFont="1" applyFill="1" applyAlignment="1">
      <alignment horizontal="center" vertical="center" shrinkToFit="1"/>
    </xf>
    <xf numFmtId="0" fontId="23" fillId="3" borderId="0" xfId="0" applyFont="1" applyFill="1" applyAlignment="1">
      <alignment horizontal="center" vertical="center" shrinkToFit="1"/>
    </xf>
    <xf numFmtId="4" fontId="11" fillId="0" borderId="0" xfId="2" applyNumberFormat="1" applyFont="1" applyAlignment="1">
      <alignment horizontal="center" vertical="center"/>
    </xf>
    <xf numFmtId="14" fontId="11" fillId="0" borderId="0" xfId="2" applyNumberFormat="1" applyFont="1" applyFill="1" applyBorder="1" applyAlignment="1">
      <alignment horizontal="center" vertical="center"/>
    </xf>
    <xf numFmtId="0" fontId="62" fillId="8" borderId="11" xfId="2" applyFont="1" applyFill="1" applyBorder="1" applyAlignment="1">
      <alignment horizontal="center" vertical="center"/>
    </xf>
    <xf numFmtId="0" fontId="62" fillId="8" borderId="13" xfId="2" applyFont="1" applyFill="1" applyBorder="1" applyAlignment="1">
      <alignment horizontal="center" vertical="center"/>
    </xf>
    <xf numFmtId="0" fontId="15" fillId="0" borderId="11" xfId="2" applyFont="1" applyBorder="1" applyAlignment="1">
      <alignment horizontal="center" vertical="center"/>
    </xf>
    <xf numFmtId="0" fontId="15" fillId="0" borderId="13" xfId="2" applyFont="1" applyBorder="1" applyAlignment="1">
      <alignment horizontal="center" vertic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62" fillId="8" borderId="12" xfId="2" applyFont="1" applyFill="1" applyBorder="1" applyAlignment="1">
      <alignment horizontal="center" vertical="center"/>
    </xf>
    <xf numFmtId="0" fontId="0" fillId="0" borderId="0" xfId="0" applyAlignment="1">
      <alignment horizontal="center" vertical="center" wrapText="1"/>
    </xf>
    <xf numFmtId="0" fontId="20" fillId="0" borderId="0" xfId="0" applyFont="1" applyBorder="1" applyAlignment="1">
      <alignment horizontal="center" vertical="center"/>
    </xf>
    <xf numFmtId="0" fontId="11" fillId="8" borderId="0" xfId="0" applyFont="1" applyFill="1" applyAlignment="1">
      <alignment horizontal="center" vertical="center"/>
    </xf>
    <xf numFmtId="0" fontId="0" fillId="0" borderId="12" xfId="0" applyBorder="1"/>
    <xf numFmtId="0" fontId="11" fillId="0" borderId="0" xfId="0" applyFont="1" applyFill="1" applyAlignment="1">
      <alignment horizontal="center" vertical="center"/>
    </xf>
    <xf numFmtId="0" fontId="21" fillId="0" borderId="0" xfId="0" applyFont="1" applyAlignment="1">
      <alignment horizontal="center" vertical="center"/>
    </xf>
    <xf numFmtId="0" fontId="5" fillId="0" borderId="0" xfId="2" applyFont="1" applyAlignment="1">
      <alignment horizontal="center" vertical="center"/>
    </xf>
    <xf numFmtId="0" fontId="0" fillId="0" borderId="60" xfId="0" applyBorder="1" applyAlignment="1">
      <alignment horizontal="center" vertical="center"/>
    </xf>
    <xf numFmtId="0" fontId="0" fillId="0" borderId="0" xfId="0" applyBorder="1" applyAlignment="1">
      <alignment horizontal="center" vertical="center"/>
    </xf>
    <xf numFmtId="0" fontId="15" fillId="0" borderId="60" xfId="2" applyFont="1" applyBorder="1" applyAlignment="1">
      <alignment horizontal="center" vertical="center"/>
    </xf>
    <xf numFmtId="0" fontId="15" fillId="0" borderId="0" xfId="2" applyFont="1" applyBorder="1" applyAlignment="1">
      <alignment horizontal="center" vertical="center"/>
    </xf>
    <xf numFmtId="0" fontId="3" fillId="3" borderId="0" xfId="0" applyFont="1" applyFill="1" applyAlignment="1">
      <alignment horizontal="center" vertical="center" shrinkToFit="1"/>
    </xf>
    <xf numFmtId="0" fontId="11" fillId="0" borderId="0" xfId="0" applyFont="1" applyAlignment="1">
      <alignment horizontal="center" vertical="center"/>
    </xf>
    <xf numFmtId="14" fontId="11" fillId="0" borderId="0" xfId="0" applyNumberFormat="1" applyFont="1" applyFill="1" applyAlignment="1">
      <alignment horizontal="center" vertical="center"/>
    </xf>
    <xf numFmtId="14" fontId="91" fillId="0" borderId="60" xfId="0" applyNumberFormat="1" applyFont="1" applyBorder="1" applyAlignment="1">
      <alignment horizontal="center" vertical="center"/>
    </xf>
    <xf numFmtId="0" fontId="91" fillId="0" borderId="38" xfId="0" applyFont="1" applyBorder="1" applyAlignment="1">
      <alignment horizontal="center" vertical="center"/>
    </xf>
    <xf numFmtId="0" fontId="91" fillId="0" borderId="60" xfId="0" applyFont="1" applyBorder="1" applyAlignment="1">
      <alignment horizontal="center" vertical="center"/>
    </xf>
    <xf numFmtId="0" fontId="43" fillId="0" borderId="0" xfId="0" applyFont="1" applyAlignment="1">
      <alignment horizontal="center" vertical="center"/>
    </xf>
    <xf numFmtId="0" fontId="25" fillId="0" borderId="0" xfId="0"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center" vertical="center" wrapText="1"/>
    </xf>
    <xf numFmtId="0" fontId="44" fillId="0" borderId="0" xfId="0" applyFont="1" applyAlignment="1">
      <alignment horizontal="center" vertical="center"/>
    </xf>
    <xf numFmtId="177" fontId="43" fillId="0" borderId="0" xfId="0" applyNumberFormat="1" applyFont="1" applyAlignment="1">
      <alignment horizontal="center" vertical="center"/>
    </xf>
    <xf numFmtId="0" fontId="20" fillId="0" borderId="0" xfId="0" applyFont="1" applyAlignment="1">
      <alignment horizontal="center" vertical="center"/>
    </xf>
    <xf numFmtId="14" fontId="12" fillId="8" borderId="11" xfId="0" applyNumberFormat="1" applyFont="1" applyFill="1" applyBorder="1" applyAlignment="1">
      <alignment horizontal="center" vertical="center" wrapText="1"/>
    </xf>
    <xf numFmtId="14" fontId="12" fillId="8" borderId="12" xfId="0" applyNumberFormat="1" applyFont="1" applyFill="1" applyBorder="1" applyAlignment="1">
      <alignment horizontal="center" vertical="center" wrapText="1"/>
    </xf>
    <xf numFmtId="14" fontId="12" fillId="8" borderId="13" xfId="0" applyNumberFormat="1" applyFont="1" applyFill="1" applyBorder="1" applyAlignment="1">
      <alignment horizontal="center" vertical="center" wrapText="1"/>
    </xf>
    <xf numFmtId="0" fontId="5" fillId="8" borderId="11" xfId="0" applyFont="1" applyFill="1" applyBorder="1" applyAlignment="1">
      <alignment horizontal="center" vertical="center"/>
    </xf>
    <xf numFmtId="0" fontId="5" fillId="8" borderId="12" xfId="0" applyFont="1" applyFill="1" applyBorder="1" applyAlignment="1">
      <alignment horizontal="center" vertical="center"/>
    </xf>
    <xf numFmtId="4" fontId="5" fillId="8" borderId="4" xfId="0" applyNumberFormat="1" applyFont="1" applyFill="1" applyBorder="1" applyAlignment="1">
      <alignment horizontal="center" vertical="center" shrinkToFit="1"/>
    </xf>
    <xf numFmtId="4" fontId="5" fillId="8" borderId="6" xfId="0" applyNumberFormat="1" applyFont="1" applyFill="1" applyBorder="1" applyAlignment="1">
      <alignment horizontal="center" vertical="center" shrinkToFit="1"/>
    </xf>
    <xf numFmtId="0" fontId="11" fillId="8" borderId="11" xfId="0" applyFont="1" applyFill="1" applyBorder="1" applyAlignment="1">
      <alignment horizontal="center" vertical="center"/>
    </xf>
    <xf numFmtId="0" fontId="11" fillId="8" borderId="12" xfId="0" applyFont="1" applyFill="1" applyBorder="1" applyAlignment="1">
      <alignment horizontal="center" vertical="center"/>
    </xf>
    <xf numFmtId="4" fontId="46" fillId="8" borderId="4" xfId="0" applyNumberFormat="1" applyFont="1" applyFill="1" applyBorder="1" applyAlignment="1">
      <alignment horizontal="right" vertical="center" shrinkToFit="1"/>
    </xf>
    <xf numFmtId="4" fontId="46" fillId="8" borderId="6" xfId="0" applyNumberFormat="1" applyFont="1" applyFill="1" applyBorder="1" applyAlignment="1">
      <alignment horizontal="right" vertical="center" shrinkToFit="1"/>
    </xf>
    <xf numFmtId="0" fontId="80" fillId="0" borderId="11" xfId="0" applyFont="1" applyFill="1" applyBorder="1" applyAlignment="1">
      <alignment horizontal="left" vertical="center" wrapText="1"/>
    </xf>
    <xf numFmtId="0" fontId="80" fillId="0" borderId="12" xfId="0" applyFont="1" applyFill="1" applyBorder="1" applyAlignment="1">
      <alignment horizontal="left" vertical="center" wrapText="1"/>
    </xf>
    <xf numFmtId="4" fontId="24" fillId="0" borderId="4" xfId="0" applyNumberFormat="1" applyFont="1" applyFill="1" applyBorder="1" applyAlignment="1">
      <alignment horizontal="right" vertical="center" shrinkToFit="1"/>
    </xf>
    <xf numFmtId="4" fontId="24" fillId="0" borderId="6" xfId="0" applyNumberFormat="1" applyFont="1" applyFill="1" applyBorder="1" applyAlignment="1">
      <alignment horizontal="right" vertical="center" shrinkToFit="1"/>
    </xf>
    <xf numFmtId="4" fontId="24" fillId="0" borderId="57" xfId="0" applyNumberFormat="1" applyFont="1" applyFill="1" applyBorder="1" applyAlignment="1">
      <alignment horizontal="right" vertical="center" shrinkToFit="1"/>
    </xf>
    <xf numFmtId="4" fontId="24" fillId="0" borderId="62" xfId="0" applyNumberFormat="1" applyFont="1" applyFill="1" applyBorder="1" applyAlignment="1">
      <alignment horizontal="right" vertical="center" shrinkToFit="1"/>
    </xf>
    <xf numFmtId="0" fontId="86" fillId="11" borderId="11" xfId="0" applyFont="1" applyFill="1" applyBorder="1" applyAlignment="1">
      <alignment horizontal="left" vertical="center" wrapText="1"/>
    </xf>
    <xf numFmtId="0" fontId="86" fillId="11" borderId="12" xfId="0" applyFont="1" applyFill="1" applyBorder="1" applyAlignment="1">
      <alignment horizontal="left" vertical="center" wrapText="1"/>
    </xf>
    <xf numFmtId="4" fontId="46" fillId="11" borderId="4" xfId="0" applyNumberFormat="1" applyFont="1" applyFill="1" applyBorder="1" applyAlignment="1">
      <alignment horizontal="right" vertical="center" shrinkToFit="1"/>
    </xf>
    <xf numFmtId="4" fontId="46" fillId="11" borderId="6" xfId="0" applyNumberFormat="1" applyFont="1" applyFill="1" applyBorder="1" applyAlignment="1">
      <alignment horizontal="right" vertical="center" shrinkToFit="1"/>
    </xf>
    <xf numFmtId="4" fontId="24" fillId="0" borderId="42" xfId="0" applyNumberFormat="1" applyFont="1" applyFill="1" applyBorder="1" applyAlignment="1">
      <alignment horizontal="right" vertical="center" shrinkToFit="1"/>
    </xf>
    <xf numFmtId="4" fontId="24" fillId="0" borderId="61" xfId="0" applyNumberFormat="1" applyFont="1" applyFill="1" applyBorder="1" applyAlignment="1">
      <alignment horizontal="right" vertical="center" shrinkToFit="1"/>
    </xf>
    <xf numFmtId="4" fontId="24" fillId="0" borderId="11" xfId="0" applyNumberFormat="1" applyFont="1" applyFill="1" applyBorder="1" applyAlignment="1">
      <alignment horizontal="right" vertical="center" shrinkToFit="1"/>
    </xf>
    <xf numFmtId="4" fontId="24" fillId="0" borderId="13" xfId="0" applyNumberFormat="1" applyFont="1" applyFill="1" applyBorder="1" applyAlignment="1">
      <alignment horizontal="right" vertical="center" shrinkToFit="1"/>
    </xf>
    <xf numFmtId="0" fontId="5" fillId="0" borderId="11" xfId="0" applyFont="1" applyBorder="1" applyAlignment="1">
      <alignment horizontal="center" vertical="center"/>
    </xf>
    <xf numFmtId="0" fontId="5" fillId="0" borderId="13" xfId="0" applyFont="1" applyBorder="1" applyAlignment="1">
      <alignment horizontal="center" vertical="center"/>
    </xf>
    <xf numFmtId="0" fontId="87" fillId="0" borderId="11" xfId="0" applyFont="1" applyBorder="1" applyAlignment="1">
      <alignment horizontal="left" vertical="center"/>
    </xf>
    <xf numFmtId="0" fontId="87" fillId="0" borderId="13" xfId="0" applyFont="1" applyBorder="1" applyAlignment="1">
      <alignment horizontal="left" vertical="center"/>
    </xf>
    <xf numFmtId="0" fontId="87" fillId="0" borderId="41" xfId="0" applyFont="1" applyBorder="1" applyAlignment="1">
      <alignment horizontal="left" vertical="center"/>
    </xf>
    <xf numFmtId="0" fontId="87" fillId="0" borderId="35" xfId="0" applyFont="1" applyBorder="1" applyAlignment="1">
      <alignment horizontal="left" vertical="center"/>
    </xf>
    <xf numFmtId="4" fontId="45" fillId="0" borderId="11" xfId="0" applyNumberFormat="1" applyFont="1" applyBorder="1" applyAlignment="1">
      <alignment horizontal="right" vertical="center"/>
    </xf>
    <xf numFmtId="4" fontId="45" fillId="0" borderId="13" xfId="0" applyNumberFormat="1" applyFont="1" applyBorder="1" applyAlignment="1">
      <alignment horizontal="right" vertical="center"/>
    </xf>
    <xf numFmtId="0" fontId="86" fillId="11" borderId="11" xfId="0" applyFont="1" applyFill="1" applyBorder="1" applyAlignment="1">
      <alignment horizontal="left" vertical="center"/>
    </xf>
    <xf numFmtId="0" fontId="86" fillId="11" borderId="12" xfId="0" applyFont="1" applyFill="1" applyBorder="1" applyAlignment="1">
      <alignment horizontal="left" vertical="center"/>
    </xf>
    <xf numFmtId="0" fontId="82" fillId="8" borderId="11" xfId="2" applyFont="1" applyFill="1" applyBorder="1" applyAlignment="1">
      <alignment horizontal="center" vertical="center"/>
    </xf>
    <xf numFmtId="0" fontId="82" fillId="8" borderId="12" xfId="2" applyFont="1" applyFill="1" applyBorder="1" applyAlignment="1">
      <alignment horizontal="center" vertical="center"/>
    </xf>
    <xf numFmtId="0" fontId="82" fillId="8" borderId="13" xfId="2" applyFont="1" applyFill="1" applyBorder="1" applyAlignment="1">
      <alignment horizontal="center" vertical="center"/>
    </xf>
    <xf numFmtId="0" fontId="15" fillId="0" borderId="42" xfId="2" applyFont="1" applyFill="1" applyBorder="1" applyAlignment="1">
      <alignment horizontal="center" vertical="center"/>
    </xf>
    <xf numFmtId="0" fontId="15" fillId="0" borderId="37" xfId="2" applyFont="1" applyFill="1" applyBorder="1" applyAlignment="1">
      <alignment horizontal="center" vertical="center"/>
    </xf>
    <xf numFmtId="0" fontId="15" fillId="0" borderId="61" xfId="2" applyFont="1" applyFill="1" applyBorder="1" applyAlignment="1">
      <alignment horizontal="center" vertical="center"/>
    </xf>
    <xf numFmtId="0" fontId="15" fillId="0" borderId="41" xfId="2" applyFont="1" applyFill="1" applyBorder="1" applyAlignment="1">
      <alignment horizontal="center" vertical="center"/>
    </xf>
    <xf numFmtId="0" fontId="15" fillId="0" borderId="35" xfId="2" applyFont="1" applyFill="1" applyBorder="1" applyAlignment="1">
      <alignment horizontal="center" vertical="center"/>
    </xf>
    <xf numFmtId="0" fontId="15" fillId="0" borderId="25" xfId="2" applyFont="1" applyFill="1" applyBorder="1" applyAlignment="1">
      <alignment horizontal="center" vertical="center"/>
    </xf>
    <xf numFmtId="0" fontId="0" fillId="0" borderId="42" xfId="0" applyBorder="1" applyAlignment="1">
      <alignment horizontal="center" vertical="center"/>
    </xf>
    <xf numFmtId="0" fontId="0" fillId="0" borderId="37" xfId="0" applyBorder="1" applyAlignment="1">
      <alignment horizontal="center" vertical="center"/>
    </xf>
    <xf numFmtId="0" fontId="0" fillId="0" borderId="61" xfId="0" applyBorder="1" applyAlignment="1">
      <alignment horizontal="center" vertical="center"/>
    </xf>
    <xf numFmtId="0" fontId="0" fillId="0" borderId="41" xfId="0" applyBorder="1" applyAlignment="1">
      <alignment horizontal="center" vertical="center"/>
    </xf>
    <xf numFmtId="0" fontId="0" fillId="0" borderId="35" xfId="0" applyBorder="1" applyAlignment="1">
      <alignment horizontal="center" vertical="center"/>
    </xf>
    <xf numFmtId="0" fontId="0" fillId="0" borderId="25" xfId="0" applyBorder="1" applyAlignment="1">
      <alignment horizontal="center" vertical="center"/>
    </xf>
    <xf numFmtId="49" fontId="82" fillId="8" borderId="11" xfId="2" applyNumberFormat="1" applyFont="1" applyFill="1" applyBorder="1" applyAlignment="1">
      <alignment horizontal="center" vertical="center"/>
    </xf>
    <xf numFmtId="49" fontId="82" fillId="8" borderId="12" xfId="2" applyNumberFormat="1" applyFont="1" applyFill="1" applyBorder="1" applyAlignment="1">
      <alignment horizontal="center" vertical="center"/>
    </xf>
    <xf numFmtId="49" fontId="82" fillId="8" borderId="13" xfId="2" applyNumberFormat="1" applyFont="1" applyFill="1" applyBorder="1" applyAlignment="1">
      <alignment horizontal="center" vertical="center"/>
    </xf>
    <xf numFmtId="14" fontId="46" fillId="0" borderId="0" xfId="0" applyNumberFormat="1" applyFont="1" applyAlignment="1">
      <alignment horizontal="center" vertical="center"/>
    </xf>
    <xf numFmtId="0" fontId="83" fillId="0" borderId="0" xfId="0" applyFont="1" applyAlignment="1">
      <alignment horizontal="center" vertical="center"/>
    </xf>
    <xf numFmtId="0" fontId="83" fillId="0" borderId="0" xfId="0" applyFont="1" applyAlignment="1">
      <alignment horizontal="center" vertical="center" wrapText="1"/>
    </xf>
    <xf numFmtId="0" fontId="84" fillId="0" borderId="0" xfId="0" applyFont="1" applyAlignment="1">
      <alignment horizontal="center" vertical="center"/>
    </xf>
    <xf numFmtId="0" fontId="46" fillId="8" borderId="39" xfId="0" applyFont="1" applyFill="1" applyBorder="1" applyAlignment="1">
      <alignment horizontal="center" vertical="center"/>
    </xf>
    <xf numFmtId="0" fontId="46" fillId="8" borderId="34" xfId="0" applyFont="1" applyFill="1" applyBorder="1" applyAlignment="1">
      <alignment horizontal="center" vertical="center"/>
    </xf>
    <xf numFmtId="4" fontId="11" fillId="11" borderId="39" xfId="0" applyNumberFormat="1" applyFont="1" applyFill="1" applyBorder="1" applyAlignment="1">
      <alignment horizontal="center" vertical="center" wrapText="1" shrinkToFit="1"/>
    </xf>
    <xf numFmtId="4" fontId="11" fillId="11" borderId="34" xfId="0" applyNumberFormat="1" applyFont="1" applyFill="1" applyBorder="1" applyAlignment="1">
      <alignment horizontal="center" vertical="center" wrapText="1" shrinkToFit="1"/>
    </xf>
    <xf numFmtId="0" fontId="21" fillId="7" borderId="39" xfId="0" applyFont="1" applyFill="1" applyBorder="1" applyAlignment="1">
      <alignment horizontal="center" vertical="center" wrapText="1"/>
    </xf>
    <xf numFmtId="0" fontId="21" fillId="7" borderId="34" xfId="0" applyFont="1" applyFill="1" applyBorder="1" applyAlignment="1">
      <alignment horizontal="center" vertical="center" wrapText="1"/>
    </xf>
    <xf numFmtId="0" fontId="83" fillId="8" borderId="12" xfId="0" applyFont="1" applyFill="1" applyBorder="1" applyAlignment="1">
      <alignment horizontal="center"/>
    </xf>
    <xf numFmtId="0" fontId="83" fillId="8" borderId="13" xfId="0" applyFont="1" applyFill="1" applyBorder="1" applyAlignment="1">
      <alignment horizontal="center"/>
    </xf>
    <xf numFmtId="0" fontId="93" fillId="8" borderId="12" xfId="2" applyFont="1" applyFill="1" applyBorder="1" applyAlignment="1">
      <alignment horizontal="center" vertical="center" wrapText="1"/>
    </xf>
    <xf numFmtId="0" fontId="93" fillId="8" borderId="13" xfId="2" applyFont="1" applyFill="1" applyBorder="1" applyAlignment="1">
      <alignment horizontal="center" vertical="center" wrapText="1"/>
    </xf>
    <xf numFmtId="4" fontId="26" fillId="11" borderId="0" xfId="0" applyNumberFormat="1" applyFont="1" applyFill="1" applyBorder="1" applyAlignment="1">
      <alignment horizontal="center" vertical="center" wrapText="1"/>
    </xf>
    <xf numFmtId="0" fontId="5" fillId="0" borderId="35" xfId="0" applyFont="1" applyBorder="1" applyAlignment="1">
      <alignment horizontal="center" vertical="center"/>
    </xf>
    <xf numFmtId="0" fontId="5" fillId="0" borderId="35" xfId="0" applyFont="1" applyBorder="1" applyAlignment="1">
      <alignment horizontal="center" vertical="center" wrapText="1" shrinkToFit="1"/>
    </xf>
    <xf numFmtId="0" fontId="5" fillId="3" borderId="35" xfId="0" applyFont="1" applyFill="1" applyBorder="1" applyAlignment="1">
      <alignment horizontal="center" vertical="center" wrapText="1" shrinkToFit="1"/>
    </xf>
    <xf numFmtId="0" fontId="5" fillId="0" borderId="35" xfId="0" applyFont="1" applyBorder="1" applyAlignment="1">
      <alignment horizontal="center" vertical="center" shrinkToFit="1"/>
    </xf>
    <xf numFmtId="0" fontId="11" fillId="0" borderId="35" xfId="0" applyFont="1" applyBorder="1" applyAlignment="1">
      <alignment horizontal="center" vertical="center"/>
    </xf>
    <xf numFmtId="0" fontId="5" fillId="0" borderId="35" xfId="0" applyFont="1" applyFill="1" applyBorder="1" applyAlignment="1">
      <alignment horizontal="center" vertical="center"/>
    </xf>
  </cellXfs>
  <cellStyles count="290">
    <cellStyle name="20% - Énfasis1 2" xfId="31"/>
    <cellStyle name="20% - Énfasis1 3" xfId="32"/>
    <cellStyle name="20% - Énfasis1 4" xfId="33"/>
    <cellStyle name="20% - Énfasis1 5" xfId="34"/>
    <cellStyle name="20% - Énfasis1 6" xfId="35"/>
    <cellStyle name="20% - Énfasis1 7" xfId="36"/>
    <cellStyle name="20% - Énfasis2 2" xfId="37"/>
    <cellStyle name="20% - Énfasis2 3" xfId="38"/>
    <cellStyle name="20% - Énfasis2 4" xfId="39"/>
    <cellStyle name="20% - Énfasis2 5" xfId="40"/>
    <cellStyle name="20% - Énfasis2 6" xfId="41"/>
    <cellStyle name="20% - Énfasis2 7" xfId="42"/>
    <cellStyle name="20% - Énfasis3 2" xfId="43"/>
    <cellStyle name="20% - Énfasis3 3" xfId="44"/>
    <cellStyle name="20% - Énfasis3 4" xfId="45"/>
    <cellStyle name="20% - Énfasis3 5" xfId="46"/>
    <cellStyle name="20% - Énfasis3 6" xfId="47"/>
    <cellStyle name="20% - Énfasis3 7" xfId="48"/>
    <cellStyle name="20% - Énfasis4 2" xfId="49"/>
    <cellStyle name="20% - Énfasis4 3" xfId="50"/>
    <cellStyle name="20% - Énfasis4 4" xfId="51"/>
    <cellStyle name="20% - Énfasis4 5" xfId="52"/>
    <cellStyle name="20% - Énfasis4 6" xfId="53"/>
    <cellStyle name="20% - Énfasis4 7" xfId="54"/>
    <cellStyle name="20% - Énfasis5 2" xfId="55"/>
    <cellStyle name="20% - Énfasis5 3" xfId="56"/>
    <cellStyle name="20% - Énfasis5 4" xfId="57"/>
    <cellStyle name="20% - Énfasis5 5" xfId="58"/>
    <cellStyle name="20% - Énfasis5 6" xfId="59"/>
    <cellStyle name="20% - Énfasis5 7" xfId="60"/>
    <cellStyle name="20% - Énfasis6 2" xfId="61"/>
    <cellStyle name="20% - Énfasis6 3" xfId="62"/>
    <cellStyle name="20% - Énfasis6 4" xfId="63"/>
    <cellStyle name="20% - Énfasis6 5" xfId="64"/>
    <cellStyle name="20% - Énfasis6 6" xfId="65"/>
    <cellStyle name="20% - Énfasis6 7" xfId="66"/>
    <cellStyle name="40% - Énfasis1 2" xfId="67"/>
    <cellStyle name="40% - Énfasis1 3" xfId="68"/>
    <cellStyle name="40% - Énfasis1 4" xfId="69"/>
    <cellStyle name="40% - Énfasis1 5" xfId="70"/>
    <cellStyle name="40% - Énfasis1 6" xfId="71"/>
    <cellStyle name="40% - Énfasis1 7" xfId="72"/>
    <cellStyle name="40% - Énfasis2 2" xfId="73"/>
    <cellStyle name="40% - Énfasis2 3" xfId="74"/>
    <cellStyle name="40% - Énfasis2 4" xfId="75"/>
    <cellStyle name="40% - Énfasis2 5" xfId="76"/>
    <cellStyle name="40% - Énfasis2 6" xfId="77"/>
    <cellStyle name="40% - Énfasis2 7" xfId="78"/>
    <cellStyle name="40% - Énfasis3 2" xfId="79"/>
    <cellStyle name="40% - Énfasis3 3" xfId="80"/>
    <cellStyle name="40% - Énfasis3 4" xfId="81"/>
    <cellStyle name="40% - Énfasis3 5" xfId="82"/>
    <cellStyle name="40% - Énfasis3 6" xfId="83"/>
    <cellStyle name="40% - Énfasis3 7" xfId="84"/>
    <cellStyle name="40% - Énfasis4 2" xfId="85"/>
    <cellStyle name="40% - Énfasis4 3" xfId="86"/>
    <cellStyle name="40% - Énfasis4 4" xfId="87"/>
    <cellStyle name="40% - Énfasis4 5" xfId="88"/>
    <cellStyle name="40% - Énfasis4 6" xfId="89"/>
    <cellStyle name="40% - Énfasis4 7" xfId="90"/>
    <cellStyle name="40% - Énfasis5 2" xfId="91"/>
    <cellStyle name="40% - Énfasis5 3" xfId="92"/>
    <cellStyle name="40% - Énfasis5 4" xfId="93"/>
    <cellStyle name="40% - Énfasis5 5" xfId="94"/>
    <cellStyle name="40% - Énfasis5 6" xfId="95"/>
    <cellStyle name="40% - Énfasis5 7" xfId="96"/>
    <cellStyle name="40% - Énfasis6 2" xfId="97"/>
    <cellStyle name="40% - Énfasis6 3" xfId="98"/>
    <cellStyle name="40% - Énfasis6 4" xfId="99"/>
    <cellStyle name="40% - Énfasis6 5" xfId="100"/>
    <cellStyle name="40% - Énfasis6 6" xfId="101"/>
    <cellStyle name="40% - Énfasis6 7" xfId="102"/>
    <cellStyle name="60% - Énfasis1 2" xfId="103"/>
    <cellStyle name="60% - Énfasis1 3" xfId="104"/>
    <cellStyle name="60% - Énfasis1 4" xfId="105"/>
    <cellStyle name="60% - Énfasis1 5" xfId="106"/>
    <cellStyle name="60% - Énfasis1 6" xfId="107"/>
    <cellStyle name="60% - Énfasis1 7" xfId="108"/>
    <cellStyle name="60% - Énfasis2 2" xfId="109"/>
    <cellStyle name="60% - Énfasis2 3" xfId="110"/>
    <cellStyle name="60% - Énfasis2 4" xfId="111"/>
    <cellStyle name="60% - Énfasis2 5" xfId="112"/>
    <cellStyle name="60% - Énfasis2 6" xfId="113"/>
    <cellStyle name="60% - Énfasis2 7" xfId="114"/>
    <cellStyle name="60% - Énfasis3 2" xfId="115"/>
    <cellStyle name="60% - Énfasis3 3" xfId="116"/>
    <cellStyle name="60% - Énfasis3 4" xfId="117"/>
    <cellStyle name="60% - Énfasis3 5" xfId="118"/>
    <cellStyle name="60% - Énfasis3 6" xfId="119"/>
    <cellStyle name="60% - Énfasis3 7" xfId="120"/>
    <cellStyle name="60% - Énfasis4 2" xfId="121"/>
    <cellStyle name="60% - Énfasis4 3" xfId="122"/>
    <cellStyle name="60% - Énfasis4 4" xfId="123"/>
    <cellStyle name="60% - Énfasis4 5" xfId="124"/>
    <cellStyle name="60% - Énfasis4 6" xfId="125"/>
    <cellStyle name="60% - Énfasis4 7" xfId="126"/>
    <cellStyle name="60% - Énfasis5 2" xfId="127"/>
    <cellStyle name="60% - Énfasis5 3" xfId="128"/>
    <cellStyle name="60% - Énfasis5 4" xfId="129"/>
    <cellStyle name="60% - Énfasis5 5" xfId="130"/>
    <cellStyle name="60% - Énfasis5 6" xfId="131"/>
    <cellStyle name="60% - Énfasis5 7" xfId="132"/>
    <cellStyle name="60% - Énfasis6 2" xfId="133"/>
    <cellStyle name="60% - Énfasis6 3" xfId="134"/>
    <cellStyle name="60% - Énfasis6 4" xfId="135"/>
    <cellStyle name="60% - Énfasis6 5" xfId="136"/>
    <cellStyle name="60% - Énfasis6 6" xfId="137"/>
    <cellStyle name="60% - Énfasis6 7" xfId="138"/>
    <cellStyle name="Buena 2" xfId="139"/>
    <cellStyle name="Buena 3" xfId="140"/>
    <cellStyle name="Buena 4" xfId="141"/>
    <cellStyle name="Buena 5" xfId="142"/>
    <cellStyle name="Buena 6" xfId="143"/>
    <cellStyle name="Buena 7" xfId="144"/>
    <cellStyle name="Cálculo 2" xfId="145"/>
    <cellStyle name="Cálculo 3" xfId="146"/>
    <cellStyle name="Cálculo 4" xfId="147"/>
    <cellStyle name="Cálculo 5" xfId="148"/>
    <cellStyle name="Cálculo 6" xfId="149"/>
    <cellStyle name="Cálculo 7" xfId="150"/>
    <cellStyle name="Celda de comprobación 2" xfId="151"/>
    <cellStyle name="Celda de comprobación 3" xfId="152"/>
    <cellStyle name="Celda de comprobación 4" xfId="153"/>
    <cellStyle name="Celda de comprobación 5" xfId="154"/>
    <cellStyle name="Celda de comprobación 6" xfId="155"/>
    <cellStyle name="Celda de comprobación 7" xfId="156"/>
    <cellStyle name="Celda vinculada 2" xfId="157"/>
    <cellStyle name="Celda vinculada 3" xfId="158"/>
    <cellStyle name="Celda vinculada 4" xfId="159"/>
    <cellStyle name="Celda vinculada 5" xfId="160"/>
    <cellStyle name="Celda vinculada 6" xfId="161"/>
    <cellStyle name="Celda vinculada 7" xfId="162"/>
    <cellStyle name="Encabezado 4 2" xfId="163"/>
    <cellStyle name="Encabezado 4 3" xfId="164"/>
    <cellStyle name="Encabezado 4 4" xfId="165"/>
    <cellStyle name="Encabezado 4 5" xfId="166"/>
    <cellStyle name="Encabezado 4 6" xfId="167"/>
    <cellStyle name="Encabezado 4 7" xfId="168"/>
    <cellStyle name="Énfasis1 2" xfId="169"/>
    <cellStyle name="Énfasis1 3" xfId="170"/>
    <cellStyle name="Énfasis1 4" xfId="171"/>
    <cellStyle name="Énfasis1 5" xfId="172"/>
    <cellStyle name="Énfasis1 6" xfId="173"/>
    <cellStyle name="Énfasis1 7" xfId="174"/>
    <cellStyle name="Énfasis2 2" xfId="175"/>
    <cellStyle name="Énfasis2 3" xfId="176"/>
    <cellStyle name="Énfasis2 4" xfId="177"/>
    <cellStyle name="Énfasis2 5" xfId="178"/>
    <cellStyle name="Énfasis2 6" xfId="179"/>
    <cellStyle name="Énfasis2 7" xfId="180"/>
    <cellStyle name="Énfasis3 2" xfId="181"/>
    <cellStyle name="Énfasis3 3" xfId="182"/>
    <cellStyle name="Énfasis3 4" xfId="183"/>
    <cellStyle name="Énfasis3 5" xfId="184"/>
    <cellStyle name="Énfasis3 6" xfId="185"/>
    <cellStyle name="Énfasis3 7" xfId="186"/>
    <cellStyle name="Énfasis4 2" xfId="187"/>
    <cellStyle name="Énfasis4 3" xfId="188"/>
    <cellStyle name="Énfasis4 4" xfId="189"/>
    <cellStyle name="Énfasis4 5" xfId="190"/>
    <cellStyle name="Énfasis4 6" xfId="191"/>
    <cellStyle name="Énfasis4 7" xfId="192"/>
    <cellStyle name="Énfasis5 2" xfId="193"/>
    <cellStyle name="Énfasis5 3" xfId="194"/>
    <cellStyle name="Énfasis5 4" xfId="195"/>
    <cellStyle name="Énfasis5 5" xfId="196"/>
    <cellStyle name="Énfasis5 6" xfId="197"/>
    <cellStyle name="Énfasis5 7" xfId="198"/>
    <cellStyle name="Énfasis6 2" xfId="199"/>
    <cellStyle name="Énfasis6 3" xfId="200"/>
    <cellStyle name="Énfasis6 4" xfId="201"/>
    <cellStyle name="Énfasis6 5" xfId="202"/>
    <cellStyle name="Énfasis6 6" xfId="203"/>
    <cellStyle name="Énfasis6 7" xfId="204"/>
    <cellStyle name="Entrada 2" xfId="205"/>
    <cellStyle name="Entrada 3" xfId="206"/>
    <cellStyle name="Entrada 4" xfId="207"/>
    <cellStyle name="Entrada 5" xfId="208"/>
    <cellStyle name="Entrada 6" xfId="209"/>
    <cellStyle name="Entrada 7" xfId="210"/>
    <cellStyle name="Euro" xfId="211"/>
    <cellStyle name="Euro 2" xfId="212"/>
    <cellStyle name="Incorrecto 2" xfId="213"/>
    <cellStyle name="Incorrecto 3" xfId="214"/>
    <cellStyle name="Incorrecto 4" xfId="215"/>
    <cellStyle name="Incorrecto 5" xfId="216"/>
    <cellStyle name="Incorrecto 6" xfId="217"/>
    <cellStyle name="Incorrecto 7" xfId="218"/>
    <cellStyle name="Millares 2" xfId="4"/>
    <cellStyle name="Millares 2 10" xfId="7"/>
    <cellStyle name="Millares 2 11" xfId="8"/>
    <cellStyle name="Millares 2 12" xfId="9"/>
    <cellStyle name="Millares 2 13" xfId="10"/>
    <cellStyle name="Millares 2 14" xfId="11"/>
    <cellStyle name="Millares 2 15" xfId="219"/>
    <cellStyle name="Millares 2 2" xfId="12"/>
    <cellStyle name="Millares 2 3" xfId="13"/>
    <cellStyle name="Millares 2 4" xfId="14"/>
    <cellStyle name="Millares 2 5" xfId="15"/>
    <cellStyle name="Millares 2 6" xfId="16"/>
    <cellStyle name="Millares 2 7" xfId="17"/>
    <cellStyle name="Millares 2 8" xfId="18"/>
    <cellStyle name="Millares 2 9" xfId="19"/>
    <cellStyle name="Millares 3" xfId="20"/>
    <cellStyle name="Millares 3 2" xfId="220"/>
    <cellStyle name="Millares 4" xfId="21"/>
    <cellStyle name="Millares 4 2" xfId="221"/>
    <cellStyle name="Millares 5" xfId="22"/>
    <cellStyle name="Millares 5 2" xfId="222"/>
    <cellStyle name="Millares 6" xfId="23"/>
    <cellStyle name="Millares 6 2" xfId="223"/>
    <cellStyle name="Millares 7" xfId="24"/>
    <cellStyle name="Millares 7 2" xfId="224"/>
    <cellStyle name="Millares 8" xfId="225"/>
    <cellStyle name="Neutral 2" xfId="226"/>
    <cellStyle name="Neutral 3" xfId="227"/>
    <cellStyle name="Neutral 4" xfId="228"/>
    <cellStyle name="Neutral 5" xfId="229"/>
    <cellStyle name="Neutral 6" xfId="230"/>
    <cellStyle name="Neutral 7" xfId="231"/>
    <cellStyle name="Normal" xfId="0" builtinId="0"/>
    <cellStyle name="Normal 2" xfId="5"/>
    <cellStyle name="Normal 2 2" xfId="3"/>
    <cellStyle name="Normal 3" xfId="1"/>
    <cellStyle name="Normal 3 2" xfId="6"/>
    <cellStyle name="Normal 4" xfId="26"/>
    <cellStyle name="Normal 4 2" xfId="27"/>
    <cellStyle name="Normal 4 3" xfId="28"/>
    <cellStyle name="Normal 4 4" xfId="29"/>
    <cellStyle name="Normal 4 5" xfId="30"/>
    <cellStyle name="Normal 5" xfId="232"/>
    <cellStyle name="Normal 6" xfId="233"/>
    <cellStyle name="Normal 7" xfId="234"/>
    <cellStyle name="Normal 8" xfId="25"/>
    <cellStyle name="Normal 9" xfId="235"/>
    <cellStyle name="Normal_MARZO libro 1 2" xfId="2"/>
    <cellStyle name="Notas 2" xfId="236"/>
    <cellStyle name="Notas 3" xfId="237"/>
    <cellStyle name="Notas 4" xfId="238"/>
    <cellStyle name="Notas 5" xfId="239"/>
    <cellStyle name="Notas 6" xfId="240"/>
    <cellStyle name="Notas 7" xfId="241"/>
    <cellStyle name="Salida 2" xfId="242"/>
    <cellStyle name="Salida 3" xfId="243"/>
    <cellStyle name="Salida 4" xfId="244"/>
    <cellStyle name="Salida 5" xfId="245"/>
    <cellStyle name="Salida 6" xfId="246"/>
    <cellStyle name="Salida 7" xfId="247"/>
    <cellStyle name="Texto de advertencia 2" xfId="248"/>
    <cellStyle name="Texto de advertencia 3" xfId="249"/>
    <cellStyle name="Texto de advertencia 4" xfId="250"/>
    <cellStyle name="Texto de advertencia 5" xfId="251"/>
    <cellStyle name="Texto de advertencia 6" xfId="252"/>
    <cellStyle name="Texto de advertencia 7" xfId="253"/>
    <cellStyle name="Texto explicativo 2" xfId="254"/>
    <cellStyle name="Texto explicativo 3" xfId="255"/>
    <cellStyle name="Texto explicativo 4" xfId="256"/>
    <cellStyle name="Texto explicativo 5" xfId="257"/>
    <cellStyle name="Texto explicativo 6" xfId="258"/>
    <cellStyle name="Texto explicativo 7" xfId="259"/>
    <cellStyle name="Título 1 2" xfId="260"/>
    <cellStyle name="Título 1 3" xfId="261"/>
    <cellStyle name="Título 1 4" xfId="262"/>
    <cellStyle name="Título 1 5" xfId="263"/>
    <cellStyle name="Título 1 6" xfId="264"/>
    <cellStyle name="Título 1 7" xfId="265"/>
    <cellStyle name="Título 2 2" xfId="266"/>
    <cellStyle name="Título 2 3" xfId="267"/>
    <cellStyle name="Título 2 4" xfId="268"/>
    <cellStyle name="Título 2 5" xfId="269"/>
    <cellStyle name="Título 2 6" xfId="270"/>
    <cellStyle name="Título 2 7" xfId="271"/>
    <cellStyle name="Título 3 2" xfId="272"/>
    <cellStyle name="Título 3 3" xfId="273"/>
    <cellStyle name="Título 3 4" xfId="274"/>
    <cellStyle name="Título 3 5" xfId="275"/>
    <cellStyle name="Título 3 6" xfId="276"/>
    <cellStyle name="Título 3 7" xfId="277"/>
    <cellStyle name="Título 4" xfId="278"/>
    <cellStyle name="Título 5" xfId="279"/>
    <cellStyle name="Título 6" xfId="280"/>
    <cellStyle name="Título 7" xfId="281"/>
    <cellStyle name="Título 8" xfId="282"/>
    <cellStyle name="Título 9" xfId="283"/>
    <cellStyle name="Total 2" xfId="284"/>
    <cellStyle name="Total 3" xfId="285"/>
    <cellStyle name="Total 4" xfId="286"/>
    <cellStyle name="Total 5" xfId="287"/>
    <cellStyle name="Total 6" xfId="288"/>
    <cellStyle name="Total 7" xfId="289"/>
  </cellStyles>
  <dxfs count="0"/>
  <tableStyles count="0" defaultTableStyle="TableStyleMedium9" defaultPivotStyle="PivotStyleLight16"/>
  <colors>
    <mruColors>
      <color rgb="FFFF3399"/>
      <color rgb="FF65E2FF"/>
      <color rgb="FF00BDEA"/>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externalLink" Target="externalLinks/externalLink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image" Target="../media/image1.jpeg"/><Relationship Id="rId6" Type="http://schemas.microsoft.com/office/2007/relationships/hdphoto" Target="../media/hdphoto1.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2.png"/><Relationship Id="rId5" Type="http://schemas.openxmlformats.org/officeDocument/2006/relationships/image" Target="../media/image7.png"/><Relationship Id="rId10" Type="http://schemas.microsoft.com/office/2007/relationships/hdphoto" Target="../media/hdphoto2.wdp"/><Relationship Id="rId4" Type="http://schemas.openxmlformats.org/officeDocument/2006/relationships/image" Target="../media/image5.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jpeg"/><Relationship Id="rId4" Type="http://schemas.microsoft.com/office/2007/relationships/hdphoto" Target="../media/hdphoto3.wdp"/></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jpeg"/><Relationship Id="rId4" Type="http://schemas.microsoft.com/office/2007/relationships/hdphoto" Target="../media/hdphoto1.wdp"/></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jpeg"/><Relationship Id="rId1" Type="http://schemas.openxmlformats.org/officeDocument/2006/relationships/image" Target="../media/image13.png"/><Relationship Id="rId4" Type="http://schemas.microsoft.com/office/2007/relationships/hdphoto" Target="../media/hdphoto4.wdp"/></Relationships>
</file>

<file path=xl/drawings/_rels/drawing1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jpe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1546679</xdr:colOff>
      <xdr:row>0</xdr:row>
      <xdr:rowOff>47625</xdr:rowOff>
    </xdr:from>
    <xdr:to>
      <xdr:col>1</xdr:col>
      <xdr:colOff>3921125</xdr:colOff>
      <xdr:row>2</xdr:row>
      <xdr:rowOff>358604</xdr:rowOff>
    </xdr:to>
    <xdr:pic>
      <xdr:nvPicPr>
        <xdr:cNvPr id="2"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6680654" y="47625"/>
          <a:ext cx="2374446" cy="806279"/>
        </a:xfrm>
        <a:prstGeom prst="rect">
          <a:avLst/>
        </a:prstGeom>
        <a:noFill/>
        <a:ln w="9525">
          <a:noFill/>
          <a:miter lim="800000"/>
          <a:headEnd/>
          <a:tailEnd/>
        </a:ln>
      </xdr:spPr>
    </xdr:pic>
    <xdr:clientData/>
  </xdr:twoCellAnchor>
  <xdr:twoCellAnchor editAs="oneCell">
    <xdr:from>
      <xdr:col>0</xdr:col>
      <xdr:colOff>47626</xdr:colOff>
      <xdr:row>0</xdr:row>
      <xdr:rowOff>0</xdr:rowOff>
    </xdr:from>
    <xdr:to>
      <xdr:col>0</xdr:col>
      <xdr:colOff>2460626</xdr:colOff>
      <xdr:row>3</xdr:row>
      <xdr:rowOff>56696</xdr:rowOff>
    </xdr:to>
    <xdr:pic>
      <xdr:nvPicPr>
        <xdr:cNvPr id="3" name="2 Imagen"/>
        <xdr:cNvPicPr/>
      </xdr:nvPicPr>
      <xdr:blipFill>
        <a:blip xmlns:r="http://schemas.openxmlformats.org/officeDocument/2006/relationships" r:embed="rId2" cstate="print"/>
        <a:srcRect t="-2027" r="11672"/>
        <a:stretch>
          <a:fillRect/>
        </a:stretch>
      </xdr:blipFill>
      <xdr:spPr bwMode="auto">
        <a:xfrm>
          <a:off x="47626" y="0"/>
          <a:ext cx="2413000" cy="923471"/>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3333750</xdr:colOff>
      <xdr:row>314</xdr:row>
      <xdr:rowOff>23815</xdr:rowOff>
    </xdr:from>
    <xdr:to>
      <xdr:col>2</xdr:col>
      <xdr:colOff>4660108</xdr:colOff>
      <xdr:row>314</xdr:row>
      <xdr:rowOff>214313</xdr:rowOff>
    </xdr:to>
    <xdr:pic>
      <xdr:nvPicPr>
        <xdr:cNvPr id="2" name="7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4895850" y="73918765"/>
          <a:ext cx="1326358" cy="190498"/>
        </a:xfrm>
        <a:prstGeom prst="rect">
          <a:avLst/>
        </a:prstGeom>
        <a:noFill/>
        <a:ln w="9525">
          <a:noFill/>
          <a:miter lim="800000"/>
          <a:headEnd/>
          <a:tailEnd/>
        </a:ln>
      </xdr:spPr>
    </xdr:pic>
    <xdr:clientData/>
  </xdr:twoCellAnchor>
  <xdr:twoCellAnchor editAs="oneCell">
    <xdr:from>
      <xdr:col>0</xdr:col>
      <xdr:colOff>0</xdr:colOff>
      <xdr:row>314</xdr:row>
      <xdr:rowOff>0</xdr:rowOff>
    </xdr:from>
    <xdr:to>
      <xdr:col>1</xdr:col>
      <xdr:colOff>571500</xdr:colOff>
      <xdr:row>314</xdr:row>
      <xdr:rowOff>190499</xdr:rowOff>
    </xdr:to>
    <xdr:pic>
      <xdr:nvPicPr>
        <xdr:cNvPr id="3" name="15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3846" r="12664"/>
        <a:stretch>
          <a:fillRect/>
        </a:stretch>
      </xdr:blipFill>
      <xdr:spPr>
        <a:xfrm>
          <a:off x="0" y="73894950"/>
          <a:ext cx="1438275" cy="190499"/>
        </a:xfrm>
        <a:prstGeom prst="rect">
          <a:avLst/>
        </a:prstGeom>
      </xdr:spPr>
    </xdr:pic>
    <xdr:clientData/>
  </xdr:twoCellAnchor>
  <xdr:twoCellAnchor editAs="oneCell">
    <xdr:from>
      <xdr:col>2</xdr:col>
      <xdr:colOff>3228975</xdr:colOff>
      <xdr:row>0</xdr:row>
      <xdr:rowOff>16669</xdr:rowOff>
    </xdr:from>
    <xdr:to>
      <xdr:col>2</xdr:col>
      <xdr:colOff>4622006</xdr:colOff>
      <xdr:row>0</xdr:row>
      <xdr:rowOff>273844</xdr:rowOff>
    </xdr:to>
    <xdr:pic>
      <xdr:nvPicPr>
        <xdr:cNvPr id="4" name="9 Imagen" descr="Y:\Contabilidad 2013\Cuentas\Logos definitivo sapnaet.jpg"/>
        <xdr:cNvPicPr/>
      </xdr:nvPicPr>
      <xdr:blipFill>
        <a:blip xmlns:r="http://schemas.openxmlformats.org/officeDocument/2006/relationships" r:embed="rId3" cstate="print"/>
        <a:srcRect/>
        <a:stretch>
          <a:fillRect/>
        </a:stretch>
      </xdr:blipFill>
      <xdr:spPr bwMode="auto">
        <a:xfrm>
          <a:off x="4788694" y="16669"/>
          <a:ext cx="1393031" cy="25717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0</xdr:col>
      <xdr:colOff>0</xdr:colOff>
      <xdr:row>134</xdr:row>
      <xdr:rowOff>9525</xdr:rowOff>
    </xdr:from>
    <xdr:to>
      <xdr:col>1</xdr:col>
      <xdr:colOff>519113</xdr:colOff>
      <xdr:row>134</xdr:row>
      <xdr:rowOff>210608</xdr:rowOff>
    </xdr:to>
    <xdr:pic>
      <xdr:nvPicPr>
        <xdr:cNvPr id="5" name="4 Imagen"/>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372" t="-629" r="15250" b="1292"/>
        <a:stretch/>
      </xdr:blipFill>
      <xdr:spPr bwMode="auto">
        <a:xfrm>
          <a:off x="0" y="32823150"/>
          <a:ext cx="1385888" cy="201083"/>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a:extLst>
          <a:ext uri="{53640926-AAD7-44D8-BBD7-CCE9431645EC}">
            <a14:shadowObscured xmlns:a14="http://schemas.microsoft.com/office/drawing/2010/main"/>
          </a:ext>
        </a:extLst>
      </xdr:spPr>
    </xdr:pic>
    <xdr:clientData/>
  </xdr:twoCellAnchor>
  <xdr:twoCellAnchor editAs="oneCell">
    <xdr:from>
      <xdr:col>2</xdr:col>
      <xdr:colOff>3171825</xdr:colOff>
      <xdr:row>134</xdr:row>
      <xdr:rowOff>28575</xdr:rowOff>
    </xdr:from>
    <xdr:to>
      <xdr:col>2</xdr:col>
      <xdr:colOff>4564856</xdr:colOff>
      <xdr:row>134</xdr:row>
      <xdr:rowOff>205846</xdr:rowOff>
    </xdr:to>
    <xdr:pic>
      <xdr:nvPicPr>
        <xdr:cNvPr id="6" name="9 Imagen" descr="Y:\Contabilidad 2013\Cuentas\Logos definitivo sapnaet.jpg"/>
        <xdr:cNvPicPr/>
      </xdr:nvPicPr>
      <xdr:blipFill>
        <a:blip xmlns:r="http://schemas.openxmlformats.org/officeDocument/2006/relationships" r:embed="rId3" cstate="print"/>
        <a:srcRect/>
        <a:stretch>
          <a:fillRect/>
        </a:stretch>
      </xdr:blipFill>
      <xdr:spPr bwMode="auto">
        <a:xfrm>
          <a:off x="4733925" y="32842200"/>
          <a:ext cx="1393031" cy="177271"/>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0</xdr:col>
      <xdr:colOff>0</xdr:colOff>
      <xdr:row>220</xdr:row>
      <xdr:rowOff>9525</xdr:rowOff>
    </xdr:from>
    <xdr:to>
      <xdr:col>1</xdr:col>
      <xdr:colOff>519113</xdr:colOff>
      <xdr:row>220</xdr:row>
      <xdr:rowOff>210608</xdr:rowOff>
    </xdr:to>
    <xdr:pic>
      <xdr:nvPicPr>
        <xdr:cNvPr id="7" name="5 Imagen"/>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372" t="-629" r="15250" b="1292"/>
        <a:stretch/>
      </xdr:blipFill>
      <xdr:spPr bwMode="auto">
        <a:xfrm>
          <a:off x="0" y="52187475"/>
          <a:ext cx="1385888" cy="201083"/>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a:extLst>
          <a:ext uri="{53640926-AAD7-44D8-BBD7-CCE9431645EC}">
            <a14:shadowObscured xmlns:a14="http://schemas.microsoft.com/office/drawing/2010/main"/>
          </a:ext>
        </a:extLst>
      </xdr:spPr>
    </xdr:pic>
    <xdr:clientData/>
  </xdr:twoCellAnchor>
  <xdr:twoCellAnchor editAs="oneCell">
    <xdr:from>
      <xdr:col>2</xdr:col>
      <xdr:colOff>3207543</xdr:colOff>
      <xdr:row>220</xdr:row>
      <xdr:rowOff>38100</xdr:rowOff>
    </xdr:from>
    <xdr:to>
      <xdr:col>2</xdr:col>
      <xdr:colOff>4600574</xdr:colOff>
      <xdr:row>220</xdr:row>
      <xdr:rowOff>215371</xdr:rowOff>
    </xdr:to>
    <xdr:pic>
      <xdr:nvPicPr>
        <xdr:cNvPr id="8" name="9 Imagen" descr="Y:\Contabilidad 2013\Cuentas\Logos definitivo sapnaet.jpg"/>
        <xdr:cNvPicPr/>
      </xdr:nvPicPr>
      <xdr:blipFill>
        <a:blip xmlns:r="http://schemas.openxmlformats.org/officeDocument/2006/relationships" r:embed="rId3" cstate="print"/>
        <a:srcRect/>
        <a:stretch>
          <a:fillRect/>
        </a:stretch>
      </xdr:blipFill>
      <xdr:spPr bwMode="auto">
        <a:xfrm>
          <a:off x="4769643" y="52216050"/>
          <a:ext cx="1393031" cy="177271"/>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0</xdr:col>
      <xdr:colOff>0</xdr:colOff>
      <xdr:row>0</xdr:row>
      <xdr:rowOff>35718</xdr:rowOff>
    </xdr:from>
    <xdr:to>
      <xdr:col>1</xdr:col>
      <xdr:colOff>595314</xdr:colOff>
      <xdr:row>0</xdr:row>
      <xdr:rowOff>309560</xdr:rowOff>
    </xdr:to>
    <xdr:pic>
      <xdr:nvPicPr>
        <xdr:cNvPr id="9" name="8 Imagen"/>
        <xdr:cNvPicPr/>
      </xdr:nvPicPr>
      <xdr:blipFill>
        <a:blip xmlns:r="http://schemas.openxmlformats.org/officeDocument/2006/relationships" r:embed="rId4" cstate="print"/>
        <a:srcRect t="1212" r="6383"/>
        <a:stretch>
          <a:fillRect/>
        </a:stretch>
      </xdr:blipFill>
      <xdr:spPr bwMode="auto">
        <a:xfrm>
          <a:off x="0" y="35718"/>
          <a:ext cx="1464470" cy="273842"/>
        </a:xfrm>
        <a:prstGeom prst="rect">
          <a:avLst/>
        </a:prstGeom>
        <a:noFill/>
        <a:ln w="9525">
          <a:noFill/>
          <a:miter lim="800000"/>
          <a:headEnd/>
          <a:tailEnd/>
        </a:ln>
      </xdr:spPr>
    </xdr:pic>
    <xdr:clientData/>
  </xdr:twoCellAnchor>
  <xdr:twoCellAnchor editAs="oneCell">
    <xdr:from>
      <xdr:col>19</xdr:col>
      <xdr:colOff>0</xdr:colOff>
      <xdr:row>59</xdr:row>
      <xdr:rowOff>0</xdr:rowOff>
    </xdr:from>
    <xdr:to>
      <xdr:col>20</xdr:col>
      <xdr:colOff>218281</xdr:colOff>
      <xdr:row>61</xdr:row>
      <xdr:rowOff>107949</xdr:rowOff>
    </xdr:to>
    <xdr:pic>
      <xdr:nvPicPr>
        <xdr:cNvPr id="11" name="10 Imagen"/>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25000"/>
                  </a14:imgEffect>
                  <a14:imgEffect>
                    <a14:saturation sat="400000"/>
                  </a14:imgEffect>
                </a14:imgLayer>
              </a14:imgProps>
            </a:ext>
            <a:ext uri="{28A0092B-C50C-407E-A947-70E740481C1C}">
              <a14:useLocalDpi xmlns:a14="http://schemas.microsoft.com/office/drawing/2010/main" val="0"/>
            </a:ext>
          </a:extLst>
        </a:blip>
        <a:srcRect/>
        <a:stretch>
          <a:fillRect/>
        </a:stretch>
      </xdr:blipFill>
      <xdr:spPr bwMode="auto">
        <a:xfrm>
          <a:off x="23764875" y="14085094"/>
          <a:ext cx="980281" cy="536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3893343</xdr:colOff>
      <xdr:row>67</xdr:row>
      <xdr:rowOff>35721</xdr:rowOff>
    </xdr:from>
    <xdr:to>
      <xdr:col>2</xdr:col>
      <xdr:colOff>5322086</xdr:colOff>
      <xdr:row>67</xdr:row>
      <xdr:rowOff>238125</xdr:rowOff>
    </xdr:to>
    <xdr:pic>
      <xdr:nvPicPr>
        <xdr:cNvPr id="13"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5345906" y="18442784"/>
          <a:ext cx="1428743" cy="20240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0</xdr:col>
      <xdr:colOff>0</xdr:colOff>
      <xdr:row>277</xdr:row>
      <xdr:rowOff>1</xdr:rowOff>
    </xdr:from>
    <xdr:to>
      <xdr:col>1</xdr:col>
      <xdr:colOff>95250</xdr:colOff>
      <xdr:row>280</xdr:row>
      <xdr:rowOff>42335</xdr:rowOff>
    </xdr:to>
    <xdr:pic>
      <xdr:nvPicPr>
        <xdr:cNvPr id="9" name="Picture 7009"/>
        <xdr:cNvPicPr>
          <a:picLocks noChangeArrowheads="1"/>
        </xdr:cNvPicPr>
      </xdr:nvPicPr>
      <xdr:blipFill>
        <a:blip xmlns:r="http://schemas.openxmlformats.org/officeDocument/2006/relationships" r:embed="rId2" cstate="print"/>
        <a:srcRect/>
        <a:stretch>
          <a:fillRect/>
        </a:stretch>
      </xdr:blipFill>
      <xdr:spPr bwMode="auto">
        <a:xfrm>
          <a:off x="0" y="42947168"/>
          <a:ext cx="814917" cy="190500"/>
        </a:xfrm>
        <a:prstGeom prst="rect">
          <a:avLst/>
        </a:prstGeom>
        <a:noFill/>
        <a:ln w="9525">
          <a:noFill/>
          <a:miter lim="800000"/>
          <a:headEnd/>
          <a:tailEnd/>
        </a:ln>
      </xdr:spPr>
    </xdr:pic>
    <xdr:clientData/>
  </xdr:twoCellAnchor>
  <xdr:twoCellAnchor>
    <xdr:from>
      <xdr:col>0</xdr:col>
      <xdr:colOff>10585</xdr:colOff>
      <xdr:row>277</xdr:row>
      <xdr:rowOff>0</xdr:rowOff>
    </xdr:from>
    <xdr:to>
      <xdr:col>1</xdr:col>
      <xdr:colOff>631033</xdr:colOff>
      <xdr:row>343</xdr:row>
      <xdr:rowOff>285750</xdr:rowOff>
    </xdr:to>
    <xdr:pic>
      <xdr:nvPicPr>
        <xdr:cNvPr id="15" name="Picture 7009"/>
        <xdr:cNvPicPr>
          <a:picLocks noChangeArrowheads="1"/>
        </xdr:cNvPicPr>
      </xdr:nvPicPr>
      <xdr:blipFill>
        <a:blip xmlns:r="http://schemas.openxmlformats.org/officeDocument/2006/relationships" r:embed="rId2" cstate="print"/>
        <a:srcRect/>
        <a:stretch>
          <a:fillRect/>
        </a:stretch>
      </xdr:blipFill>
      <xdr:spPr bwMode="auto">
        <a:xfrm>
          <a:off x="10585" y="44719875"/>
          <a:ext cx="1334823" cy="285750"/>
        </a:xfrm>
        <a:prstGeom prst="rect">
          <a:avLst/>
        </a:prstGeom>
        <a:noFill/>
        <a:ln w="9525">
          <a:noFill/>
          <a:miter lim="800000"/>
          <a:headEnd/>
          <a:tailEnd/>
        </a:ln>
      </xdr:spPr>
    </xdr:pic>
    <xdr:clientData/>
  </xdr:twoCellAnchor>
  <xdr:twoCellAnchor>
    <xdr:from>
      <xdr:col>0</xdr:col>
      <xdr:colOff>0</xdr:colOff>
      <xdr:row>386</xdr:row>
      <xdr:rowOff>0</xdr:rowOff>
    </xdr:from>
    <xdr:to>
      <xdr:col>1</xdr:col>
      <xdr:colOff>275167</xdr:colOff>
      <xdr:row>386</xdr:row>
      <xdr:rowOff>250031</xdr:rowOff>
    </xdr:to>
    <xdr:pic>
      <xdr:nvPicPr>
        <xdr:cNvPr id="18" name="Picture 7009"/>
        <xdr:cNvPicPr>
          <a:picLocks noChangeArrowheads="1"/>
        </xdr:cNvPicPr>
      </xdr:nvPicPr>
      <xdr:blipFill>
        <a:blip xmlns:r="http://schemas.openxmlformats.org/officeDocument/2006/relationships" r:embed="rId2" cstate="print"/>
        <a:srcRect/>
        <a:stretch>
          <a:fillRect/>
        </a:stretch>
      </xdr:blipFill>
      <xdr:spPr bwMode="auto">
        <a:xfrm>
          <a:off x="0" y="60233719"/>
          <a:ext cx="989542" cy="250031"/>
        </a:xfrm>
        <a:prstGeom prst="rect">
          <a:avLst/>
        </a:prstGeom>
        <a:noFill/>
        <a:ln w="9525">
          <a:noFill/>
          <a:miter lim="800000"/>
          <a:headEnd/>
          <a:tailEnd/>
        </a:ln>
      </xdr:spPr>
    </xdr:pic>
    <xdr:clientData/>
  </xdr:twoCellAnchor>
  <xdr:twoCellAnchor editAs="oneCell">
    <xdr:from>
      <xdr:col>2</xdr:col>
      <xdr:colOff>3798095</xdr:colOff>
      <xdr:row>0</xdr:row>
      <xdr:rowOff>35718</xdr:rowOff>
    </xdr:from>
    <xdr:to>
      <xdr:col>2</xdr:col>
      <xdr:colOff>5322091</xdr:colOff>
      <xdr:row>0</xdr:row>
      <xdr:rowOff>240770</xdr:rowOff>
    </xdr:to>
    <xdr:pic>
      <xdr:nvPicPr>
        <xdr:cNvPr id="24" name="9 Imagen" descr="Y:\Contabilidad 2013\Cuentas\Logos definitivo sapnaet.jpg"/>
        <xdr:cNvPicPr/>
      </xdr:nvPicPr>
      <xdr:blipFill>
        <a:blip xmlns:r="http://schemas.openxmlformats.org/officeDocument/2006/relationships" r:embed="rId3" cstate="print"/>
        <a:srcRect/>
        <a:stretch>
          <a:fillRect/>
        </a:stretch>
      </xdr:blipFill>
      <xdr:spPr bwMode="auto">
        <a:xfrm>
          <a:off x="5250658" y="35718"/>
          <a:ext cx="1523996" cy="20505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0</xdr:col>
      <xdr:colOff>23813</xdr:colOff>
      <xdr:row>0</xdr:row>
      <xdr:rowOff>3</xdr:rowOff>
    </xdr:from>
    <xdr:to>
      <xdr:col>2</xdr:col>
      <xdr:colOff>35719</xdr:colOff>
      <xdr:row>0</xdr:row>
      <xdr:rowOff>250031</xdr:rowOff>
    </xdr:to>
    <xdr:pic>
      <xdr:nvPicPr>
        <xdr:cNvPr id="21" name="20 Imagen"/>
        <xdr:cNvPicPr/>
      </xdr:nvPicPr>
      <xdr:blipFill>
        <a:blip xmlns:r="http://schemas.openxmlformats.org/officeDocument/2006/relationships" r:embed="rId4" cstate="print"/>
        <a:srcRect t="1212" r="6383"/>
        <a:stretch>
          <a:fillRect/>
        </a:stretch>
      </xdr:blipFill>
      <xdr:spPr bwMode="auto">
        <a:xfrm>
          <a:off x="23813" y="3"/>
          <a:ext cx="1464469" cy="250028"/>
        </a:xfrm>
        <a:prstGeom prst="rect">
          <a:avLst/>
        </a:prstGeom>
        <a:noFill/>
        <a:ln w="9525">
          <a:noFill/>
          <a:miter lim="800000"/>
          <a:headEnd/>
          <a:tailEnd/>
        </a:ln>
      </xdr:spPr>
    </xdr:pic>
    <xdr:clientData/>
  </xdr:twoCellAnchor>
  <xdr:twoCellAnchor editAs="oneCell">
    <xdr:from>
      <xdr:col>0</xdr:col>
      <xdr:colOff>0</xdr:colOff>
      <xdr:row>67</xdr:row>
      <xdr:rowOff>35716</xdr:rowOff>
    </xdr:from>
    <xdr:to>
      <xdr:col>1</xdr:col>
      <xdr:colOff>583407</xdr:colOff>
      <xdr:row>67</xdr:row>
      <xdr:rowOff>238125</xdr:rowOff>
    </xdr:to>
    <xdr:pic>
      <xdr:nvPicPr>
        <xdr:cNvPr id="26" name="25 Imagen"/>
        <xdr:cNvPicPr/>
      </xdr:nvPicPr>
      <xdr:blipFill>
        <a:blip xmlns:r="http://schemas.openxmlformats.org/officeDocument/2006/relationships" r:embed="rId5" cstate="print"/>
        <a:srcRect t="1212" r="6383"/>
        <a:stretch>
          <a:fillRect/>
        </a:stretch>
      </xdr:blipFill>
      <xdr:spPr bwMode="auto">
        <a:xfrm>
          <a:off x="0" y="18442779"/>
          <a:ext cx="1357313" cy="202409"/>
        </a:xfrm>
        <a:prstGeom prst="rect">
          <a:avLst/>
        </a:prstGeom>
        <a:noFill/>
        <a:ln w="9525">
          <a:noFill/>
          <a:miter lim="800000"/>
          <a:headEnd/>
          <a:tailEnd/>
        </a:ln>
      </xdr:spPr>
    </xdr:pic>
    <xdr:clientData/>
  </xdr:twoCellAnchor>
  <xdr:twoCellAnchor editAs="oneCell">
    <xdr:from>
      <xdr:col>2</xdr:col>
      <xdr:colOff>3893344</xdr:colOff>
      <xdr:row>136</xdr:row>
      <xdr:rowOff>35720</xdr:rowOff>
    </xdr:from>
    <xdr:to>
      <xdr:col>2</xdr:col>
      <xdr:colOff>5322087</xdr:colOff>
      <xdr:row>137</xdr:row>
      <xdr:rowOff>11908</xdr:rowOff>
    </xdr:to>
    <xdr:pic>
      <xdr:nvPicPr>
        <xdr:cNvPr id="25"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5345907" y="36718876"/>
          <a:ext cx="1428743" cy="1905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0</xdr:col>
      <xdr:colOff>0</xdr:colOff>
      <xdr:row>136</xdr:row>
      <xdr:rowOff>47625</xdr:rowOff>
    </xdr:from>
    <xdr:to>
      <xdr:col>1</xdr:col>
      <xdr:colOff>583407</xdr:colOff>
      <xdr:row>137</xdr:row>
      <xdr:rowOff>23815</xdr:rowOff>
    </xdr:to>
    <xdr:pic>
      <xdr:nvPicPr>
        <xdr:cNvPr id="29" name="28 Imagen"/>
        <xdr:cNvPicPr/>
      </xdr:nvPicPr>
      <xdr:blipFill>
        <a:blip xmlns:r="http://schemas.openxmlformats.org/officeDocument/2006/relationships" r:embed="rId5" cstate="print"/>
        <a:srcRect t="1212" r="6383"/>
        <a:stretch>
          <a:fillRect/>
        </a:stretch>
      </xdr:blipFill>
      <xdr:spPr bwMode="auto">
        <a:xfrm>
          <a:off x="0" y="34516219"/>
          <a:ext cx="1357313" cy="190502"/>
        </a:xfrm>
        <a:prstGeom prst="rect">
          <a:avLst/>
        </a:prstGeom>
        <a:noFill/>
        <a:ln w="9525">
          <a:noFill/>
          <a:miter lim="800000"/>
          <a:headEnd/>
          <a:tailEnd/>
        </a:ln>
      </xdr:spPr>
    </xdr:pic>
    <xdr:clientData/>
  </xdr:twoCellAnchor>
  <xdr:twoCellAnchor editAs="oneCell">
    <xdr:from>
      <xdr:col>2</xdr:col>
      <xdr:colOff>3940969</xdr:colOff>
      <xdr:row>405</xdr:row>
      <xdr:rowOff>23815</xdr:rowOff>
    </xdr:from>
    <xdr:to>
      <xdr:col>2</xdr:col>
      <xdr:colOff>5310185</xdr:colOff>
      <xdr:row>405</xdr:row>
      <xdr:rowOff>226220</xdr:rowOff>
    </xdr:to>
    <xdr:pic>
      <xdr:nvPicPr>
        <xdr:cNvPr id="14" name="9 Imagen" descr="Y:\Contabilidad 2013\Cuentas\Logos definitivo sapnaet.jpg"/>
        <xdr:cNvPicPr/>
      </xdr:nvPicPr>
      <xdr:blipFill>
        <a:blip xmlns:r="http://schemas.openxmlformats.org/officeDocument/2006/relationships" r:embed="rId3" cstate="print"/>
        <a:srcRect/>
        <a:stretch>
          <a:fillRect/>
        </a:stretch>
      </xdr:blipFill>
      <xdr:spPr bwMode="auto">
        <a:xfrm>
          <a:off x="5393532" y="53173315"/>
          <a:ext cx="1369216" cy="20240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0</xdr:col>
      <xdr:colOff>0</xdr:colOff>
      <xdr:row>433</xdr:row>
      <xdr:rowOff>11907</xdr:rowOff>
    </xdr:from>
    <xdr:to>
      <xdr:col>4</xdr:col>
      <xdr:colOff>0</xdr:colOff>
      <xdr:row>468</xdr:row>
      <xdr:rowOff>238125</xdr:rowOff>
    </xdr:to>
    <xdr:cxnSp macro="">
      <xdr:nvCxnSpPr>
        <xdr:cNvPr id="16" name="9 Conector recto"/>
        <xdr:cNvCxnSpPr/>
      </xdr:nvCxnSpPr>
      <xdr:spPr>
        <a:xfrm>
          <a:off x="0" y="68365688"/>
          <a:ext cx="8358188" cy="472678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405</xdr:row>
      <xdr:rowOff>47624</xdr:rowOff>
    </xdr:from>
    <xdr:to>
      <xdr:col>2</xdr:col>
      <xdr:colOff>130969</xdr:colOff>
      <xdr:row>405</xdr:row>
      <xdr:rowOff>202407</xdr:rowOff>
    </xdr:to>
    <xdr:pic>
      <xdr:nvPicPr>
        <xdr:cNvPr id="17" name="16 Imagen"/>
        <xdr:cNvPicPr/>
      </xdr:nvPicPr>
      <xdr:blipFill>
        <a:blip xmlns:r="http://schemas.openxmlformats.org/officeDocument/2006/relationships" r:embed="rId6" cstate="print"/>
        <a:srcRect t="1212" r="6383"/>
        <a:stretch>
          <a:fillRect/>
        </a:stretch>
      </xdr:blipFill>
      <xdr:spPr bwMode="auto">
        <a:xfrm>
          <a:off x="0" y="55018780"/>
          <a:ext cx="1583532" cy="154783"/>
        </a:xfrm>
        <a:prstGeom prst="rect">
          <a:avLst/>
        </a:prstGeom>
        <a:noFill/>
        <a:ln w="9525">
          <a:noFill/>
          <a:miter lim="800000"/>
          <a:headEnd/>
          <a:tailEnd/>
        </a:ln>
      </xdr:spPr>
    </xdr:pic>
    <xdr:clientData/>
  </xdr:twoCellAnchor>
  <xdr:twoCellAnchor>
    <xdr:from>
      <xdr:col>9</xdr:col>
      <xdr:colOff>0</xdr:colOff>
      <xdr:row>128</xdr:row>
      <xdr:rowOff>35719</xdr:rowOff>
    </xdr:from>
    <xdr:to>
      <xdr:col>9</xdr:col>
      <xdr:colOff>45719</xdr:colOff>
      <xdr:row>131</xdr:row>
      <xdr:rowOff>59532</xdr:rowOff>
    </xdr:to>
    <xdr:sp macro="" textlink="">
      <xdr:nvSpPr>
        <xdr:cNvPr id="27" name="Cerrar llave 13"/>
        <xdr:cNvSpPr/>
      </xdr:nvSpPr>
      <xdr:spPr>
        <a:xfrm>
          <a:off x="15897225" y="27753469"/>
          <a:ext cx="45719" cy="652463"/>
        </a:xfrm>
        <a:prstGeom prst="rightBrace">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VE" sz="1100"/>
        </a:p>
      </xdr:txBody>
    </xdr:sp>
    <xdr:clientData/>
  </xdr:twoCellAnchor>
  <xdr:twoCellAnchor>
    <xdr:from>
      <xdr:col>9</xdr:col>
      <xdr:colOff>0</xdr:colOff>
      <xdr:row>119</xdr:row>
      <xdr:rowOff>0</xdr:rowOff>
    </xdr:from>
    <xdr:to>
      <xdr:col>9</xdr:col>
      <xdr:colOff>83345</xdr:colOff>
      <xdr:row>123</xdr:row>
      <xdr:rowOff>154781</xdr:rowOff>
    </xdr:to>
    <xdr:sp macro="" textlink="">
      <xdr:nvSpPr>
        <xdr:cNvPr id="28" name="Cerrar llave 15"/>
        <xdr:cNvSpPr/>
      </xdr:nvSpPr>
      <xdr:spPr>
        <a:xfrm>
          <a:off x="15897225" y="25793700"/>
          <a:ext cx="83345" cy="1031081"/>
        </a:xfrm>
        <a:prstGeom prst="rightBrace">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VE" sz="1100"/>
        </a:p>
      </xdr:txBody>
    </xdr:sp>
    <xdr:clientData/>
  </xdr:twoCellAnchor>
  <xdr:twoCellAnchor editAs="oneCell">
    <xdr:from>
      <xdr:col>27</xdr:col>
      <xdr:colOff>47625</xdr:colOff>
      <xdr:row>63</xdr:row>
      <xdr:rowOff>178595</xdr:rowOff>
    </xdr:from>
    <xdr:to>
      <xdr:col>28</xdr:col>
      <xdr:colOff>682625</xdr:colOff>
      <xdr:row>64</xdr:row>
      <xdr:rowOff>608013</xdr:rowOff>
    </xdr:to>
    <xdr:pic>
      <xdr:nvPicPr>
        <xdr:cNvPr id="23" name="22 Imagen"/>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50000"/>
                  </a14:imgEffect>
                  <a14:imgEffect>
                    <a14:saturation sat="400000"/>
                  </a14:imgEffect>
                </a14:imgLayer>
              </a14:imgProps>
            </a:ext>
            <a:ext uri="{28A0092B-C50C-407E-A947-70E740481C1C}">
              <a14:useLocalDpi xmlns:a14="http://schemas.microsoft.com/office/drawing/2010/main" val="0"/>
            </a:ext>
          </a:extLst>
        </a:blip>
        <a:srcRect/>
        <a:stretch>
          <a:fillRect/>
        </a:stretch>
      </xdr:blipFill>
      <xdr:spPr bwMode="auto">
        <a:xfrm>
          <a:off x="33373219" y="16859251"/>
          <a:ext cx="1397000" cy="67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380996</xdr:colOff>
      <xdr:row>64</xdr:row>
      <xdr:rowOff>35718</xdr:rowOff>
    </xdr:from>
    <xdr:to>
      <xdr:col>5</xdr:col>
      <xdr:colOff>119063</xdr:colOff>
      <xdr:row>64</xdr:row>
      <xdr:rowOff>690563</xdr:rowOff>
    </xdr:to>
    <xdr:pic>
      <xdr:nvPicPr>
        <xdr:cNvPr id="19" name="18 Imagen"/>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rightnessContrast bright="20000"/>
                  </a14:imgEffect>
                </a14:imgLayer>
              </a14:imgProps>
            </a:ext>
            <a:ext uri="{28A0092B-C50C-407E-A947-70E740481C1C}">
              <a14:useLocalDpi xmlns:a14="http://schemas.microsoft.com/office/drawing/2010/main" val="0"/>
            </a:ext>
          </a:extLst>
        </a:blip>
        <a:srcRect t="9375" r="15468" b="7032"/>
        <a:stretch/>
      </xdr:blipFill>
      <xdr:spPr bwMode="auto">
        <a:xfrm>
          <a:off x="8917777" y="16966406"/>
          <a:ext cx="1285880" cy="654845"/>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171450</xdr:colOff>
      <xdr:row>0</xdr:row>
      <xdr:rowOff>71552</xdr:rowOff>
    </xdr:from>
    <xdr:to>
      <xdr:col>13</xdr:col>
      <xdr:colOff>1809750</xdr:colOff>
      <xdr:row>3</xdr:row>
      <xdr:rowOff>14005</xdr:rowOff>
    </xdr:to>
    <xdr:pic>
      <xdr:nvPicPr>
        <xdr:cNvPr id="3"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20593050" y="71552"/>
          <a:ext cx="4038600" cy="1047353"/>
        </a:xfrm>
        <a:prstGeom prst="rect">
          <a:avLst/>
        </a:prstGeom>
        <a:noFill/>
        <a:ln w="9525">
          <a:noFill/>
          <a:miter lim="800000"/>
          <a:headEnd/>
          <a:tailEnd/>
        </a:ln>
      </xdr:spPr>
    </xdr:pic>
    <xdr:clientData/>
  </xdr:twoCellAnchor>
  <xdr:twoCellAnchor editAs="oneCell">
    <xdr:from>
      <xdr:col>12</xdr:col>
      <xdr:colOff>76200</xdr:colOff>
      <xdr:row>47</xdr:row>
      <xdr:rowOff>38100</xdr:rowOff>
    </xdr:from>
    <xdr:to>
      <xdr:col>13</xdr:col>
      <xdr:colOff>1733550</xdr:colOff>
      <xdr:row>49</xdr:row>
      <xdr:rowOff>275104</xdr:rowOff>
    </xdr:to>
    <xdr:pic>
      <xdr:nvPicPr>
        <xdr:cNvPr id="5"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20497800" y="19697700"/>
          <a:ext cx="4057650" cy="1037104"/>
        </a:xfrm>
        <a:prstGeom prst="rect">
          <a:avLst/>
        </a:prstGeom>
        <a:noFill/>
        <a:ln w="9525">
          <a:noFill/>
          <a:miter lim="800000"/>
          <a:headEnd/>
          <a:tailEnd/>
        </a:ln>
      </xdr:spPr>
    </xdr:pic>
    <xdr:clientData/>
  </xdr:twoCellAnchor>
  <xdr:twoCellAnchor editAs="oneCell">
    <xdr:from>
      <xdr:col>11</xdr:col>
      <xdr:colOff>2019300</xdr:colOff>
      <xdr:row>86</xdr:row>
      <xdr:rowOff>110378</xdr:rowOff>
    </xdr:from>
    <xdr:to>
      <xdr:col>13</xdr:col>
      <xdr:colOff>1428750</xdr:colOff>
      <xdr:row>89</xdr:row>
      <xdr:rowOff>81804</xdr:rowOff>
    </xdr:to>
    <xdr:pic>
      <xdr:nvPicPr>
        <xdr:cNvPr id="7"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20078700" y="34381328"/>
          <a:ext cx="4171950" cy="1000125"/>
        </a:xfrm>
        <a:prstGeom prst="rect">
          <a:avLst/>
        </a:prstGeom>
        <a:noFill/>
        <a:ln w="9525">
          <a:noFill/>
          <a:miter lim="800000"/>
          <a:headEnd/>
          <a:tailEnd/>
        </a:ln>
      </xdr:spPr>
    </xdr:pic>
    <xdr:clientData/>
  </xdr:twoCellAnchor>
  <xdr:twoCellAnchor editAs="oneCell">
    <xdr:from>
      <xdr:col>12</xdr:col>
      <xdr:colOff>152400</xdr:colOff>
      <xdr:row>126</xdr:row>
      <xdr:rowOff>105896</xdr:rowOff>
    </xdr:from>
    <xdr:to>
      <xdr:col>13</xdr:col>
      <xdr:colOff>1581150</xdr:colOff>
      <xdr:row>128</xdr:row>
      <xdr:rowOff>273983</xdr:rowOff>
    </xdr:to>
    <xdr:pic>
      <xdr:nvPicPr>
        <xdr:cNvPr id="9"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20574000" y="52607696"/>
          <a:ext cx="3829050" cy="1006287"/>
        </a:xfrm>
        <a:prstGeom prst="rect">
          <a:avLst/>
        </a:prstGeom>
        <a:noFill/>
        <a:ln w="9525">
          <a:noFill/>
          <a:miter lim="800000"/>
          <a:headEnd/>
          <a:tailEnd/>
        </a:ln>
      </xdr:spPr>
    </xdr:pic>
    <xdr:clientData/>
  </xdr:twoCellAnchor>
  <xdr:twoCellAnchor editAs="oneCell">
    <xdr:from>
      <xdr:col>0</xdr:col>
      <xdr:colOff>71439</xdr:colOff>
      <xdr:row>126</xdr:row>
      <xdr:rowOff>95253</xdr:rowOff>
    </xdr:from>
    <xdr:to>
      <xdr:col>3</xdr:col>
      <xdr:colOff>238126</xdr:colOff>
      <xdr:row>129</xdr:row>
      <xdr:rowOff>1</xdr:rowOff>
    </xdr:to>
    <xdr:pic>
      <xdr:nvPicPr>
        <xdr:cNvPr id="10" name="9 Imagen"/>
        <xdr:cNvPicPr/>
      </xdr:nvPicPr>
      <xdr:blipFill>
        <a:blip xmlns:r="http://schemas.openxmlformats.org/officeDocument/2006/relationships" r:embed="rId2" cstate="print"/>
        <a:srcRect t="1212" r="6383"/>
        <a:stretch>
          <a:fillRect/>
        </a:stretch>
      </xdr:blipFill>
      <xdr:spPr bwMode="auto">
        <a:xfrm>
          <a:off x="71439" y="55054503"/>
          <a:ext cx="4810125" cy="1214436"/>
        </a:xfrm>
        <a:prstGeom prst="rect">
          <a:avLst/>
        </a:prstGeom>
        <a:noFill/>
        <a:ln w="9525">
          <a:noFill/>
          <a:miter lim="800000"/>
          <a:headEnd/>
          <a:tailEnd/>
        </a:ln>
      </xdr:spPr>
    </xdr:pic>
    <xdr:clientData/>
  </xdr:twoCellAnchor>
  <xdr:twoCellAnchor editAs="oneCell">
    <xdr:from>
      <xdr:col>0</xdr:col>
      <xdr:colOff>23813</xdr:colOff>
      <xdr:row>86</xdr:row>
      <xdr:rowOff>71438</xdr:rowOff>
    </xdr:from>
    <xdr:to>
      <xdr:col>3</xdr:col>
      <xdr:colOff>190500</xdr:colOff>
      <xdr:row>90</xdr:row>
      <xdr:rowOff>23812</xdr:rowOff>
    </xdr:to>
    <xdr:pic>
      <xdr:nvPicPr>
        <xdr:cNvPr id="11" name="10 Imagen"/>
        <xdr:cNvPicPr/>
      </xdr:nvPicPr>
      <xdr:blipFill>
        <a:blip xmlns:r="http://schemas.openxmlformats.org/officeDocument/2006/relationships" r:embed="rId2" cstate="print"/>
        <a:srcRect t="1212" r="6383"/>
        <a:stretch>
          <a:fillRect/>
        </a:stretch>
      </xdr:blipFill>
      <xdr:spPr bwMode="auto">
        <a:xfrm>
          <a:off x="23813" y="36980813"/>
          <a:ext cx="4810125" cy="1214436"/>
        </a:xfrm>
        <a:prstGeom prst="rect">
          <a:avLst/>
        </a:prstGeom>
        <a:noFill/>
        <a:ln w="9525">
          <a:noFill/>
          <a:miter lim="800000"/>
          <a:headEnd/>
          <a:tailEnd/>
        </a:ln>
      </xdr:spPr>
    </xdr:pic>
    <xdr:clientData/>
  </xdr:twoCellAnchor>
  <xdr:twoCellAnchor editAs="oneCell">
    <xdr:from>
      <xdr:col>0</xdr:col>
      <xdr:colOff>71437</xdr:colOff>
      <xdr:row>47</xdr:row>
      <xdr:rowOff>71439</xdr:rowOff>
    </xdr:from>
    <xdr:to>
      <xdr:col>3</xdr:col>
      <xdr:colOff>238124</xdr:colOff>
      <xdr:row>50</xdr:row>
      <xdr:rowOff>166687</xdr:rowOff>
    </xdr:to>
    <xdr:pic>
      <xdr:nvPicPr>
        <xdr:cNvPr id="12" name="11 Imagen"/>
        <xdr:cNvPicPr/>
      </xdr:nvPicPr>
      <xdr:blipFill>
        <a:blip xmlns:r="http://schemas.openxmlformats.org/officeDocument/2006/relationships" r:embed="rId2" cstate="print"/>
        <a:srcRect t="1212" r="6383"/>
        <a:stretch>
          <a:fillRect/>
        </a:stretch>
      </xdr:blipFill>
      <xdr:spPr bwMode="auto">
        <a:xfrm>
          <a:off x="71437" y="20026314"/>
          <a:ext cx="4810125" cy="1214436"/>
        </a:xfrm>
        <a:prstGeom prst="rect">
          <a:avLst/>
        </a:prstGeom>
        <a:noFill/>
        <a:ln w="9525">
          <a:noFill/>
          <a:miter lim="800000"/>
          <a:headEnd/>
          <a:tailEnd/>
        </a:ln>
      </xdr:spPr>
    </xdr:pic>
    <xdr:clientData/>
  </xdr:twoCellAnchor>
  <xdr:twoCellAnchor editAs="oneCell">
    <xdr:from>
      <xdr:col>0</xdr:col>
      <xdr:colOff>23813</xdr:colOff>
      <xdr:row>0</xdr:row>
      <xdr:rowOff>23813</xdr:rowOff>
    </xdr:from>
    <xdr:to>
      <xdr:col>3</xdr:col>
      <xdr:colOff>190500</xdr:colOff>
      <xdr:row>3</xdr:row>
      <xdr:rowOff>142874</xdr:rowOff>
    </xdr:to>
    <xdr:pic>
      <xdr:nvPicPr>
        <xdr:cNvPr id="13" name="12 Imagen"/>
        <xdr:cNvPicPr/>
      </xdr:nvPicPr>
      <xdr:blipFill>
        <a:blip xmlns:r="http://schemas.openxmlformats.org/officeDocument/2006/relationships" r:embed="rId2" cstate="print"/>
        <a:srcRect t="1212" r="6383"/>
        <a:stretch>
          <a:fillRect/>
        </a:stretch>
      </xdr:blipFill>
      <xdr:spPr bwMode="auto">
        <a:xfrm>
          <a:off x="23813" y="23813"/>
          <a:ext cx="4810125" cy="121443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428625</xdr:colOff>
      <xdr:row>0</xdr:row>
      <xdr:rowOff>23812</xdr:rowOff>
    </xdr:from>
    <xdr:to>
      <xdr:col>4</xdr:col>
      <xdr:colOff>1374321</xdr:colOff>
      <xdr:row>3</xdr:row>
      <xdr:rowOff>71459</xdr:rowOff>
    </xdr:to>
    <xdr:pic>
      <xdr:nvPicPr>
        <xdr:cNvPr id="3"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7727156" y="23812"/>
          <a:ext cx="945696" cy="654866"/>
        </a:xfrm>
        <a:prstGeom prst="rect">
          <a:avLst/>
        </a:prstGeom>
        <a:noFill/>
        <a:ln w="9525">
          <a:noFill/>
          <a:miter lim="800000"/>
          <a:headEnd/>
          <a:tailEnd/>
        </a:ln>
      </xdr:spPr>
    </xdr:pic>
    <xdr:clientData/>
  </xdr:twoCellAnchor>
  <xdr:twoCellAnchor editAs="oneCell">
    <xdr:from>
      <xdr:col>0</xdr:col>
      <xdr:colOff>23813</xdr:colOff>
      <xdr:row>0</xdr:row>
      <xdr:rowOff>23812</xdr:rowOff>
    </xdr:from>
    <xdr:to>
      <xdr:col>0</xdr:col>
      <xdr:colOff>1095374</xdr:colOff>
      <xdr:row>3</xdr:row>
      <xdr:rowOff>11906</xdr:rowOff>
    </xdr:to>
    <xdr:pic>
      <xdr:nvPicPr>
        <xdr:cNvPr id="4" name="3 Imagen"/>
        <xdr:cNvPicPr/>
      </xdr:nvPicPr>
      <xdr:blipFill>
        <a:blip xmlns:r="http://schemas.openxmlformats.org/officeDocument/2006/relationships" r:embed="rId2" cstate="print"/>
        <a:srcRect t="1212" r="6383"/>
        <a:stretch>
          <a:fillRect/>
        </a:stretch>
      </xdr:blipFill>
      <xdr:spPr bwMode="auto">
        <a:xfrm>
          <a:off x="23813" y="23812"/>
          <a:ext cx="1071561" cy="595313"/>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1876425</xdr:colOff>
      <xdr:row>0</xdr:row>
      <xdr:rowOff>19051</xdr:rowOff>
    </xdr:from>
    <xdr:to>
      <xdr:col>8</xdr:col>
      <xdr:colOff>1419225</xdr:colOff>
      <xdr:row>3</xdr:row>
      <xdr:rowOff>95251</xdr:rowOff>
    </xdr:to>
    <xdr:pic>
      <xdr:nvPicPr>
        <xdr:cNvPr id="3"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8153400" y="19051"/>
          <a:ext cx="1447800" cy="666750"/>
        </a:xfrm>
        <a:prstGeom prst="rect">
          <a:avLst/>
        </a:prstGeom>
        <a:noFill/>
        <a:ln w="9525">
          <a:noFill/>
          <a:miter lim="800000"/>
          <a:headEnd/>
          <a:tailEnd/>
        </a:ln>
      </xdr:spPr>
    </xdr:pic>
    <xdr:clientData/>
  </xdr:twoCellAnchor>
  <xdr:twoCellAnchor editAs="oneCell">
    <xdr:from>
      <xdr:col>0</xdr:col>
      <xdr:colOff>1</xdr:colOff>
      <xdr:row>0</xdr:row>
      <xdr:rowOff>9525</xdr:rowOff>
    </xdr:from>
    <xdr:to>
      <xdr:col>2</xdr:col>
      <xdr:colOff>333375</xdr:colOff>
      <xdr:row>3</xdr:row>
      <xdr:rowOff>19050</xdr:rowOff>
    </xdr:to>
    <xdr:pic>
      <xdr:nvPicPr>
        <xdr:cNvPr id="4" name="3 Imagen"/>
        <xdr:cNvPicPr/>
      </xdr:nvPicPr>
      <xdr:blipFill>
        <a:blip xmlns:r="http://schemas.openxmlformats.org/officeDocument/2006/relationships" r:embed="rId2" cstate="print"/>
        <a:srcRect t="-2027" r="11672"/>
        <a:stretch>
          <a:fillRect/>
        </a:stretch>
      </xdr:blipFill>
      <xdr:spPr bwMode="auto">
        <a:xfrm>
          <a:off x="1" y="9525"/>
          <a:ext cx="1628774" cy="600075"/>
        </a:xfrm>
        <a:prstGeom prst="rect">
          <a:avLst/>
        </a:prstGeom>
        <a:noFill/>
        <a:ln w="9525">
          <a:noFill/>
          <a:miter lim="800000"/>
          <a:headEnd/>
          <a:tailEnd/>
        </a:ln>
      </xdr:spPr>
    </xdr:pic>
    <xdr:clientData/>
  </xdr:twoCellAnchor>
  <xdr:twoCellAnchor editAs="oneCell">
    <xdr:from>
      <xdr:col>7</xdr:col>
      <xdr:colOff>1068917</xdr:colOff>
      <xdr:row>28</xdr:row>
      <xdr:rowOff>179916</xdr:rowOff>
    </xdr:from>
    <xdr:to>
      <xdr:col>8</xdr:col>
      <xdr:colOff>698501</xdr:colOff>
      <xdr:row>43</xdr:row>
      <xdr:rowOff>74084</xdr:rowOff>
    </xdr:to>
    <xdr:pic>
      <xdr:nvPicPr>
        <xdr:cNvPr id="5" name="4 Imagen"/>
        <xdr:cNvPicPr>
          <a:picLocks noChangeAspect="1" noChangeArrowheads="1"/>
        </xdr:cNvPicPr>
      </xdr:nvPicPr>
      <xdr:blipFill>
        <a:blip xmlns:r="http://schemas.openxmlformats.org/officeDocument/2006/relationships" r:embed="rId3">
          <a:duotone>
            <a:prstClr val="black"/>
            <a:schemeClr val="tx1">
              <a:lumMod val="65000"/>
              <a:lumOff val="35000"/>
              <a:tint val="45000"/>
              <a:satMod val="400000"/>
            </a:schemeClr>
          </a:duotone>
          <a:extLst>
            <a:ext uri="{BEBA8EAE-BF5A-486C-A8C5-ECC9F3942E4B}">
              <a14:imgProps xmlns:a14="http://schemas.microsoft.com/office/drawing/2010/main">
                <a14:imgLayer r:embed="rId4">
                  <a14:imgEffect>
                    <a14:backgroundRemoval t="0" b="99292" l="0" r="96481"/>
                  </a14:imgEffect>
                  <a14:imgEffect>
                    <a14:artisticMarker/>
                  </a14:imgEffect>
                </a14:imgLayer>
              </a14:imgProps>
            </a:ext>
            <a:ext uri="{28A0092B-C50C-407E-A947-70E740481C1C}">
              <a14:useLocalDpi xmlns:a14="http://schemas.microsoft.com/office/drawing/2010/main" val="0"/>
            </a:ext>
          </a:extLst>
        </a:blip>
        <a:srcRect/>
        <a:stretch>
          <a:fillRect/>
        </a:stretch>
      </xdr:blipFill>
      <xdr:spPr bwMode="auto">
        <a:xfrm>
          <a:off x="7334250" y="6106583"/>
          <a:ext cx="1534584" cy="281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1477737</xdr:colOff>
      <xdr:row>0</xdr:row>
      <xdr:rowOff>53975</xdr:rowOff>
    </xdr:from>
    <xdr:to>
      <xdr:col>1</xdr:col>
      <xdr:colOff>3852183</xdr:colOff>
      <xdr:row>2</xdr:row>
      <xdr:rowOff>339554</xdr:rowOff>
    </xdr:to>
    <xdr:pic>
      <xdr:nvPicPr>
        <xdr:cNvPr id="2"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6478362" y="53975"/>
          <a:ext cx="2374446" cy="780879"/>
        </a:xfrm>
        <a:prstGeom prst="rect">
          <a:avLst/>
        </a:prstGeom>
        <a:noFill/>
        <a:ln w="9525">
          <a:noFill/>
          <a:miter lim="800000"/>
          <a:headEnd/>
          <a:tailEnd/>
        </a:ln>
      </xdr:spPr>
    </xdr:pic>
    <xdr:clientData/>
  </xdr:twoCellAnchor>
  <xdr:twoCellAnchor editAs="oneCell">
    <xdr:from>
      <xdr:col>0</xdr:col>
      <xdr:colOff>13607</xdr:colOff>
      <xdr:row>0</xdr:row>
      <xdr:rowOff>40822</xdr:rowOff>
    </xdr:from>
    <xdr:to>
      <xdr:col>0</xdr:col>
      <xdr:colOff>2530929</xdr:colOff>
      <xdr:row>3</xdr:row>
      <xdr:rowOff>40822</xdr:rowOff>
    </xdr:to>
    <xdr:pic>
      <xdr:nvPicPr>
        <xdr:cNvPr id="3" name="2 Imagen"/>
        <xdr:cNvPicPr/>
      </xdr:nvPicPr>
      <xdr:blipFill>
        <a:blip xmlns:r="http://schemas.openxmlformats.org/officeDocument/2006/relationships" r:embed="rId2" cstate="print"/>
        <a:srcRect t="-2027" r="11672"/>
        <a:stretch>
          <a:fillRect/>
        </a:stretch>
      </xdr:blipFill>
      <xdr:spPr bwMode="auto">
        <a:xfrm>
          <a:off x="13607" y="40822"/>
          <a:ext cx="2517322" cy="866775"/>
        </a:xfrm>
        <a:prstGeom prst="rect">
          <a:avLst/>
        </a:prstGeom>
        <a:noFill/>
        <a:ln w="9525">
          <a:noFill/>
          <a:miter lim="800000"/>
          <a:headEnd/>
          <a:tailEnd/>
        </a:ln>
      </xdr:spPr>
    </xdr:pic>
    <xdr:clientData/>
  </xdr:twoCellAnchor>
  <xdr:twoCellAnchor editAs="oneCell">
    <xdr:from>
      <xdr:col>1</xdr:col>
      <xdr:colOff>1279071</xdr:colOff>
      <xdr:row>28</xdr:row>
      <xdr:rowOff>204107</xdr:rowOff>
    </xdr:from>
    <xdr:to>
      <xdr:col>1</xdr:col>
      <xdr:colOff>2675176</xdr:colOff>
      <xdr:row>29</xdr:row>
      <xdr:rowOff>635894</xdr:rowOff>
    </xdr:to>
    <xdr:pic>
      <xdr:nvPicPr>
        <xdr:cNvPr id="4" name="3 Imagen"/>
        <xdr:cNvPicPr>
          <a:picLocks noChangeAspect="1"/>
        </xdr:cNvPicPr>
      </xdr:nvPicPr>
      <xdr:blipFill>
        <a:blip xmlns:r="http://schemas.openxmlformats.org/officeDocument/2006/relationships" r:embed="rId3"/>
        <a:stretch>
          <a:fillRect/>
        </a:stretch>
      </xdr:blipFill>
      <xdr:spPr>
        <a:xfrm>
          <a:off x="6286500" y="13226143"/>
          <a:ext cx="1396105" cy="676715"/>
        </a:xfrm>
        <a:prstGeom prst="rect">
          <a:avLst/>
        </a:prstGeom>
        <a:ln>
          <a:solidFill>
            <a:schemeClr val="bg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1559379</xdr:colOff>
      <xdr:row>0</xdr:row>
      <xdr:rowOff>53975</xdr:rowOff>
    </xdr:from>
    <xdr:to>
      <xdr:col>1</xdr:col>
      <xdr:colOff>3933825</xdr:colOff>
      <xdr:row>2</xdr:row>
      <xdr:rowOff>339554</xdr:rowOff>
    </xdr:to>
    <xdr:pic>
      <xdr:nvPicPr>
        <xdr:cNvPr id="2"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6693354" y="53975"/>
          <a:ext cx="2374446" cy="780879"/>
        </a:xfrm>
        <a:prstGeom prst="rect">
          <a:avLst/>
        </a:prstGeom>
        <a:noFill/>
        <a:ln w="9525">
          <a:noFill/>
          <a:miter lim="800000"/>
          <a:headEnd/>
          <a:tailEnd/>
        </a:ln>
      </xdr:spPr>
    </xdr:pic>
    <xdr:clientData/>
  </xdr:twoCellAnchor>
  <xdr:twoCellAnchor editAs="oneCell">
    <xdr:from>
      <xdr:col>0</xdr:col>
      <xdr:colOff>13607</xdr:colOff>
      <xdr:row>0</xdr:row>
      <xdr:rowOff>40822</xdr:rowOff>
    </xdr:from>
    <xdr:to>
      <xdr:col>0</xdr:col>
      <xdr:colOff>2530929</xdr:colOff>
      <xdr:row>3</xdr:row>
      <xdr:rowOff>40822</xdr:rowOff>
    </xdr:to>
    <xdr:pic>
      <xdr:nvPicPr>
        <xdr:cNvPr id="3" name="2 Imagen"/>
        <xdr:cNvPicPr/>
      </xdr:nvPicPr>
      <xdr:blipFill>
        <a:blip xmlns:r="http://schemas.openxmlformats.org/officeDocument/2006/relationships" r:embed="rId2" cstate="print"/>
        <a:srcRect t="-2027" r="11672"/>
        <a:stretch>
          <a:fillRect/>
        </a:stretch>
      </xdr:blipFill>
      <xdr:spPr bwMode="auto">
        <a:xfrm>
          <a:off x="13607" y="40822"/>
          <a:ext cx="2517322" cy="866775"/>
        </a:xfrm>
        <a:prstGeom prst="rect">
          <a:avLst/>
        </a:prstGeom>
        <a:noFill/>
        <a:ln w="9525">
          <a:noFill/>
          <a:miter lim="800000"/>
          <a:headEnd/>
          <a:tailEnd/>
        </a:ln>
      </xdr:spPr>
    </xdr:pic>
    <xdr:clientData/>
  </xdr:twoCellAnchor>
  <xdr:twoCellAnchor editAs="oneCell">
    <xdr:from>
      <xdr:col>1</xdr:col>
      <xdr:colOff>1632858</xdr:colOff>
      <xdr:row>27</xdr:row>
      <xdr:rowOff>204107</xdr:rowOff>
    </xdr:from>
    <xdr:to>
      <xdr:col>1</xdr:col>
      <xdr:colOff>3028963</xdr:colOff>
      <xdr:row>28</xdr:row>
      <xdr:rowOff>635894</xdr:rowOff>
    </xdr:to>
    <xdr:pic>
      <xdr:nvPicPr>
        <xdr:cNvPr id="4" name="3 Imagen"/>
        <xdr:cNvPicPr>
          <a:picLocks noChangeAspect="1"/>
        </xdr:cNvPicPr>
      </xdr:nvPicPr>
      <xdr:blipFill>
        <a:blip xmlns:r="http://schemas.openxmlformats.org/officeDocument/2006/relationships" r:embed="rId3"/>
        <a:stretch>
          <a:fillRect/>
        </a:stretch>
      </xdr:blipFill>
      <xdr:spPr>
        <a:xfrm>
          <a:off x="6762751" y="13035643"/>
          <a:ext cx="1396105" cy="67671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885825</xdr:colOff>
      <xdr:row>0</xdr:row>
      <xdr:rowOff>28575</xdr:rowOff>
    </xdr:from>
    <xdr:to>
      <xdr:col>11</xdr:col>
      <xdr:colOff>191703</xdr:colOff>
      <xdr:row>0</xdr:row>
      <xdr:rowOff>0</xdr:rowOff>
    </xdr:to>
    <xdr:pic>
      <xdr:nvPicPr>
        <xdr:cNvPr id="2" name="9 Imagen" descr="Y:\Contabilidad 2013\Cuentas\Logos definitivo sapnaet.jpg"/>
        <xdr:cNvPicPr>
          <a:picLocks noChangeArrowheads="1"/>
        </xdr:cNvPicPr>
      </xdr:nvPicPr>
      <xdr:blipFill>
        <a:blip xmlns:r="http://schemas.openxmlformats.org/officeDocument/2006/relationships" r:embed="rId1"/>
        <a:srcRect/>
        <a:stretch>
          <a:fillRect/>
        </a:stretch>
      </xdr:blipFill>
      <xdr:spPr bwMode="auto">
        <a:xfrm>
          <a:off x="12115800" y="0"/>
          <a:ext cx="1458528" cy="0"/>
        </a:xfrm>
        <a:prstGeom prst="rect">
          <a:avLst/>
        </a:prstGeom>
        <a:noFill/>
        <a:ln w="9525">
          <a:noFill/>
          <a:miter lim="800000"/>
          <a:headEnd/>
          <a:tailEnd/>
        </a:ln>
      </xdr:spPr>
    </xdr:pic>
    <xdr:clientData/>
  </xdr:twoCellAnchor>
  <xdr:twoCellAnchor editAs="oneCell">
    <xdr:from>
      <xdr:col>9</xdr:col>
      <xdr:colOff>73817</xdr:colOff>
      <xdr:row>1</xdr:row>
      <xdr:rowOff>23812</xdr:rowOff>
    </xdr:from>
    <xdr:to>
      <xdr:col>10</xdr:col>
      <xdr:colOff>1169193</xdr:colOff>
      <xdr:row>5</xdr:row>
      <xdr:rowOff>23812</xdr:rowOff>
    </xdr:to>
    <xdr:pic>
      <xdr:nvPicPr>
        <xdr:cNvPr id="3"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11301411" y="23812"/>
          <a:ext cx="1988345" cy="928688"/>
        </a:xfrm>
        <a:prstGeom prst="rect">
          <a:avLst/>
        </a:prstGeom>
        <a:noFill/>
        <a:ln w="9525">
          <a:noFill/>
          <a:miter lim="800000"/>
          <a:headEnd/>
          <a:tailEnd/>
        </a:ln>
      </xdr:spPr>
    </xdr:pic>
    <xdr:clientData/>
  </xdr:twoCellAnchor>
  <xdr:twoCellAnchor editAs="oneCell">
    <xdr:from>
      <xdr:col>0</xdr:col>
      <xdr:colOff>35719</xdr:colOff>
      <xdr:row>1</xdr:row>
      <xdr:rowOff>23813</xdr:rowOff>
    </xdr:from>
    <xdr:to>
      <xdr:col>0</xdr:col>
      <xdr:colOff>2286001</xdr:colOff>
      <xdr:row>5</xdr:row>
      <xdr:rowOff>11906</xdr:rowOff>
    </xdr:to>
    <xdr:pic>
      <xdr:nvPicPr>
        <xdr:cNvPr id="4" name="3 Imagen"/>
        <xdr:cNvPicPr/>
      </xdr:nvPicPr>
      <xdr:blipFill>
        <a:blip xmlns:r="http://schemas.openxmlformats.org/officeDocument/2006/relationships" r:embed="rId2" cstate="print"/>
        <a:srcRect t="-2027" r="11672"/>
        <a:stretch>
          <a:fillRect/>
        </a:stretch>
      </xdr:blipFill>
      <xdr:spPr bwMode="auto">
        <a:xfrm>
          <a:off x="35719" y="23813"/>
          <a:ext cx="2250282" cy="916781"/>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1564368</xdr:colOff>
      <xdr:row>0</xdr:row>
      <xdr:rowOff>45357</xdr:rowOff>
    </xdr:from>
    <xdr:to>
      <xdr:col>7</xdr:col>
      <xdr:colOff>1778000</xdr:colOff>
      <xdr:row>1</xdr:row>
      <xdr:rowOff>562429</xdr:rowOff>
    </xdr:to>
    <xdr:pic>
      <xdr:nvPicPr>
        <xdr:cNvPr id="2" name="9 Imagen" descr="Y:\Contabilidad 2013\Cuentas\Logos definitivo sapnaet.jpg"/>
        <xdr:cNvPicPr>
          <a:picLocks noChangeArrowheads="1"/>
        </xdr:cNvPicPr>
      </xdr:nvPicPr>
      <xdr:blipFill>
        <a:blip xmlns:r="http://schemas.openxmlformats.org/officeDocument/2006/relationships" r:embed="rId1" cstate="print"/>
        <a:srcRect/>
        <a:stretch>
          <a:fillRect/>
        </a:stretch>
      </xdr:blipFill>
      <xdr:spPr bwMode="auto">
        <a:xfrm>
          <a:off x="12978493" y="45357"/>
          <a:ext cx="1801132" cy="818697"/>
        </a:xfrm>
        <a:prstGeom prst="rect">
          <a:avLst/>
        </a:prstGeom>
        <a:noFill/>
        <a:ln w="9525">
          <a:noFill/>
          <a:miter lim="800000"/>
          <a:headEnd/>
          <a:tailEnd/>
        </a:ln>
      </xdr:spPr>
    </xdr:pic>
    <xdr:clientData/>
  </xdr:twoCellAnchor>
  <xdr:twoCellAnchor editAs="oneCell">
    <xdr:from>
      <xdr:col>1</xdr:col>
      <xdr:colOff>38553</xdr:colOff>
      <xdr:row>0</xdr:row>
      <xdr:rowOff>47625</xdr:rowOff>
    </xdr:from>
    <xdr:to>
      <xdr:col>1</xdr:col>
      <xdr:colOff>2637518</xdr:colOff>
      <xdr:row>2</xdr:row>
      <xdr:rowOff>88446</xdr:rowOff>
    </xdr:to>
    <xdr:pic>
      <xdr:nvPicPr>
        <xdr:cNvPr id="3" name="2 Imagen"/>
        <xdr:cNvPicPr/>
      </xdr:nvPicPr>
      <xdr:blipFill>
        <a:blip xmlns:r="http://schemas.openxmlformats.org/officeDocument/2006/relationships" r:embed="rId2" cstate="print"/>
        <a:srcRect t="-2027" r="11672"/>
        <a:stretch>
          <a:fillRect/>
        </a:stretch>
      </xdr:blipFill>
      <xdr:spPr bwMode="auto">
        <a:xfrm>
          <a:off x="991053" y="47625"/>
          <a:ext cx="2598965" cy="936171"/>
        </a:xfrm>
        <a:prstGeom prst="rect">
          <a:avLst/>
        </a:prstGeom>
        <a:noFill/>
        <a:ln w="9525">
          <a:noFill/>
          <a:miter lim="800000"/>
          <a:headEnd/>
          <a:tailEnd/>
        </a:ln>
      </xdr:spPr>
    </xdr:pic>
    <xdr:clientData/>
  </xdr:twoCellAnchor>
  <xdr:twoCellAnchor editAs="oneCell">
    <xdr:from>
      <xdr:col>5</xdr:col>
      <xdr:colOff>1063625</xdr:colOff>
      <xdr:row>30</xdr:row>
      <xdr:rowOff>190500</xdr:rowOff>
    </xdr:from>
    <xdr:to>
      <xdr:col>6</xdr:col>
      <xdr:colOff>857250</xdr:colOff>
      <xdr:row>31</xdr:row>
      <xdr:rowOff>663575</xdr:rowOff>
    </xdr:to>
    <xdr:pic>
      <xdr:nvPicPr>
        <xdr:cNvPr id="5" name="4 Imagen"/>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0000"/>
                  </a14:imgEffect>
                  <a14:imgEffect>
                    <a14:saturation sat="400000"/>
                  </a14:imgEffect>
                </a14:imgLayer>
              </a14:imgProps>
            </a:ext>
            <a:ext uri="{28A0092B-C50C-407E-A947-70E740481C1C}">
              <a14:useLocalDpi xmlns:a14="http://schemas.microsoft.com/office/drawing/2010/main" val="0"/>
            </a:ext>
          </a:extLst>
        </a:blip>
        <a:srcRect/>
        <a:stretch>
          <a:fillRect/>
        </a:stretch>
      </xdr:blipFill>
      <xdr:spPr bwMode="auto">
        <a:xfrm>
          <a:off x="10874375" y="10033000"/>
          <a:ext cx="1397000" cy="67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27214</xdr:colOff>
      <xdr:row>0</xdr:row>
      <xdr:rowOff>54429</xdr:rowOff>
    </xdr:from>
    <xdr:to>
      <xdr:col>0</xdr:col>
      <xdr:colOff>2585357</xdr:colOff>
      <xdr:row>2</xdr:row>
      <xdr:rowOff>258536</xdr:rowOff>
    </xdr:to>
    <xdr:pic>
      <xdr:nvPicPr>
        <xdr:cNvPr id="2" name="11 Imagen"/>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27214" y="54429"/>
          <a:ext cx="2558143" cy="699407"/>
        </a:xfrm>
        <a:prstGeom prst="rect">
          <a:avLst/>
        </a:prstGeom>
        <a:noFill/>
        <a:ln w="9525">
          <a:noFill/>
          <a:miter lim="800000"/>
          <a:headEnd/>
          <a:tailEnd/>
        </a:ln>
      </xdr:spPr>
    </xdr:pic>
    <xdr:clientData/>
  </xdr:twoCellAnchor>
  <xdr:twoCellAnchor>
    <xdr:from>
      <xdr:col>0</xdr:col>
      <xdr:colOff>95250</xdr:colOff>
      <xdr:row>19</xdr:row>
      <xdr:rowOff>612321</xdr:rowOff>
    </xdr:from>
    <xdr:to>
      <xdr:col>1</xdr:col>
      <xdr:colOff>13607</xdr:colOff>
      <xdr:row>23</xdr:row>
      <xdr:rowOff>529317</xdr:rowOff>
    </xdr:to>
    <xdr:cxnSp macro="">
      <xdr:nvCxnSpPr>
        <xdr:cNvPr id="3" name="11 Conector recto"/>
        <xdr:cNvCxnSpPr/>
      </xdr:nvCxnSpPr>
      <xdr:spPr>
        <a:xfrm>
          <a:off x="95250" y="8518071"/>
          <a:ext cx="5116286" cy="24071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2231572</xdr:colOff>
      <xdr:row>0</xdr:row>
      <xdr:rowOff>40821</xdr:rowOff>
    </xdr:from>
    <xdr:to>
      <xdr:col>1</xdr:col>
      <xdr:colOff>4606018</xdr:colOff>
      <xdr:row>2</xdr:row>
      <xdr:rowOff>326400</xdr:rowOff>
    </xdr:to>
    <xdr:pic>
      <xdr:nvPicPr>
        <xdr:cNvPr id="4" name="9 Imagen" descr="Y:\Contabilidad 2013\Cuentas\Logos definitivo sapnaet.jpg"/>
        <xdr:cNvPicPr>
          <a:picLocks noChangeArrowheads="1"/>
        </xdr:cNvPicPr>
      </xdr:nvPicPr>
      <xdr:blipFill>
        <a:blip xmlns:r="http://schemas.openxmlformats.org/officeDocument/2006/relationships" r:embed="rId2" cstate="print"/>
        <a:srcRect/>
        <a:stretch>
          <a:fillRect/>
        </a:stretch>
      </xdr:blipFill>
      <xdr:spPr bwMode="auto">
        <a:xfrm>
          <a:off x="7432222" y="40821"/>
          <a:ext cx="2374446" cy="780879"/>
        </a:xfrm>
        <a:prstGeom prst="rect">
          <a:avLst/>
        </a:prstGeom>
        <a:noFill/>
        <a:ln w="9525">
          <a:noFill/>
          <a:miter lim="800000"/>
          <a:headEnd/>
          <a:tailEnd/>
        </a:ln>
      </xdr:spPr>
    </xdr:pic>
    <xdr:clientData/>
  </xdr:twoCellAnchor>
  <xdr:twoCellAnchor editAs="oneCell">
    <xdr:from>
      <xdr:col>1</xdr:col>
      <xdr:colOff>1905001</xdr:colOff>
      <xdr:row>27</xdr:row>
      <xdr:rowOff>122463</xdr:rowOff>
    </xdr:from>
    <xdr:to>
      <xdr:col>1</xdr:col>
      <xdr:colOff>3301106</xdr:colOff>
      <xdr:row>28</xdr:row>
      <xdr:rowOff>554249</xdr:rowOff>
    </xdr:to>
    <xdr:pic>
      <xdr:nvPicPr>
        <xdr:cNvPr id="5" name="4 Imagen"/>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0" b="87387" l="0" r="100000"/>
                  </a14:imgEffect>
                  <a14:imgEffect>
                    <a14:brightnessContrast bright="-20000" contrast="40000"/>
                  </a14:imgEffect>
                </a14:imgLayer>
              </a14:imgProps>
            </a:ext>
          </a:extLst>
        </a:blip>
        <a:stretch>
          <a:fillRect/>
        </a:stretch>
      </xdr:blipFill>
      <xdr:spPr>
        <a:xfrm>
          <a:off x="7102930" y="12246427"/>
          <a:ext cx="1396105" cy="67671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27214</xdr:colOff>
      <xdr:row>0</xdr:row>
      <xdr:rowOff>54429</xdr:rowOff>
    </xdr:from>
    <xdr:to>
      <xdr:col>0</xdr:col>
      <xdr:colOff>2585357</xdr:colOff>
      <xdr:row>2</xdr:row>
      <xdr:rowOff>258536</xdr:rowOff>
    </xdr:to>
    <xdr:pic>
      <xdr:nvPicPr>
        <xdr:cNvPr id="2" name="11 Imagen"/>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27214" y="54429"/>
          <a:ext cx="2558143" cy="699407"/>
        </a:xfrm>
        <a:prstGeom prst="rect">
          <a:avLst/>
        </a:prstGeom>
        <a:noFill/>
        <a:ln w="9525">
          <a:noFill/>
          <a:miter lim="800000"/>
          <a:headEnd/>
          <a:tailEnd/>
        </a:ln>
      </xdr:spPr>
    </xdr:pic>
    <xdr:clientData/>
  </xdr:twoCellAnchor>
  <xdr:twoCellAnchor>
    <xdr:from>
      <xdr:col>0</xdr:col>
      <xdr:colOff>13607</xdr:colOff>
      <xdr:row>15</xdr:row>
      <xdr:rowOff>27214</xdr:rowOff>
    </xdr:from>
    <xdr:to>
      <xdr:col>0</xdr:col>
      <xdr:colOff>5129893</xdr:colOff>
      <xdr:row>19</xdr:row>
      <xdr:rowOff>461281</xdr:rowOff>
    </xdr:to>
    <xdr:cxnSp macro="">
      <xdr:nvCxnSpPr>
        <xdr:cNvPr id="3" name="11 Conector recto"/>
        <xdr:cNvCxnSpPr/>
      </xdr:nvCxnSpPr>
      <xdr:spPr>
        <a:xfrm>
          <a:off x="13607" y="5429250"/>
          <a:ext cx="5116286" cy="29241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2231572</xdr:colOff>
      <xdr:row>0</xdr:row>
      <xdr:rowOff>40821</xdr:rowOff>
    </xdr:from>
    <xdr:to>
      <xdr:col>1</xdr:col>
      <xdr:colOff>4606018</xdr:colOff>
      <xdr:row>2</xdr:row>
      <xdr:rowOff>326400</xdr:rowOff>
    </xdr:to>
    <xdr:pic>
      <xdr:nvPicPr>
        <xdr:cNvPr id="4" name="9 Imagen" descr="Y:\Contabilidad 2013\Cuentas\Logos definitivo sapnaet.jpg"/>
        <xdr:cNvPicPr>
          <a:picLocks noChangeArrowheads="1"/>
        </xdr:cNvPicPr>
      </xdr:nvPicPr>
      <xdr:blipFill>
        <a:blip xmlns:r="http://schemas.openxmlformats.org/officeDocument/2006/relationships" r:embed="rId2" cstate="print"/>
        <a:srcRect/>
        <a:stretch>
          <a:fillRect/>
        </a:stretch>
      </xdr:blipFill>
      <xdr:spPr bwMode="auto">
        <a:xfrm>
          <a:off x="7432222" y="40821"/>
          <a:ext cx="2374446" cy="780879"/>
        </a:xfrm>
        <a:prstGeom prst="rect">
          <a:avLst/>
        </a:prstGeom>
        <a:noFill/>
        <a:ln w="9525">
          <a:noFill/>
          <a:miter lim="800000"/>
          <a:headEnd/>
          <a:tailEnd/>
        </a:ln>
      </xdr:spPr>
    </xdr:pic>
    <xdr:clientData/>
  </xdr:twoCellAnchor>
  <xdr:twoCellAnchor editAs="oneCell">
    <xdr:from>
      <xdr:col>1</xdr:col>
      <xdr:colOff>1986643</xdr:colOff>
      <xdr:row>23</xdr:row>
      <xdr:rowOff>136073</xdr:rowOff>
    </xdr:from>
    <xdr:to>
      <xdr:col>1</xdr:col>
      <xdr:colOff>3382748</xdr:colOff>
      <xdr:row>24</xdr:row>
      <xdr:rowOff>567860</xdr:rowOff>
    </xdr:to>
    <xdr:pic>
      <xdr:nvPicPr>
        <xdr:cNvPr id="5" name="4 Imagen"/>
        <xdr:cNvPicPr>
          <a:picLocks noChangeAspect="1"/>
        </xdr:cNvPicPr>
      </xdr:nvPicPr>
      <xdr:blipFill>
        <a:blip xmlns:r="http://schemas.openxmlformats.org/officeDocument/2006/relationships" r:embed="rId3"/>
        <a:stretch>
          <a:fillRect/>
        </a:stretch>
      </xdr:blipFill>
      <xdr:spPr>
        <a:xfrm>
          <a:off x="7184572" y="10668002"/>
          <a:ext cx="1396105" cy="67671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is%20documentos/ORDENAMIENTO%20DE%20PAGO/ORDENES%20DE%20PAGO%202025/LISTADO%20OP1%20202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Documents%20and%20Settings\xx\Datos%20de%20programa\Microsoft\Excel\ABRIL%20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is%20documentos/CTAS%202021/1)%20MES%20DE%20ENERO%202021/ESTADO%20FINANCIEROS%20ENERO%20202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is%20documentos/CONTABILIDAD%202014/CONTABILIDAD%202014/CTAS%202014/MES%206.%20%20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TAS%202021/1)%20MES%20DE%20ENERO%202021/MES%20DE%20DICIEMBRE%202019/ESTADO%20FINANCIEROS%20DICIEMBRE%202019%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is%20documentos/CTAS.%202023/12)%20DICIEMBRE%202023/ESTADO%20FINANCIEROS%20DICIEMBRE%20%20202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is%20documentos/CTAS.%202017/ENERO%2020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is%20documentos/CTAS.%202022/12)%20MES%20DE%20DICIEMBRE%202022/ESTADO%20FINANCIEROS%20DICIEMBRE%20202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ocuments%20and%20Settings/Administrador/Datos%20de%20programa/Microsoft/Excel/LIBRO%20DE%20BANCO%20DE%20VENEZUELA%20CTA.%20CTE.%20196%20MES%20DE%20ABRIL%20201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is%20documentos/CTAS.%202022/11)%20MES%20DE%20NOVIEMBRE%202022/ESTADO%20FINANCIEROS%20NOVIEMBRE%20202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is%20documentos/CTAS.%202019/estados%20financ%202018%20de%20agosto%20a%20dic/MES%20DE%20DICIEMBRE%20%202018/ESTADO%20FINANCIEROS%20DICIEMBRE%20%202018..%20-%20VERDADERO%20CIERRE.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HOMER/Documents/Alex/11)%20MES%20DE%20NOVIEMBRE%202021/CIERRE%20HASTA%20EL%2012%20DE%20NOVIEMBRE%20ESTADO%20FINANCIEROS%20NOVIEMBRE%20202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Documents%20and%20Settings/xx/Datos%20de%20programa/Microsoft/Excel/ABRIL%202017.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CTAS%202021/1)%20MES%20DE%20ENERO%202021/ESTADO%20FINANCIEROS%20ENERO%20202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__/12)%20DICIEMBRE%202024/ESTADO%20FINANCIEROS%20DICIEMBRE%20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O 2024"/>
      <sheetName val="Hoja2"/>
      <sheetName val="Hoja3"/>
      <sheetName val="FEBRERO 2024"/>
      <sheetName val="Hoja1"/>
      <sheetName val="MARZO 2024"/>
      <sheetName val="ABRIL 2024 (2)"/>
      <sheetName val="MAYO 2024 "/>
      <sheetName val=" JUNIO 2024"/>
      <sheetName val=" JULIO 2024"/>
      <sheetName val="Hoja4"/>
      <sheetName val="ENERO 202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7">
          <cell r="G37">
            <v>340.92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CHA"/>
      <sheetName val="Blc. acu"/>
      <sheetName val="Bl d C ac"/>
      <sheetName val="Gtos"/>
      <sheetName val="ABRIL"/>
      <sheetName val="ASIENTOS   "/>
      <sheetName val="MAYORES"/>
      <sheetName val="BALANCE DE COMPROBACIÓN"/>
      <sheetName val="BALANCE GENERAL "/>
      <sheetName val="BAL. AC. "/>
      <sheetName val="BALANCE DE COMPROBACIÓN AC."/>
      <sheetName val="BALANCE GENERAL AC."/>
      <sheetName val="101 OP"/>
      <sheetName val="102 TES"/>
      <sheetName val="132 FT "/>
      <sheetName val="133 DT"/>
      <sheetName val="216 PA "/>
      <sheetName val="216 PA  (2)"/>
      <sheetName val="214 BM "/>
      <sheetName val="LIB. BANCO 328 "/>
      <sheetName val="RELA. GTOS 328 "/>
      <sheetName val="CH. ANUL. 328"/>
      <sheetName val="C. TRANS. 328 "/>
      <sheetName val="CONC. BAN  328 "/>
      <sheetName val="LIB. BANCO 499"/>
      <sheetName val="RELA. GTOS 499"/>
      <sheetName val="CH. ANUL. 499"/>
      <sheetName val="C. TRANS. 499 "/>
      <sheetName val="CONC. BAN 499"/>
      <sheetName val="LIB. BANCO 216"/>
      <sheetName val="RELA. GTOS 216"/>
      <sheetName val="CH. ANUL. 216"/>
      <sheetName val="C. TRANS. 216 "/>
      <sheetName val="CONC. BAN 216"/>
      <sheetName val="LIB. BANCO 7555"/>
      <sheetName val="RELA. GTOS 7555"/>
      <sheetName val="CH. ANUL. 7555"/>
      <sheetName val="C. TRANS. 7555"/>
      <sheetName val="CONC. BAN 7555"/>
      <sheetName val="LIB. BANCO 196"/>
      <sheetName val="RELA. GTOS 196"/>
      <sheetName val="CH. ANUL. 196"/>
      <sheetName val="C. TRANS. 196 "/>
      <sheetName val="CONC. BAN 196"/>
      <sheetName val="LIB. BANCO 5889"/>
      <sheetName val="RELA. GTOS 5889"/>
      <sheetName val="CH. ANUL. 5889"/>
      <sheetName val="C. TRANS. 5889"/>
      <sheetName val="CONC. BAN 5889"/>
      <sheetName val="LIB. BANCO 0116"/>
      <sheetName val="RELA. GTOS 0116"/>
      <sheetName val="CH. ANUL. 0116"/>
      <sheetName val="C. TRANS. 0116"/>
      <sheetName val="CONC. BAN 0116"/>
      <sheetName val="LIB. BANCO 5007"/>
      <sheetName val="CONC. BAN 5007"/>
      <sheetName val="Hoja1"/>
      <sheetName val="SALDOS DE LAS DISTINTAS CUENTAS"/>
      <sheetName val="ACTIVOS EN DESUSO"/>
      <sheetName val="SALDOS DE LAS CTAS. AL 31-1 (2)"/>
      <sheetName val="RELACIÓN DE INGRESOS Y EGRE "/>
      <sheetName val="RELACIÓN DE FONDOS PROPIOS 2017"/>
      <sheetName val="RELACION DE FP SOLO GRANJA "/>
      <sheetName val="RELACION SOLO PARQUES"/>
      <sheetName val="RELACION SOLO TALLERES"/>
      <sheetName val="SALDOS DE LAS CTAS. A ENRO"/>
      <sheetName val="Hoja2"/>
      <sheetName val="OP "/>
    </sheetNames>
    <sheetDataSet>
      <sheetData sheetId="0">
        <row r="2">
          <cell r="B2">
            <v>42855</v>
          </cell>
        </row>
      </sheetData>
      <sheetData sheetId="1"/>
      <sheetData sheetId="2"/>
      <sheetData sheetId="3"/>
      <sheetData sheetId="4">
        <row r="37">
          <cell r="L37">
            <v>88380883.090000004</v>
          </cell>
        </row>
      </sheetData>
      <sheetData sheetId="5">
        <row r="83">
          <cell r="E83">
            <v>95320199.820000008</v>
          </cell>
        </row>
      </sheetData>
      <sheetData sheetId="6">
        <row r="22">
          <cell r="F22">
            <v>24015093.508999974</v>
          </cell>
        </row>
      </sheetData>
      <sheetData sheetId="7"/>
      <sheetData sheetId="8">
        <row r="1">
          <cell r="A1" t="str">
            <v>REPÚBLICA BOLIVARIANA DE VENEZUELA</v>
          </cell>
        </row>
        <row r="2">
          <cell r="A2" t="str">
            <v>SERVICIO ADMINISTRATIVO DE PROTECCIÓN DEL NIÑO, NIÑA Y ADOLESCENTE DEL ESTADO TRUJILLO</v>
          </cell>
        </row>
      </sheetData>
      <sheetData sheetId="9"/>
      <sheetData sheetId="10"/>
      <sheetData sheetId="11"/>
      <sheetData sheetId="12"/>
      <sheetData sheetId="13"/>
      <sheetData sheetId="14"/>
      <sheetData sheetId="15"/>
      <sheetData sheetId="16">
        <row r="16">
          <cell r="C16">
            <v>191875.5</v>
          </cell>
        </row>
      </sheetData>
      <sheetData sheetId="17"/>
      <sheetData sheetId="18">
        <row r="17">
          <cell r="C17">
            <v>453.71</v>
          </cell>
        </row>
      </sheetData>
      <sheetData sheetId="19">
        <row r="11">
          <cell r="D11" t="str">
            <v>REF. 000797981</v>
          </cell>
        </row>
      </sheetData>
      <sheetData sheetId="20"/>
      <sheetData sheetId="21"/>
      <sheetData sheetId="22"/>
      <sheetData sheetId="23"/>
      <sheetData sheetId="24">
        <row r="34">
          <cell r="D34" t="str">
            <v>496791994</v>
          </cell>
        </row>
      </sheetData>
      <sheetData sheetId="25"/>
      <sheetData sheetId="26"/>
      <sheetData sheetId="27"/>
      <sheetData sheetId="28"/>
      <sheetData sheetId="29">
        <row r="11">
          <cell r="B11">
            <v>42846</v>
          </cell>
        </row>
      </sheetData>
      <sheetData sheetId="30"/>
      <sheetData sheetId="31"/>
      <sheetData sheetId="32"/>
      <sheetData sheetId="33"/>
      <sheetData sheetId="34">
        <row r="91">
          <cell r="H91">
            <v>1999472.61</v>
          </cell>
        </row>
      </sheetData>
      <sheetData sheetId="35"/>
      <sheetData sheetId="36"/>
      <sheetData sheetId="37"/>
      <sheetData sheetId="38"/>
      <sheetData sheetId="39">
        <row r="11">
          <cell r="G11">
            <v>2128</v>
          </cell>
        </row>
      </sheetData>
      <sheetData sheetId="40"/>
      <sheetData sheetId="41"/>
      <sheetData sheetId="42"/>
      <sheetData sheetId="43"/>
      <sheetData sheetId="44">
        <row r="11">
          <cell r="D11" t="str">
            <v>308842883</v>
          </cell>
        </row>
      </sheetData>
      <sheetData sheetId="45"/>
      <sheetData sheetId="46"/>
      <sheetData sheetId="47"/>
      <sheetData sheetId="48"/>
      <sheetData sheetId="49">
        <row r="11">
          <cell r="D11" t="str">
            <v>308912885</v>
          </cell>
        </row>
      </sheetData>
      <sheetData sheetId="50"/>
      <sheetData sheetId="51"/>
      <sheetData sheetId="52"/>
      <sheetData sheetId="53"/>
      <sheetData sheetId="54">
        <row r="91">
          <cell r="I91">
            <v>14457.47</v>
          </cell>
        </row>
      </sheetData>
      <sheetData sheetId="55"/>
      <sheetData sheetId="56"/>
      <sheetData sheetId="57"/>
      <sheetData sheetId="58"/>
      <sheetData sheetId="59"/>
      <sheetData sheetId="60"/>
      <sheetData sheetId="61">
        <row r="15">
          <cell r="B15" t="str">
            <v>341850463</v>
          </cell>
        </row>
      </sheetData>
      <sheetData sheetId="62"/>
      <sheetData sheetId="63"/>
      <sheetData sheetId="64"/>
      <sheetData sheetId="65"/>
      <sheetData sheetId="66"/>
      <sheetData sheetId="6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c. acu"/>
      <sheetName val="Bl d C ac"/>
      <sheetName val="Gtos"/>
      <sheetName val="ENERO"/>
      <sheetName val="ASIENTOS"/>
      <sheetName val="MAYORES"/>
      <sheetName val="BALANCE DE COMPROBACIÓN "/>
      <sheetName val="BALANCE GENERAL "/>
      <sheetName val="102 TES ENERO"/>
      <sheetName val="214 BM ENERO"/>
      <sheetName val="214 BM ENERO,"/>
      <sheetName val="216 PA ENERO "/>
      <sheetName val="BALANCE DE COMPROBACIÓN AC."/>
      <sheetName val="BALANCE GENERAL AC."/>
      <sheetName val="101 ORDEN DE PAGO"/>
      <sheetName val="Hoja4"/>
      <sheetName val="LIB. BANCO 196"/>
      <sheetName val="LIB. BANCO 5889"/>
      <sheetName val="LIB. BANCO 0116"/>
      <sheetName val="Hoja1"/>
      <sheetName val="SALDOS DE LAS DISTINTAS CUENTAS"/>
      <sheetName val="RELACIÓN DE INGRESOS Y EGRE "/>
    </sheetNames>
    <sheetDataSet>
      <sheetData sheetId="0"/>
      <sheetData sheetId="1"/>
      <sheetData sheetId="2"/>
      <sheetData sheetId="3"/>
      <sheetData sheetId="4"/>
      <sheetData sheetId="5"/>
      <sheetData sheetId="6"/>
      <sheetData sheetId="7">
        <row r="3">
          <cell r="A3" t="str">
            <v>DIRECCIÓN DE ADMINISTRACIÓN-UNIDAD DE CONTABILIDAD</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CHA"/>
      <sheetName val="JUNIO"/>
      <sheetName val="ASIENTOS"/>
      <sheetName val="MAYORES"/>
      <sheetName val="BALANCE DE COMPROBACIÓN"/>
      <sheetName val="Blc. acu"/>
      <sheetName val="Bl d C ac"/>
      <sheetName val="BALANCE GENERAL"/>
      <sheetName val="Gtos"/>
      <sheetName val="102"/>
      <sheetName val="132ft"/>
      <sheetName val="133 D T"/>
      <sheetName val="LIB. BANCO 328 MAY"/>
      <sheetName val="RELA. GTOS 328"/>
      <sheetName val="CH. ANUL.328"/>
      <sheetName val="C. TRANS. 328 "/>
      <sheetName val="CON. BANC.328 "/>
      <sheetName val="LIB. BANCO 499 MAY"/>
      <sheetName val="RELA. GTOS 499"/>
      <sheetName val="CH. ANUL.499"/>
      <sheetName val="C. TRANS. 499"/>
      <sheetName val="CON. BANC.499"/>
      <sheetName val="LIB. BANCO 216 MAY"/>
      <sheetName val="RELA. GTOS 216"/>
      <sheetName val="CH. ANUL216"/>
      <sheetName val="C. TRANS. 216"/>
      <sheetName val="CON. BANC.216"/>
      <sheetName val="LIB. BANCO 196 MAY"/>
      <sheetName val="RELA. GTOS 196"/>
      <sheetName val="CH. ANUL 196)"/>
      <sheetName val="C. TRANS. 196"/>
      <sheetName val="CON. BANC.196"/>
      <sheetName val="LIB. BANCO 423 MAY"/>
      <sheetName val="RELA. GTOS 423"/>
      <sheetName val="CH. ANUL 423"/>
      <sheetName val="C. TRANS. 423"/>
      <sheetName val="CON. BANC.423"/>
      <sheetName val="LIB. BANCO 5007 MAY"/>
      <sheetName val="CON. BANC.5007"/>
      <sheetName val="ingresos"/>
      <sheetName val="Hoja1"/>
    </sheetNames>
    <sheetDataSet>
      <sheetData sheetId="0" refreshError="1"/>
      <sheetData sheetId="1" refreshError="1"/>
      <sheetData sheetId="2" refreshError="1"/>
      <sheetData sheetId="3">
        <row r="1">
          <cell r="A1" t="str">
            <v>REPÚBLICA BOLIVARIANA DE VENEZUELA</v>
          </cell>
        </row>
        <row r="2">
          <cell r="A2" t="str">
            <v>SERVICIO ADMINISTRATIVO DE PROTECCIÓN DEL NIÑO, NIÑA Y ADOLESCENTE DEL ESTADO TRUJILLO</v>
          </cell>
        </row>
        <row r="3">
          <cell r="A3" t="str">
            <v>DIRECCIÓN DE ADMINISTRACIÓN - UNIDAD DE CONTABILIDAD</v>
          </cell>
        </row>
      </sheetData>
      <sheetData sheetId="4" refreshError="1"/>
      <sheetData sheetId="5" refreshError="1"/>
      <sheetData sheetId="6" refreshError="1"/>
      <sheetData sheetId="7">
        <row r="1">
          <cell r="A1" t="str">
            <v>REPÚBLICA BOLIVARIANA DE VENEZUELA</v>
          </cell>
        </row>
        <row r="2">
          <cell r="A2" t="str">
            <v>SERVICIO ADMINISTRATIVO DE PROTECCIÓN DEL NIÑO, NIÑA Y ADOLESCENTE DEL ESTADO TRUJILLO</v>
          </cell>
        </row>
        <row r="3">
          <cell r="A3" t="str">
            <v>DIRECCION DE ADMINISTRACION-UNIDAD DE CONTABILIDAD</v>
          </cell>
        </row>
        <row r="5">
          <cell r="A5" t="str">
            <v>BALANCE   GENERAL</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CHA"/>
      <sheetName val="Blc. acu"/>
      <sheetName val="Bl d C ac"/>
      <sheetName val="Gtos"/>
      <sheetName val="DICIEMBRE"/>
      <sheetName val="ASIENTOS  "/>
      <sheetName val="MAYORES"/>
      <sheetName val="BALANCE DE COMPROBACIÓN  (2)"/>
      <sheetName val="BALANCE GENERAL "/>
      <sheetName val="214 BM DICIEMBRE"/>
      <sheetName val="216 PA SEPTIEMBRE"/>
      <sheetName val="BAL. AC. "/>
      <sheetName val="BALANCE DE COMPROBACIÓN AC."/>
      <sheetName val="BALANCE GENERAL AC."/>
      <sheetName val="102 TES  (3)"/>
      <sheetName val="102 TES  (2)"/>
      <sheetName val="102 TES "/>
      <sheetName val="200 SF"/>
      <sheetName val="Hoja1"/>
      <sheetName val="Hoja2"/>
      <sheetName val="SALDOS DE LAS CTAS. A EN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4">
          <cell r="A14" t="str">
            <v>ALIMENTOS NO PERECEDEROS (UEPS)</v>
          </cell>
        </row>
        <row r="17">
          <cell r="A17" t="str">
            <v xml:space="preserve">PRODUCTOS FARMACÉUTICOS </v>
          </cell>
        </row>
        <row r="18">
          <cell r="A18" t="str">
            <v>PRODUCTOS FARMACÉUTICOS (DONACIÓN)</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c. acu"/>
      <sheetName val="Bl d C ac"/>
      <sheetName val="Gtos"/>
      <sheetName val="DICIEMBRE"/>
      <sheetName val="ASIENTOS  "/>
      <sheetName val="MAYORES"/>
      <sheetName val="BALANCE DE COMPROBACIÓN"/>
      <sheetName val="BALANCE GENERAL "/>
      <sheetName val="102 TES DICIEMBRE"/>
      <sheetName val="214 BM DICIEMBRE"/>
      <sheetName val="216 PA DICIEMBRE"/>
      <sheetName val="BAL. AC. "/>
      <sheetName val="BALANCE DE COMPROBACIÓN AC."/>
      <sheetName val="BALANCE GENERAL AC."/>
      <sheetName val="Hoja1"/>
    </sheetNames>
    <sheetDataSet>
      <sheetData sheetId="0"/>
      <sheetData sheetId="1"/>
      <sheetData sheetId="2"/>
      <sheetData sheetId="3">
        <row r="37">
          <cell r="O37">
            <v>1704856.05</v>
          </cell>
        </row>
      </sheetData>
      <sheetData sheetId="4"/>
      <sheetData sheetId="5"/>
      <sheetData sheetId="6"/>
      <sheetData sheetId="7"/>
      <sheetData sheetId="8"/>
      <sheetData sheetId="9"/>
      <sheetData sheetId="10">
        <row r="16">
          <cell r="B16" t="str">
            <v>ALIMENTOS Y BEBIDAS PEDECEDEROS Y NO PEDECEDEROS (PEPS)</v>
          </cell>
        </row>
      </sheetData>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CHA"/>
      <sheetName val="Blc. acu"/>
      <sheetName val="Bl d C ac"/>
      <sheetName val="Gtos"/>
      <sheetName val="DICIEMBRE"/>
      <sheetName val="ASIENTOS  "/>
      <sheetName val="MAYORES"/>
      <sheetName val="BALANCE DE COMPROBACIÓN"/>
      <sheetName val="BALANCE GENERAL "/>
      <sheetName val="BAL. AC. "/>
      <sheetName val="BALANCE DE COMPROBACIÓN AC."/>
      <sheetName val="BALANCE GENERAL AC."/>
      <sheetName val="102 TG "/>
      <sheetName val="132 FT "/>
      <sheetName val="133 DT"/>
      <sheetName val="216 PA "/>
      <sheetName val="214 BM"/>
      <sheetName val="LIB. BANCO 328 "/>
      <sheetName val="RELA. GTOS 328 "/>
      <sheetName val="CH. ANUL. 328"/>
      <sheetName val="C. TRANS. 328 "/>
      <sheetName val="CONC. BAN  328 "/>
      <sheetName val="LIB. BANCO 499"/>
      <sheetName val="RELA. GTOS 499"/>
      <sheetName val="CH. ANUL. 499"/>
      <sheetName val="C. TRANS. 499"/>
      <sheetName val="CONC. BAN 499"/>
      <sheetName val="LIB. BANCO 216"/>
      <sheetName val="RELA. GTOS 216"/>
      <sheetName val="CH. ANUL. 216"/>
      <sheetName val="C. TRANS. 216"/>
      <sheetName val="CONC. BAN 216"/>
      <sheetName val="LIB. BANCO 0116"/>
      <sheetName val="RELA. GTOS 0116"/>
      <sheetName val="CH. ANUL. 0116"/>
      <sheetName val="C. TRANS. 0116"/>
      <sheetName val="CONC. BAN 0116"/>
      <sheetName val="LIB. BANCO 196"/>
      <sheetName val="RELA. GTOS 196"/>
      <sheetName val="CH. ANUL. 196"/>
      <sheetName val="C. TRANS. 196"/>
      <sheetName val="CONC. BAN 196"/>
      <sheetName val="LIB. BANCO 5889"/>
      <sheetName val="RELA. GTOS 5889"/>
      <sheetName val="CH. ANUL. 5889"/>
      <sheetName val="C. TRANS. 5889"/>
      <sheetName val="CONC. BAN 5889"/>
      <sheetName val="LIB. BANCO 5007"/>
      <sheetName val="CONC. BAN 5007"/>
      <sheetName val="ESTRUCTURA DE INGRESOS"/>
      <sheetName val="Hoja1"/>
      <sheetName val="RELACIÓN DE INGRESOS Y EGRESOS "/>
      <sheetName val="SALDOS DE LAS DISTINTAS CUENTAS"/>
      <sheetName val="ACTIVOS EN DESUSO"/>
      <sheetName val="SALDOS DE LAS CTAS. AL 31-1 (2)"/>
      <sheetName val="SALDOS DE LAS CTAS. A ENRO"/>
      <sheetName val="RELACIÓN DE FONDOS PROPIOS 2017"/>
      <sheetName val="RELACION DE FP SOLO GRANJA"/>
      <sheetName val="RELACION SOLO PARQUES"/>
      <sheetName val="RELACION SOLO TALLERES"/>
      <sheetName val="RELACION INGR DE CRS"/>
      <sheetName val="RELACION INGR DE CRS (2)"/>
      <sheetName val="214 BM "/>
      <sheetName val="RELACIÓN DE FONDOS PROPIOS 2016"/>
    </sheetNames>
    <sheetDataSet>
      <sheetData sheetId="0">
        <row r="2">
          <cell r="B2">
            <v>42766</v>
          </cell>
        </row>
      </sheetData>
      <sheetData sheetId="1"/>
      <sheetData sheetId="2"/>
      <sheetData sheetId="3"/>
      <sheetData sheetId="4">
        <row r="8">
          <cell r="C8">
            <v>263893311</v>
          </cell>
        </row>
      </sheetData>
      <sheetData sheetId="5">
        <row r="72">
          <cell r="E72">
            <v>1422064.69</v>
          </cell>
        </row>
      </sheetData>
      <sheetData sheetId="6">
        <row r="9">
          <cell r="K9">
            <v>9999.0000000176951</v>
          </cell>
        </row>
      </sheetData>
      <sheetData sheetId="7">
        <row r="11">
          <cell r="E11">
            <v>702344069.73000002</v>
          </cell>
        </row>
      </sheetData>
      <sheetData sheetId="8">
        <row r="19">
          <cell r="D19">
            <v>8057645.1600000001</v>
          </cell>
        </row>
      </sheetData>
      <sheetData sheetId="9"/>
      <sheetData sheetId="10"/>
      <sheetData sheetId="11"/>
      <sheetData sheetId="12"/>
      <sheetData sheetId="13"/>
      <sheetData sheetId="14"/>
      <sheetData sheetId="15">
        <row r="14">
          <cell r="C14" t="str">
            <v>ENERO Bs. DCS-DA-001</v>
          </cell>
        </row>
      </sheetData>
      <sheetData sheetId="16">
        <row r="23">
          <cell r="D23">
            <v>8057645.1600000001</v>
          </cell>
        </row>
      </sheetData>
      <sheetData sheetId="17">
        <row r="10">
          <cell r="G10">
            <v>3300.1799999596551</v>
          </cell>
        </row>
      </sheetData>
      <sheetData sheetId="18"/>
      <sheetData sheetId="19"/>
      <sheetData sheetId="20">
        <row r="12">
          <cell r="B12">
            <v>42667</v>
          </cell>
        </row>
      </sheetData>
      <sheetData sheetId="21"/>
      <sheetData sheetId="22">
        <row r="10">
          <cell r="G10">
            <v>102192.02999999438</v>
          </cell>
        </row>
      </sheetData>
      <sheetData sheetId="23"/>
      <sheetData sheetId="24"/>
      <sheetData sheetId="25">
        <row r="10">
          <cell r="B10">
            <v>42101</v>
          </cell>
        </row>
      </sheetData>
      <sheetData sheetId="26"/>
      <sheetData sheetId="27">
        <row r="10">
          <cell r="G10">
            <v>1422064.69</v>
          </cell>
        </row>
      </sheetData>
      <sheetData sheetId="28"/>
      <sheetData sheetId="29"/>
      <sheetData sheetId="30"/>
      <sheetData sheetId="31"/>
      <sheetData sheetId="32">
        <row r="10">
          <cell r="G10">
            <v>949893.06</v>
          </cell>
        </row>
      </sheetData>
      <sheetData sheetId="33">
        <row r="103">
          <cell r="H103">
            <v>99</v>
          </cell>
        </row>
      </sheetData>
      <sheetData sheetId="34"/>
      <sheetData sheetId="35"/>
      <sheetData sheetId="36"/>
      <sheetData sheetId="37">
        <row r="10">
          <cell r="G10">
            <v>218748.16999999949</v>
          </cell>
        </row>
      </sheetData>
      <sheetData sheetId="38"/>
      <sheetData sheetId="39"/>
      <sheetData sheetId="40"/>
      <sheetData sheetId="41"/>
      <sheetData sheetId="42">
        <row r="10">
          <cell r="G10">
            <v>7629.3699999998498</v>
          </cell>
        </row>
      </sheetData>
      <sheetData sheetId="43"/>
      <sheetData sheetId="44"/>
      <sheetData sheetId="45"/>
      <sheetData sheetId="46"/>
      <sheetData sheetId="47">
        <row r="10">
          <cell r="G10">
            <v>14457.47</v>
          </cell>
        </row>
      </sheetData>
      <sheetData sheetId="48"/>
      <sheetData sheetId="49"/>
      <sheetData sheetId="50"/>
      <sheetData sheetId="51">
        <row r="4">
          <cell r="R4" t="str">
            <v>N/C - 001</v>
          </cell>
        </row>
      </sheetData>
      <sheetData sheetId="52"/>
      <sheetData sheetId="53">
        <row r="23">
          <cell r="C23">
            <v>193250.86000000002</v>
          </cell>
        </row>
      </sheetData>
      <sheetData sheetId="54">
        <row r="12">
          <cell r="C12">
            <v>240936.00999999934</v>
          </cell>
        </row>
        <row r="60">
          <cell r="C60" t="str">
            <v>103 - GASTOS POR PAGAR</v>
          </cell>
        </row>
      </sheetData>
      <sheetData sheetId="55"/>
      <sheetData sheetId="56">
        <row r="5">
          <cell r="B5" t="str">
            <v>341640636</v>
          </cell>
        </row>
      </sheetData>
      <sheetData sheetId="57"/>
      <sheetData sheetId="58"/>
      <sheetData sheetId="59"/>
      <sheetData sheetId="60"/>
      <sheetData sheetId="61"/>
      <sheetData sheetId="62" refreshError="1"/>
      <sheetData sheetId="6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c. acu"/>
      <sheetName val="Bl d C ac"/>
      <sheetName val="Gtos"/>
      <sheetName val="DICIEMBRE"/>
      <sheetName val="ASIENTOS  "/>
      <sheetName val="MAYORES"/>
      <sheetName val="BALANCE DE COMPROBACIÓN"/>
      <sheetName val="BALANCE GENERAL "/>
      <sheetName val="102 TES DICIEMBRE"/>
      <sheetName val="214 BM DICIEMBRE"/>
      <sheetName val="216 PA AGOSTO"/>
      <sheetName val="BAL. AC. "/>
      <sheetName val="BALANCE DE COMPROBACIÓN AC."/>
      <sheetName val="BALANCE GENERAL AC."/>
      <sheetName val="Hoja1"/>
      <sheetName val="Hoja2"/>
    </sheetNames>
    <sheetDataSet>
      <sheetData sheetId="0"/>
      <sheetData sheetId="1"/>
      <sheetData sheetId="2"/>
      <sheetData sheetId="3">
        <row r="14">
          <cell r="L14">
            <v>1806137.6199999999</v>
          </cell>
        </row>
      </sheetData>
      <sheetData sheetId="4">
        <row r="58">
          <cell r="E58">
            <v>456580.4</v>
          </cell>
        </row>
      </sheetData>
      <sheetData sheetId="5">
        <row r="26">
          <cell r="F26">
            <v>1428.8014999999723</v>
          </cell>
        </row>
        <row r="105">
          <cell r="N105">
            <v>0</v>
          </cell>
        </row>
      </sheetData>
      <sheetData sheetId="6"/>
      <sheetData sheetId="7"/>
      <sheetData sheetId="8"/>
      <sheetData sheetId="9"/>
      <sheetData sheetId="10">
        <row r="14">
          <cell r="D14">
            <v>2540.08</v>
          </cell>
        </row>
      </sheetData>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c. acu"/>
      <sheetName val="Bl d C ac"/>
      <sheetName val="Gtos"/>
      <sheetName val="BALANCE DE COMPROBACIÓN AC."/>
      <sheetName val="BALANCE GENERAL AC."/>
      <sheetName val="LIB. BANCO 196 "/>
      <sheetName val="RELA. GTOS 196"/>
      <sheetName val="C. TRANS. 196 "/>
      <sheetName val="CH. ANUL. 196"/>
      <sheetName val="CONC. BAN 196"/>
      <sheetName val="Hoja1"/>
      <sheetName val="Hoja2"/>
    </sheetNames>
    <sheetDataSet>
      <sheetData sheetId="0"/>
      <sheetData sheetId="1"/>
      <sheetData sheetId="2"/>
      <sheetData sheetId="3"/>
      <sheetData sheetId="4"/>
      <sheetData sheetId="5">
        <row r="11">
          <cell r="G11">
            <v>761.36</v>
          </cell>
        </row>
        <row r="155">
          <cell r="H155">
            <v>1473743.8800000001</v>
          </cell>
        </row>
      </sheetData>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c. acu"/>
      <sheetName val="Bl d C ac"/>
      <sheetName val="Gtos"/>
      <sheetName val="NOVIEMBRE"/>
      <sheetName val="ASIENTOS  "/>
      <sheetName val="MAYORES"/>
      <sheetName val="BALANCE DE COMPROBACIÓN"/>
      <sheetName val="BALANCE GENERAL "/>
      <sheetName val="102 TES AGOSTO"/>
      <sheetName val="214 BM AGOSTO"/>
      <sheetName val="216 PA AGOSTO"/>
      <sheetName val="BAL. AC. "/>
      <sheetName val="BALANCE DE COMPROBACIÓN AC."/>
      <sheetName val="BALANCE GENERAL AC."/>
      <sheetName val="Hoja1"/>
      <sheetName val="Hoja2"/>
    </sheetNames>
    <sheetDataSet>
      <sheetData sheetId="0" refreshError="1"/>
      <sheetData sheetId="1" refreshError="1"/>
      <sheetData sheetId="2" refreshError="1"/>
      <sheetData sheetId="3" refreshError="1"/>
      <sheetData sheetId="4" refreshError="1"/>
      <sheetData sheetId="5">
        <row r="83">
          <cell r="N83">
            <v>1373512.0699999998</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CHA"/>
      <sheetName val="Blc. acu"/>
      <sheetName val="Bl d C ac"/>
      <sheetName val="Gtos"/>
      <sheetName val="DICIEMBRE"/>
      <sheetName val="ASIENTOS  "/>
      <sheetName val="MAYORES"/>
      <sheetName val="102 TES"/>
      <sheetName val="BALANCE DE COMPROBACIÓN "/>
      <sheetName val="BALANCE GENERAL "/>
      <sheetName val="214 BM DICIEMBRE"/>
      <sheetName val="214 BM DICIEMBRE (2)"/>
      <sheetName val="ACTIVOS EN DESUSO  "/>
      <sheetName val="ACTIVOS EN USO  "/>
      <sheetName val="BALANCE DE COMPROBACIÓN AC."/>
      <sheetName val="BALANCE GENERAL AC."/>
      <sheetName val="216 PA NOVIEMBRE"/>
      <sheetName val="BAL. AC."/>
      <sheetName val="132 FT "/>
      <sheetName val="133 DT"/>
      <sheetName val="Hoja1"/>
      <sheetName val="SALDOS DE LAS DISTINTAS CUENTAS"/>
      <sheetName val="ACTIVOS EN DESUSO (2)"/>
      <sheetName val="SALDOS DE LAS CTAS. AL 31-1 (2)"/>
      <sheetName val="RELACIÓN DE INGRESOS Y EGRE (2)"/>
      <sheetName val="RELACIÓN DE INGRESOS Y EGRE "/>
      <sheetName val="RELACIÓN DE FONDOS PROPIOS 2017"/>
      <sheetName val="RELACION DE FP SOLO GRANJA "/>
      <sheetName val="RELACION SOLO PARQUES "/>
      <sheetName val="RELACION SOLO TALLERES "/>
      <sheetName val="SALDOS DE LAS CTAS. A ENRO"/>
      <sheetName val="OP "/>
      <sheetName val="Hoja2"/>
      <sheetName val="GASTOS DEL FONA 2017"/>
      <sheetName val="GASTOS DEL FONA 2017 (2)"/>
      <sheetName val="Hoja3"/>
      <sheetName val="Hoja4"/>
      <sheetName val="JULIO (2)"/>
      <sheetName val="RELAC. DE ING. Y EGRE (2017)"/>
    </sheetNames>
    <sheetDataSet>
      <sheetData sheetId="0">
        <row r="3">
          <cell r="B3">
            <v>43434</v>
          </cell>
        </row>
      </sheetData>
      <sheetData sheetId="1"/>
      <sheetData sheetId="2"/>
      <sheetData sheetId="3"/>
      <sheetData sheetId="4">
        <row r="12">
          <cell r="M12">
            <v>12</v>
          </cell>
        </row>
      </sheetData>
      <sheetData sheetId="5">
        <row r="75">
          <cell r="D75">
            <v>5485923.5399999982</v>
          </cell>
        </row>
      </sheetData>
      <sheetData sheetId="6">
        <row r="25">
          <cell r="N25">
            <v>2065962.7736791987</v>
          </cell>
        </row>
        <row r="131">
          <cell r="N131">
            <v>-4.6568651712597386E-15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c. acu"/>
      <sheetName val="Bl d C ac"/>
      <sheetName val="Gtos"/>
      <sheetName val="NOVIEMBRE"/>
      <sheetName val="ASIENTOS  "/>
      <sheetName val="MAYORES"/>
      <sheetName val="102 TES OCTUBRE"/>
      <sheetName val="CIERRE BALANCE DE COMPROBACIÓN"/>
      <sheetName val="CIERRE BALANCE GENERAL "/>
      <sheetName val="214 BM OCTUBRE"/>
      <sheetName val="216 PA OCTUBRE"/>
      <sheetName val="BAL. AC. "/>
      <sheetName val="BALANCE DE COMPROBACIÓN AC."/>
      <sheetName val="BALANCE GENERAL AC."/>
      <sheetName val="200 SF"/>
      <sheetName val="Hoja1"/>
      <sheetName val="Hoja2"/>
      <sheetName val="SALDOS DE LAS CTAS. A EN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0">
          <cell r="E10">
            <v>372.08</v>
          </cell>
        </row>
        <row r="14">
          <cell r="E1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CHA"/>
      <sheetName val="Blc. acu"/>
      <sheetName val="Bl d C ac"/>
      <sheetName val="Gtos"/>
      <sheetName val="ABRIL"/>
      <sheetName val="ASIENTOS   "/>
      <sheetName val="MAYORES"/>
      <sheetName val="BALANCE DE COMPROBACIÓN"/>
      <sheetName val="BALANCE GENERAL "/>
      <sheetName val="BAL. AC. "/>
      <sheetName val="BALANCE DE COMPROBACIÓN AC."/>
      <sheetName val="BALANCE GENERAL AC."/>
      <sheetName val="101 OP"/>
      <sheetName val="102 TES"/>
      <sheetName val="132 FT "/>
      <sheetName val="133 DT"/>
      <sheetName val="216 PA "/>
      <sheetName val="216 PA  (2)"/>
      <sheetName val="214 BM "/>
      <sheetName val="LIB. BANCO 328 "/>
      <sheetName val="RELA. GTOS 328 "/>
      <sheetName val="CH. ANUL. 328"/>
      <sheetName val="C. TRANS. 328 "/>
      <sheetName val="CONC. BAN  328 "/>
      <sheetName val="LIB. BANCO 499"/>
      <sheetName val="RELA. GTOS 499"/>
      <sheetName val="CH. ANUL. 499"/>
      <sheetName val="C. TRANS. 499 "/>
      <sheetName val="CONC. BAN 499"/>
      <sheetName val="LIB. BANCO 216"/>
      <sheetName val="RELA. GTOS 216"/>
      <sheetName val="CH. ANUL. 216"/>
      <sheetName val="C. TRANS. 216 "/>
      <sheetName val="CONC. BAN 216"/>
      <sheetName val="LIB. BANCO 7555"/>
      <sheetName val="RELA. GTOS 7555"/>
      <sheetName val="CH. ANUL. 7555"/>
      <sheetName val="C. TRANS. 7555"/>
      <sheetName val="CONC. BAN 7555"/>
      <sheetName val="LIB. BANCO 196"/>
      <sheetName val="RELA. GTOS 196"/>
      <sheetName val="CH. ANUL. 196"/>
      <sheetName val="C. TRANS. 196 "/>
      <sheetName val="CONC. BAN 196"/>
      <sheetName val="LIB. BANCO 5889"/>
      <sheetName val="RELA. GTOS 5889"/>
      <sheetName val="CH. ANUL. 5889"/>
      <sheetName val="C. TRANS. 5889"/>
      <sheetName val="CONC. BAN 5889"/>
      <sheetName val="LIB. BANCO 0116"/>
      <sheetName val="RELA. GTOS 0116"/>
      <sheetName val="CH. ANUL. 0116"/>
      <sheetName val="C. TRANS. 0116"/>
      <sheetName val="CONC. BAN 0116"/>
      <sheetName val="LIB. BANCO 5007"/>
      <sheetName val="CONC. BAN 5007"/>
      <sheetName val="Hoja1"/>
      <sheetName val="SALDOS DE LAS DISTINTAS CUENTAS"/>
      <sheetName val="ACTIVOS EN DESUSO"/>
      <sheetName val="SALDOS DE LAS CTAS. AL 31-1 (2)"/>
      <sheetName val="RELACIÓN DE INGRESOS Y EGRE "/>
      <sheetName val="RELACIÓN DE FONDOS PROPIOS 2017"/>
      <sheetName val="RELACION DE FP SOLO GRANJA "/>
      <sheetName val="RELACION SOLO PARQUES"/>
      <sheetName val="RELACION SOLO TALLERES"/>
      <sheetName val="SALDOS DE LAS CTAS. A ENRO"/>
      <sheetName val="Hoja2"/>
      <sheetName val="OP "/>
    </sheetNames>
    <sheetDataSet>
      <sheetData sheetId="0">
        <row r="2">
          <cell r="B2">
            <v>42855</v>
          </cell>
        </row>
      </sheetData>
      <sheetData sheetId="1"/>
      <sheetData sheetId="2"/>
      <sheetData sheetId="3"/>
      <sheetData sheetId="4">
        <row r="37">
          <cell r="L37">
            <v>88380883.090000004</v>
          </cell>
        </row>
      </sheetData>
      <sheetData sheetId="5">
        <row r="83">
          <cell r="E83">
            <v>95320199.820000008</v>
          </cell>
        </row>
      </sheetData>
      <sheetData sheetId="6">
        <row r="22">
          <cell r="F22">
            <v>24015093.508999974</v>
          </cell>
        </row>
      </sheetData>
      <sheetData sheetId="7"/>
      <sheetData sheetId="8">
        <row r="1">
          <cell r="A1" t="str">
            <v>REPÚBLICA BOLIVARIANA DE VENEZUELA</v>
          </cell>
        </row>
        <row r="2">
          <cell r="A2" t="str">
            <v>SERVICIO ADMINISTRATIVO DE PROTECCIÓN DEL NIÑO, NIÑA Y ADOLESCENTE DEL ESTADO TRUJILLO</v>
          </cell>
        </row>
      </sheetData>
      <sheetData sheetId="9"/>
      <sheetData sheetId="10"/>
      <sheetData sheetId="11"/>
      <sheetData sheetId="12"/>
      <sheetData sheetId="13"/>
      <sheetData sheetId="14"/>
      <sheetData sheetId="15"/>
      <sheetData sheetId="16">
        <row r="16">
          <cell r="C16">
            <v>191875.5</v>
          </cell>
        </row>
      </sheetData>
      <sheetData sheetId="17"/>
      <sheetData sheetId="18">
        <row r="17">
          <cell r="C17">
            <v>453.71</v>
          </cell>
        </row>
      </sheetData>
      <sheetData sheetId="19">
        <row r="11">
          <cell r="D11" t="str">
            <v>REF. 000797981</v>
          </cell>
        </row>
      </sheetData>
      <sheetData sheetId="20"/>
      <sheetData sheetId="21"/>
      <sheetData sheetId="22"/>
      <sheetData sheetId="23"/>
      <sheetData sheetId="24">
        <row r="34">
          <cell r="D34" t="str">
            <v>496791994</v>
          </cell>
        </row>
      </sheetData>
      <sheetData sheetId="25"/>
      <sheetData sheetId="26"/>
      <sheetData sheetId="27"/>
      <sheetData sheetId="28"/>
      <sheetData sheetId="29">
        <row r="11">
          <cell r="B11">
            <v>42846</v>
          </cell>
        </row>
      </sheetData>
      <sheetData sheetId="30"/>
      <sheetData sheetId="31"/>
      <sheetData sheetId="32"/>
      <sheetData sheetId="33"/>
      <sheetData sheetId="34">
        <row r="91">
          <cell r="H91">
            <v>1999472.61</v>
          </cell>
        </row>
      </sheetData>
      <sheetData sheetId="35"/>
      <sheetData sheetId="36"/>
      <sheetData sheetId="37"/>
      <sheetData sheetId="38"/>
      <sheetData sheetId="39">
        <row r="11">
          <cell r="G11">
            <v>2128</v>
          </cell>
        </row>
      </sheetData>
      <sheetData sheetId="40"/>
      <sheetData sheetId="41"/>
      <sheetData sheetId="42"/>
      <sheetData sheetId="43"/>
      <sheetData sheetId="44">
        <row r="11">
          <cell r="D11" t="str">
            <v>308842883</v>
          </cell>
        </row>
      </sheetData>
      <sheetData sheetId="45"/>
      <sheetData sheetId="46"/>
      <sheetData sheetId="47"/>
      <sheetData sheetId="48"/>
      <sheetData sheetId="49">
        <row r="11">
          <cell r="D11" t="str">
            <v>308912885</v>
          </cell>
        </row>
      </sheetData>
      <sheetData sheetId="50"/>
      <sheetData sheetId="51"/>
      <sheetData sheetId="52"/>
      <sheetData sheetId="53"/>
      <sheetData sheetId="54">
        <row r="91">
          <cell r="I91">
            <v>14457.47</v>
          </cell>
        </row>
      </sheetData>
      <sheetData sheetId="55"/>
      <sheetData sheetId="56"/>
      <sheetData sheetId="57"/>
      <sheetData sheetId="58"/>
      <sheetData sheetId="59"/>
      <sheetData sheetId="60"/>
      <sheetData sheetId="61">
        <row r="15">
          <cell r="B15" t="str">
            <v>341850463</v>
          </cell>
        </row>
      </sheetData>
      <sheetData sheetId="62"/>
      <sheetData sheetId="63"/>
      <sheetData sheetId="64"/>
      <sheetData sheetId="65"/>
      <sheetData sheetId="66"/>
      <sheetData sheetId="6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c. acu"/>
      <sheetName val="Bl d C ac"/>
      <sheetName val="Gtos"/>
      <sheetName val="ENERO"/>
      <sheetName val="ASIENTOS"/>
      <sheetName val="MAYORES"/>
      <sheetName val="BALANCE DE COMPROBACIÓN "/>
      <sheetName val="BALANCE GENERAL "/>
      <sheetName val="102 TES ENERO"/>
      <sheetName val="214 BM ENERO"/>
      <sheetName val="214 BM ENERO,"/>
      <sheetName val="216 PA ENERO "/>
      <sheetName val="BALANCE DE COMPROBACIÓN AC."/>
      <sheetName val="BALANCE GENERAL AC."/>
      <sheetName val="101 ORDEN DE PAGO"/>
      <sheetName val="Hoja4"/>
      <sheetName val="LIB. BANCO 196"/>
      <sheetName val="LIB. BANCO 5889"/>
      <sheetName val="LIB. BANCO 0116"/>
      <sheetName val="Hoja1"/>
      <sheetName val="SALDOS DE LAS DISTINTAS CUENTAS"/>
      <sheetName val="RELACIÓN DE INGRESOS Y EGRE "/>
    </sheetNames>
    <sheetDataSet>
      <sheetData sheetId="0"/>
      <sheetData sheetId="1"/>
      <sheetData sheetId="2"/>
      <sheetData sheetId="3">
        <row r="37">
          <cell r="M37">
            <v>11070144671.49</v>
          </cell>
        </row>
      </sheetData>
      <sheetData sheetId="4"/>
      <sheetData sheetId="5">
        <row r="78">
          <cell r="P78">
            <v>11070144671.49</v>
          </cell>
        </row>
      </sheetData>
      <sheetData sheetId="6">
        <row r="27">
          <cell r="E27">
            <v>383372022627.14001</v>
          </cell>
        </row>
      </sheetData>
      <sheetData sheetId="7">
        <row r="3">
          <cell r="A3" t="str">
            <v>DIRECCIÓN DE ADMINISTRACIÓN-UNIDAD DE CONTABILIDAD</v>
          </cell>
          <cell r="B3">
            <v>0</v>
          </cell>
          <cell r="C3">
            <v>0</v>
          </cell>
          <cell r="D3">
            <v>0</v>
          </cell>
          <cell r="E3">
            <v>0</v>
          </cell>
          <cell r="F3">
            <v>0</v>
          </cell>
          <cell r="G3">
            <v>0</v>
          </cell>
          <cell r="H3">
            <v>0</v>
          </cell>
          <cell r="I3">
            <v>0</v>
          </cell>
        </row>
      </sheetData>
      <sheetData sheetId="8"/>
      <sheetData sheetId="9">
        <row r="28">
          <cell r="F28">
            <v>4991165337.5995798</v>
          </cell>
        </row>
      </sheetData>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c. acu"/>
      <sheetName val="Bl d C ac"/>
      <sheetName val="Gtos"/>
      <sheetName val="DICIEMBRE"/>
      <sheetName val="ASIENTOS  "/>
      <sheetName val="MAYORES"/>
      <sheetName val="BALANCE DE COMPROBACIÓN"/>
      <sheetName val="BALANCE GENERAL "/>
      <sheetName val="102 TES DICIEMBRE"/>
      <sheetName val="132 F.T. NOVIEMBRE"/>
      <sheetName val="214 BM NOVIEMBRE"/>
      <sheetName val="216 PA NOVIEMBRE"/>
      <sheetName val="BAL. AC. "/>
      <sheetName val="BALANCE DE COMPROBACIÓN AC."/>
      <sheetName val="BALANCE GENERAL AC."/>
      <sheetName val="Hoja1"/>
      <sheetName val="122 INGRESOS POR RECAUDAR NOVIE"/>
      <sheetName val="301 INGRESOS ORDINARIOS NOVIEMB"/>
      <sheetName val="Hoja2"/>
    </sheetNames>
    <sheetDataSet>
      <sheetData sheetId="0" refreshError="1"/>
      <sheetData sheetId="1" refreshError="1"/>
      <sheetData sheetId="2" refreshError="1"/>
      <sheetData sheetId="3" refreshError="1"/>
      <sheetData sheetId="4" refreshError="1"/>
      <sheetData sheetId="5" refreshError="1">
        <row r="26">
          <cell r="N26">
            <v>0</v>
          </cell>
        </row>
        <row r="42">
          <cell r="F42">
            <v>61484.600000000006</v>
          </cell>
        </row>
      </sheetData>
      <sheetData sheetId="6" refreshError="1"/>
      <sheetData sheetId="7" refreshError="1">
        <row r="39">
          <cell r="A39" t="str">
            <v xml:space="preserve">LCDO. ALEXANDER BRICEÑO </v>
          </cell>
          <cell r="B39">
            <v>0</v>
          </cell>
          <cell r="C39">
            <v>0</v>
          </cell>
        </row>
      </sheetData>
      <sheetData sheetId="8" refreshError="1"/>
      <sheetData sheetId="9" refreshError="1">
        <row r="3">
          <cell r="A3" t="str">
            <v>REPÚBLICA BOLIVARIANA DE VENEZUELA</v>
          </cell>
          <cell r="B3">
            <v>0</v>
          </cell>
        </row>
        <row r="4">
          <cell r="A4" t="str">
            <v>SERVICIO ADMINISTRATIVO DE PROTECCIÓN DEL NIÑO, NIÑA Y ADOLESCENTE DEL ESTADO TRUJILLO</v>
          </cell>
          <cell r="B4">
            <v>0</v>
          </cell>
        </row>
        <row r="5">
          <cell r="A5" t="str">
            <v>DIRECCIÓN DE ADMINISTRACIÓN-UNIDAD DE CONTABILIDAD</v>
          </cell>
          <cell r="B5">
            <v>0</v>
          </cell>
        </row>
        <row r="30">
          <cell r="B30" t="str">
            <v>LCDA. MIRIAN MENDOZA</v>
          </cell>
        </row>
        <row r="31">
          <cell r="A31" t="str">
            <v>ADMINISTRADOR I</v>
          </cell>
          <cell r="B31" t="str">
            <v>JEFA (E) DE DIRECCIÓN DE ADMINISTRACIÓN</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F277"/>
  <sheetViews>
    <sheetView workbookViewId="0"/>
  </sheetViews>
  <sheetFormatPr baseColWidth="10" defaultRowHeight="15" x14ac:dyDescent="0.25"/>
  <sheetData>
    <row r="1" spans="1:6" ht="64.5" x14ac:dyDescent="0.25">
      <c r="A1" s="46"/>
      <c r="B1" s="253" t="s">
        <v>0</v>
      </c>
      <c r="C1" s="253"/>
      <c r="D1" s="253"/>
      <c r="E1" s="253"/>
    </row>
    <row r="2" spans="1:6" ht="115.5" x14ac:dyDescent="0.25">
      <c r="A2" s="46"/>
      <c r="B2" s="253" t="s">
        <v>73</v>
      </c>
      <c r="C2" s="253"/>
      <c r="D2" s="253"/>
      <c r="E2" s="253"/>
    </row>
    <row r="3" spans="1:6" ht="90" x14ac:dyDescent="0.25">
      <c r="A3" s="46"/>
      <c r="B3" s="253" t="s">
        <v>76</v>
      </c>
      <c r="C3" s="253"/>
      <c r="D3" s="253"/>
      <c r="E3" s="253"/>
    </row>
    <row r="4" spans="1:6" ht="15.75" x14ac:dyDescent="0.25">
      <c r="A4" s="88"/>
      <c r="B4" s="88"/>
      <c r="C4" s="88"/>
      <c r="D4" s="4"/>
      <c r="E4" s="5"/>
      <c r="F4" s="55"/>
    </row>
    <row r="5" spans="1:6" x14ac:dyDescent="0.25">
      <c r="A5" s="252" t="s">
        <v>82</v>
      </c>
      <c r="B5" s="252"/>
      <c r="C5" s="252"/>
      <c r="D5" s="252"/>
      <c r="E5" s="252"/>
      <c r="F5" s="252"/>
    </row>
    <row r="6" spans="1:6" x14ac:dyDescent="0.25">
      <c r="A6" s="37"/>
      <c r="B6" s="6"/>
      <c r="C6" s="7"/>
      <c r="D6" s="7"/>
      <c r="E6" s="7"/>
      <c r="F6" s="55"/>
    </row>
    <row r="7" spans="1:6" ht="15.75" x14ac:dyDescent="0.25">
      <c r="A7" s="1"/>
      <c r="B7" s="9" t="s">
        <v>16</v>
      </c>
      <c r="C7" s="7"/>
      <c r="D7" s="7"/>
      <c r="E7" s="7"/>
      <c r="F7" s="55"/>
    </row>
    <row r="8" spans="1:6" x14ac:dyDescent="0.25">
      <c r="A8" s="37"/>
      <c r="B8" s="90" t="s">
        <v>18</v>
      </c>
      <c r="C8" s="91" t="s">
        <v>19</v>
      </c>
      <c r="D8" s="91" t="s">
        <v>10</v>
      </c>
      <c r="E8" s="91" t="s">
        <v>11</v>
      </c>
      <c r="F8" s="92" t="s">
        <v>20</v>
      </c>
    </row>
    <row r="9" spans="1:6" x14ac:dyDescent="0.25">
      <c r="A9" s="37"/>
      <c r="B9" s="66" t="s">
        <v>72</v>
      </c>
      <c r="C9" s="12" t="e">
        <f>#REF!</f>
        <v>#REF!</v>
      </c>
      <c r="D9" s="12"/>
      <c r="E9" s="12"/>
      <c r="F9" s="56" t="e">
        <f>C9</f>
        <v>#REF!</v>
      </c>
    </row>
    <row r="10" spans="1:6" x14ac:dyDescent="0.25">
      <c r="A10" s="67">
        <v>41305</v>
      </c>
      <c r="B10" s="17" t="s">
        <v>22</v>
      </c>
      <c r="C10" s="18"/>
      <c r="D10" s="19" t="e">
        <f>#REF!</f>
        <v>#REF!</v>
      </c>
      <c r="E10" s="19" t="e">
        <f>#REF!</f>
        <v>#REF!</v>
      </c>
      <c r="F10" s="58" t="e">
        <f>F9+D10-E10</f>
        <v>#REF!</v>
      </c>
    </row>
    <row r="11" spans="1:6" x14ac:dyDescent="0.25">
      <c r="A11" s="67"/>
      <c r="B11" s="62" t="s">
        <v>22</v>
      </c>
      <c r="C11" s="63"/>
      <c r="D11" s="64"/>
      <c r="E11" s="64"/>
      <c r="F11" s="65" t="e">
        <f>F10+D11-E11</f>
        <v>#REF!</v>
      </c>
    </row>
    <row r="12" spans="1:6" x14ac:dyDescent="0.25">
      <c r="A12" s="67"/>
      <c r="B12" s="14" t="s">
        <v>22</v>
      </c>
      <c r="C12" s="15"/>
      <c r="D12" s="16"/>
      <c r="E12" s="16"/>
      <c r="F12" s="57" t="e">
        <f t="shared" ref="F12:F21" si="0">F11+D12-E12</f>
        <v>#REF!</v>
      </c>
    </row>
    <row r="13" spans="1:6" x14ac:dyDescent="0.25">
      <c r="A13" s="67"/>
      <c r="B13" s="14" t="s">
        <v>22</v>
      </c>
      <c r="C13" s="15"/>
      <c r="D13" s="16"/>
      <c r="E13" s="16"/>
      <c r="F13" s="57" t="e">
        <f t="shared" si="0"/>
        <v>#REF!</v>
      </c>
    </row>
    <row r="14" spans="1:6" x14ac:dyDescent="0.25">
      <c r="A14" s="67"/>
      <c r="B14" s="14" t="s">
        <v>22</v>
      </c>
      <c r="C14" s="15"/>
      <c r="D14" s="16"/>
      <c r="E14" s="16"/>
      <c r="F14" s="57" t="e">
        <f t="shared" si="0"/>
        <v>#REF!</v>
      </c>
    </row>
    <row r="15" spans="1:6" x14ac:dyDescent="0.25">
      <c r="A15" s="67"/>
      <c r="B15" s="14" t="s">
        <v>22</v>
      </c>
      <c r="C15" s="15"/>
      <c r="D15" s="16"/>
      <c r="E15" s="16"/>
      <c r="F15" s="57" t="e">
        <f t="shared" si="0"/>
        <v>#REF!</v>
      </c>
    </row>
    <row r="16" spans="1:6" x14ac:dyDescent="0.25">
      <c r="A16" s="67"/>
      <c r="B16" s="14" t="s">
        <v>22</v>
      </c>
      <c r="C16" s="15"/>
      <c r="D16" s="16"/>
      <c r="E16" s="16"/>
      <c r="F16" s="57" t="e">
        <f t="shared" si="0"/>
        <v>#REF!</v>
      </c>
    </row>
    <row r="17" spans="1:6" x14ac:dyDescent="0.25">
      <c r="A17" s="67"/>
      <c r="B17" s="14" t="s">
        <v>22</v>
      </c>
      <c r="C17" s="15"/>
      <c r="D17" s="16"/>
      <c r="E17" s="16"/>
      <c r="F17" s="57" t="e">
        <f t="shared" si="0"/>
        <v>#REF!</v>
      </c>
    </row>
    <row r="18" spans="1:6" x14ac:dyDescent="0.25">
      <c r="A18" s="67"/>
      <c r="B18" s="14" t="s">
        <v>22</v>
      </c>
      <c r="C18" s="15"/>
      <c r="D18" s="16"/>
      <c r="E18" s="16"/>
      <c r="F18" s="57" t="e">
        <f t="shared" si="0"/>
        <v>#REF!</v>
      </c>
    </row>
    <row r="19" spans="1:6" x14ac:dyDescent="0.25">
      <c r="A19" s="67"/>
      <c r="B19" s="14" t="s">
        <v>22</v>
      </c>
      <c r="C19" s="15"/>
      <c r="D19" s="16"/>
      <c r="E19" s="16"/>
      <c r="F19" s="57" t="e">
        <f t="shared" si="0"/>
        <v>#REF!</v>
      </c>
    </row>
    <row r="20" spans="1:6" x14ac:dyDescent="0.25">
      <c r="A20" s="67"/>
      <c r="B20" s="14" t="s">
        <v>22</v>
      </c>
      <c r="C20" s="15"/>
      <c r="D20" s="16"/>
      <c r="E20" s="16"/>
      <c r="F20" s="57" t="e">
        <f t="shared" si="0"/>
        <v>#REF!</v>
      </c>
    </row>
    <row r="21" spans="1:6" x14ac:dyDescent="0.25">
      <c r="A21" s="67"/>
      <c r="B21" s="17" t="s">
        <v>22</v>
      </c>
      <c r="C21" s="18"/>
      <c r="D21" s="19"/>
      <c r="E21" s="19"/>
      <c r="F21" s="57" t="e">
        <f t="shared" si="0"/>
        <v>#REF!</v>
      </c>
    </row>
    <row r="22" spans="1:6" x14ac:dyDescent="0.25">
      <c r="A22" s="37"/>
      <c r="B22" s="6"/>
      <c r="C22" s="7"/>
      <c r="D22" s="93" t="e">
        <f>SUM(D10:D21)</f>
        <v>#REF!</v>
      </c>
      <c r="E22" s="93" t="e">
        <f>SUM(E10:E21)</f>
        <v>#REF!</v>
      </c>
      <c r="F22" s="55"/>
    </row>
    <row r="24" spans="1:6" ht="15.75" x14ac:dyDescent="0.25">
      <c r="B24" s="9" t="s">
        <v>17</v>
      </c>
    </row>
    <row r="25" spans="1:6" x14ac:dyDescent="0.25">
      <c r="B25" s="90" t="s">
        <v>18</v>
      </c>
      <c r="C25" s="91" t="s">
        <v>19</v>
      </c>
      <c r="D25" s="91" t="s">
        <v>10</v>
      </c>
      <c r="E25" s="91" t="s">
        <v>11</v>
      </c>
      <c r="F25" s="92" t="s">
        <v>20</v>
      </c>
    </row>
    <row r="26" spans="1:6" x14ac:dyDescent="0.25">
      <c r="B26" s="66" t="s">
        <v>72</v>
      </c>
      <c r="C26" s="12" t="e">
        <f>#REF!</f>
        <v>#REF!</v>
      </c>
      <c r="D26" s="12"/>
      <c r="E26" s="12"/>
      <c r="F26" s="56" t="e">
        <f>C26</f>
        <v>#REF!</v>
      </c>
    </row>
    <row r="27" spans="1:6" x14ac:dyDescent="0.25">
      <c r="A27" s="67">
        <v>41305</v>
      </c>
      <c r="B27" s="17" t="s">
        <v>22</v>
      </c>
      <c r="C27" s="18"/>
      <c r="D27" s="19" t="e">
        <f>#REF!</f>
        <v>#REF!</v>
      </c>
      <c r="E27" s="19" t="e">
        <f>#REF!</f>
        <v>#REF!</v>
      </c>
      <c r="F27" s="58" t="e">
        <f>F26+D27-E27</f>
        <v>#REF!</v>
      </c>
    </row>
    <row r="28" spans="1:6" x14ac:dyDescent="0.25">
      <c r="B28" s="62" t="s">
        <v>22</v>
      </c>
      <c r="C28" s="63"/>
      <c r="D28" s="64"/>
      <c r="E28" s="64"/>
      <c r="F28" s="65" t="e">
        <f>F27+D28-E28</f>
        <v>#REF!</v>
      </c>
    </row>
    <row r="29" spans="1:6" x14ac:dyDescent="0.25">
      <c r="B29" s="14" t="s">
        <v>22</v>
      </c>
      <c r="C29" s="15"/>
      <c r="D29" s="16"/>
      <c r="E29" s="16"/>
      <c r="F29" s="57" t="e">
        <f t="shared" ref="F29:F38" si="1">F28+D29-E29</f>
        <v>#REF!</v>
      </c>
    </row>
    <row r="30" spans="1:6" x14ac:dyDescent="0.25">
      <c r="B30" s="14" t="s">
        <v>22</v>
      </c>
      <c r="C30" s="15"/>
      <c r="D30" s="16"/>
      <c r="E30" s="16"/>
      <c r="F30" s="57" t="e">
        <f t="shared" si="1"/>
        <v>#REF!</v>
      </c>
    </row>
    <row r="31" spans="1:6" x14ac:dyDescent="0.25">
      <c r="B31" s="14" t="s">
        <v>22</v>
      </c>
      <c r="C31" s="15"/>
      <c r="D31" s="16"/>
      <c r="E31" s="16"/>
      <c r="F31" s="57" t="e">
        <f t="shared" si="1"/>
        <v>#REF!</v>
      </c>
    </row>
    <row r="32" spans="1:6" x14ac:dyDescent="0.25">
      <c r="B32" s="14" t="s">
        <v>22</v>
      </c>
      <c r="C32" s="15"/>
      <c r="D32" s="16"/>
      <c r="E32" s="16"/>
      <c r="F32" s="57" t="e">
        <f t="shared" si="1"/>
        <v>#REF!</v>
      </c>
    </row>
    <row r="33" spans="1:6" x14ac:dyDescent="0.25">
      <c r="B33" s="14" t="s">
        <v>22</v>
      </c>
      <c r="C33" s="15"/>
      <c r="D33" s="16"/>
      <c r="E33" s="16"/>
      <c r="F33" s="57" t="e">
        <f t="shared" si="1"/>
        <v>#REF!</v>
      </c>
    </row>
    <row r="34" spans="1:6" x14ac:dyDescent="0.25">
      <c r="B34" s="14" t="s">
        <v>22</v>
      </c>
      <c r="C34" s="15"/>
      <c r="D34" s="16"/>
      <c r="E34" s="16"/>
      <c r="F34" s="57" t="e">
        <f t="shared" si="1"/>
        <v>#REF!</v>
      </c>
    </row>
    <row r="35" spans="1:6" x14ac:dyDescent="0.25">
      <c r="B35" s="14" t="s">
        <v>22</v>
      </c>
      <c r="C35" s="15"/>
      <c r="D35" s="16"/>
      <c r="E35" s="16"/>
      <c r="F35" s="57" t="e">
        <f t="shared" si="1"/>
        <v>#REF!</v>
      </c>
    </row>
    <row r="36" spans="1:6" x14ac:dyDescent="0.25">
      <c r="B36" s="14" t="s">
        <v>22</v>
      </c>
      <c r="C36" s="15"/>
      <c r="D36" s="16"/>
      <c r="E36" s="16"/>
      <c r="F36" s="57" t="e">
        <f t="shared" si="1"/>
        <v>#REF!</v>
      </c>
    </row>
    <row r="37" spans="1:6" x14ac:dyDescent="0.25">
      <c r="B37" s="14" t="s">
        <v>22</v>
      </c>
      <c r="C37" s="15"/>
      <c r="D37" s="16"/>
      <c r="E37" s="16"/>
      <c r="F37" s="57" t="e">
        <f t="shared" si="1"/>
        <v>#REF!</v>
      </c>
    </row>
    <row r="38" spans="1:6" x14ac:dyDescent="0.25">
      <c r="B38" s="17" t="s">
        <v>22</v>
      </c>
      <c r="C38" s="18"/>
      <c r="D38" s="19"/>
      <c r="E38" s="19"/>
      <c r="F38" s="58" t="e">
        <f t="shared" si="1"/>
        <v>#REF!</v>
      </c>
    </row>
    <row r="39" spans="1:6" x14ac:dyDescent="0.25">
      <c r="B39" s="6"/>
      <c r="C39" s="7"/>
      <c r="D39" s="93" t="e">
        <f>SUM(D27:D38)</f>
        <v>#REF!</v>
      </c>
      <c r="E39" s="93" t="e">
        <f>SUM(E27:E38)</f>
        <v>#REF!</v>
      </c>
      <c r="F39" s="55"/>
    </row>
    <row r="41" spans="1:6" ht="15.75" x14ac:dyDescent="0.25">
      <c r="B41" s="9" t="s">
        <v>23</v>
      </c>
    </row>
    <row r="42" spans="1:6" x14ac:dyDescent="0.25">
      <c r="B42" s="90" t="s">
        <v>18</v>
      </c>
      <c r="C42" s="91" t="s">
        <v>19</v>
      </c>
      <c r="D42" s="91" t="s">
        <v>10</v>
      </c>
      <c r="E42" s="91" t="s">
        <v>11</v>
      </c>
      <c r="F42" s="92" t="s">
        <v>20</v>
      </c>
    </row>
    <row r="43" spans="1:6" x14ac:dyDescent="0.25">
      <c r="B43" s="66" t="s">
        <v>72</v>
      </c>
      <c r="C43" s="12" t="e">
        <f>#REF!</f>
        <v>#REF!</v>
      </c>
      <c r="D43" s="12"/>
      <c r="E43" s="12"/>
      <c r="F43" s="56" t="e">
        <f>C43</f>
        <v>#REF!</v>
      </c>
    </row>
    <row r="44" spans="1:6" x14ac:dyDescent="0.25">
      <c r="A44" s="67">
        <v>41305</v>
      </c>
      <c r="B44" s="17" t="s">
        <v>22</v>
      </c>
      <c r="C44" s="18"/>
      <c r="D44" s="19" t="e">
        <f>#REF!</f>
        <v>#REF!</v>
      </c>
      <c r="E44" s="19" t="e">
        <f>#REF!</f>
        <v>#REF!</v>
      </c>
      <c r="F44" s="58" t="e">
        <f>F43+D44-E44</f>
        <v>#REF!</v>
      </c>
    </row>
    <row r="45" spans="1:6" x14ac:dyDescent="0.25">
      <c r="B45" s="62" t="s">
        <v>22</v>
      </c>
      <c r="C45" s="63"/>
      <c r="D45" s="64"/>
      <c r="E45" s="64"/>
      <c r="F45" s="65" t="e">
        <f>F44+D45-E45</f>
        <v>#REF!</v>
      </c>
    </row>
    <row r="46" spans="1:6" x14ac:dyDescent="0.25">
      <c r="B46" s="14" t="s">
        <v>22</v>
      </c>
      <c r="C46" s="15"/>
      <c r="D46" s="16"/>
      <c r="E46" s="16"/>
      <c r="F46" s="57" t="e">
        <f t="shared" ref="F46:F55" si="2">F45+D46-E46</f>
        <v>#REF!</v>
      </c>
    </row>
    <row r="47" spans="1:6" x14ac:dyDescent="0.25">
      <c r="B47" s="14" t="s">
        <v>22</v>
      </c>
      <c r="C47" s="15"/>
      <c r="D47" s="16"/>
      <c r="E47" s="16"/>
      <c r="F47" s="57" t="e">
        <f t="shared" si="2"/>
        <v>#REF!</v>
      </c>
    </row>
    <row r="48" spans="1:6" x14ac:dyDescent="0.25">
      <c r="B48" s="14" t="s">
        <v>22</v>
      </c>
      <c r="C48" s="15"/>
      <c r="D48" s="16"/>
      <c r="E48" s="16"/>
      <c r="F48" s="57" t="e">
        <f t="shared" si="2"/>
        <v>#REF!</v>
      </c>
    </row>
    <row r="49" spans="1:6" x14ac:dyDescent="0.25">
      <c r="B49" s="14" t="s">
        <v>22</v>
      </c>
      <c r="C49" s="15"/>
      <c r="D49" s="16"/>
      <c r="E49" s="16"/>
      <c r="F49" s="57" t="e">
        <f t="shared" si="2"/>
        <v>#REF!</v>
      </c>
    </row>
    <row r="50" spans="1:6" x14ac:dyDescent="0.25">
      <c r="B50" s="14" t="s">
        <v>22</v>
      </c>
      <c r="C50" s="15"/>
      <c r="D50" s="16"/>
      <c r="E50" s="16"/>
      <c r="F50" s="57" t="e">
        <f t="shared" si="2"/>
        <v>#REF!</v>
      </c>
    </row>
    <row r="51" spans="1:6" x14ac:dyDescent="0.25">
      <c r="B51" s="14" t="s">
        <v>22</v>
      </c>
      <c r="C51" s="15"/>
      <c r="D51" s="16"/>
      <c r="E51" s="16"/>
      <c r="F51" s="57" t="e">
        <f t="shared" si="2"/>
        <v>#REF!</v>
      </c>
    </row>
    <row r="52" spans="1:6" x14ac:dyDescent="0.25">
      <c r="B52" s="14" t="s">
        <v>22</v>
      </c>
      <c r="C52" s="15"/>
      <c r="D52" s="16"/>
      <c r="E52" s="16"/>
      <c r="F52" s="57" t="e">
        <f t="shared" si="2"/>
        <v>#REF!</v>
      </c>
    </row>
    <row r="53" spans="1:6" x14ac:dyDescent="0.25">
      <c r="B53" s="14" t="s">
        <v>22</v>
      </c>
      <c r="C53" s="15"/>
      <c r="D53" s="16"/>
      <c r="E53" s="16"/>
      <c r="F53" s="57" t="e">
        <f t="shared" si="2"/>
        <v>#REF!</v>
      </c>
    </row>
    <row r="54" spans="1:6" x14ac:dyDescent="0.25">
      <c r="B54" s="14" t="s">
        <v>22</v>
      </c>
      <c r="C54" s="15"/>
      <c r="D54" s="16"/>
      <c r="E54" s="16"/>
      <c r="F54" s="57" t="e">
        <f t="shared" si="2"/>
        <v>#REF!</v>
      </c>
    </row>
    <row r="55" spans="1:6" x14ac:dyDescent="0.25">
      <c r="B55" s="17" t="s">
        <v>22</v>
      </c>
      <c r="C55" s="18"/>
      <c r="D55" s="19"/>
      <c r="E55" s="19"/>
      <c r="F55" s="58" t="e">
        <f t="shared" si="2"/>
        <v>#REF!</v>
      </c>
    </row>
    <row r="56" spans="1:6" x14ac:dyDescent="0.25">
      <c r="B56" s="6"/>
      <c r="C56" s="7"/>
      <c r="D56" s="93" t="e">
        <f>SUM(D44:D55)</f>
        <v>#REF!</v>
      </c>
      <c r="E56" s="93" t="e">
        <f>SUM(E44:E55)</f>
        <v>#REF!</v>
      </c>
      <c r="F56" s="55"/>
    </row>
    <row r="58" spans="1:6" ht="15.75" x14ac:dyDescent="0.25">
      <c r="B58" s="9" t="s">
        <v>24</v>
      </c>
    </row>
    <row r="59" spans="1:6" x14ac:dyDescent="0.25">
      <c r="B59" s="90" t="s">
        <v>18</v>
      </c>
      <c r="C59" s="91" t="s">
        <v>19</v>
      </c>
      <c r="D59" s="91" t="s">
        <v>10</v>
      </c>
      <c r="E59" s="91" t="s">
        <v>11</v>
      </c>
      <c r="F59" s="92" t="s">
        <v>20</v>
      </c>
    </row>
    <row r="60" spans="1:6" x14ac:dyDescent="0.25">
      <c r="B60" s="66" t="s">
        <v>72</v>
      </c>
      <c r="C60" s="12" t="e">
        <f>#REF!</f>
        <v>#REF!</v>
      </c>
      <c r="D60" s="12"/>
      <c r="E60" s="12"/>
      <c r="F60" s="56" t="e">
        <f>C60</f>
        <v>#REF!</v>
      </c>
    </row>
    <row r="61" spans="1:6" x14ac:dyDescent="0.25">
      <c r="A61" s="67">
        <v>41305</v>
      </c>
      <c r="B61" s="17" t="s">
        <v>22</v>
      </c>
      <c r="C61" s="18"/>
      <c r="D61" s="19" t="e">
        <f>#REF!</f>
        <v>#REF!</v>
      </c>
      <c r="E61" s="19" t="e">
        <f>#REF!</f>
        <v>#REF!</v>
      </c>
      <c r="F61" s="58" t="e">
        <f>F60+D61-E61</f>
        <v>#REF!</v>
      </c>
    </row>
    <row r="62" spans="1:6" x14ac:dyDescent="0.25">
      <c r="B62" s="62" t="s">
        <v>22</v>
      </c>
      <c r="C62" s="63"/>
      <c r="D62" s="64"/>
      <c r="E62" s="64"/>
      <c r="F62" s="65" t="e">
        <f>F61+D62-E62</f>
        <v>#REF!</v>
      </c>
    </row>
    <row r="63" spans="1:6" x14ac:dyDescent="0.25">
      <c r="B63" s="14" t="s">
        <v>22</v>
      </c>
      <c r="C63" s="15"/>
      <c r="D63" s="16"/>
      <c r="E63" s="16"/>
      <c r="F63" s="57" t="e">
        <f t="shared" ref="F63:F72" si="3">F62+D63-E63</f>
        <v>#REF!</v>
      </c>
    </row>
    <row r="64" spans="1:6" x14ac:dyDescent="0.25">
      <c r="B64" s="14" t="s">
        <v>22</v>
      </c>
      <c r="C64" s="15"/>
      <c r="D64" s="16"/>
      <c r="E64" s="16"/>
      <c r="F64" s="57" t="e">
        <f t="shared" si="3"/>
        <v>#REF!</v>
      </c>
    </row>
    <row r="65" spans="1:6" x14ac:dyDescent="0.25">
      <c r="B65" s="14" t="s">
        <v>22</v>
      </c>
      <c r="C65" s="15"/>
      <c r="D65" s="16"/>
      <c r="E65" s="16"/>
      <c r="F65" s="57" t="e">
        <f t="shared" si="3"/>
        <v>#REF!</v>
      </c>
    </row>
    <row r="66" spans="1:6" x14ac:dyDescent="0.25">
      <c r="B66" s="14" t="s">
        <v>22</v>
      </c>
      <c r="C66" s="15"/>
      <c r="D66" s="16"/>
      <c r="E66" s="16"/>
      <c r="F66" s="57" t="e">
        <f t="shared" si="3"/>
        <v>#REF!</v>
      </c>
    </row>
    <row r="67" spans="1:6" x14ac:dyDescent="0.25">
      <c r="B67" s="14" t="s">
        <v>22</v>
      </c>
      <c r="C67" s="15"/>
      <c r="D67" s="16"/>
      <c r="E67" s="16"/>
      <c r="F67" s="57" t="e">
        <f t="shared" si="3"/>
        <v>#REF!</v>
      </c>
    </row>
    <row r="68" spans="1:6" x14ac:dyDescent="0.25">
      <c r="B68" s="14" t="s">
        <v>22</v>
      </c>
      <c r="C68" s="15"/>
      <c r="D68" s="16"/>
      <c r="E68" s="16"/>
      <c r="F68" s="57" t="e">
        <f t="shared" si="3"/>
        <v>#REF!</v>
      </c>
    </row>
    <row r="69" spans="1:6" x14ac:dyDescent="0.25">
      <c r="B69" s="14" t="s">
        <v>22</v>
      </c>
      <c r="C69" s="15"/>
      <c r="D69" s="16"/>
      <c r="E69" s="16"/>
      <c r="F69" s="57" t="e">
        <f t="shared" si="3"/>
        <v>#REF!</v>
      </c>
    </row>
    <row r="70" spans="1:6" x14ac:dyDescent="0.25">
      <c r="B70" s="14" t="s">
        <v>22</v>
      </c>
      <c r="C70" s="15"/>
      <c r="D70" s="16"/>
      <c r="E70" s="16"/>
      <c r="F70" s="57" t="e">
        <f t="shared" si="3"/>
        <v>#REF!</v>
      </c>
    </row>
    <row r="71" spans="1:6" x14ac:dyDescent="0.25">
      <c r="B71" s="14" t="s">
        <v>22</v>
      </c>
      <c r="C71" s="15"/>
      <c r="D71" s="16"/>
      <c r="E71" s="16"/>
      <c r="F71" s="57" t="e">
        <f t="shared" si="3"/>
        <v>#REF!</v>
      </c>
    </row>
    <row r="72" spans="1:6" x14ac:dyDescent="0.25">
      <c r="B72" s="17" t="s">
        <v>22</v>
      </c>
      <c r="C72" s="18"/>
      <c r="D72" s="19"/>
      <c r="E72" s="19"/>
      <c r="F72" s="58" t="e">
        <f t="shared" si="3"/>
        <v>#REF!</v>
      </c>
    </row>
    <row r="73" spans="1:6" x14ac:dyDescent="0.25">
      <c r="B73" s="6"/>
      <c r="C73" s="7"/>
      <c r="D73" s="93" t="e">
        <f>SUM(D61:D72)</f>
        <v>#REF!</v>
      </c>
      <c r="E73" s="93" t="e">
        <f>SUM(E61:E72)</f>
        <v>#REF!</v>
      </c>
      <c r="F73" s="55"/>
    </row>
    <row r="75" spans="1:6" ht="15.75" x14ac:dyDescent="0.25">
      <c r="B75" s="254" t="s">
        <v>25</v>
      </c>
      <c r="C75" s="254"/>
    </row>
    <row r="76" spans="1:6" x14ac:dyDescent="0.25">
      <c r="B76" s="90" t="s">
        <v>18</v>
      </c>
      <c r="C76" s="91" t="s">
        <v>19</v>
      </c>
      <c r="D76" s="91" t="s">
        <v>10</v>
      </c>
      <c r="E76" s="91" t="s">
        <v>11</v>
      </c>
      <c r="F76" s="92" t="s">
        <v>20</v>
      </c>
    </row>
    <row r="77" spans="1:6" x14ac:dyDescent="0.25">
      <c r="B77" s="66" t="s">
        <v>72</v>
      </c>
      <c r="C77" s="12" t="e">
        <f>#REF!</f>
        <v>#REF!</v>
      </c>
      <c r="D77" s="12"/>
      <c r="E77" s="12"/>
      <c r="F77" s="56" t="e">
        <f>C77</f>
        <v>#REF!</v>
      </c>
    </row>
    <row r="78" spans="1:6" x14ac:dyDescent="0.25">
      <c r="A78" s="67">
        <v>41305</v>
      </c>
      <c r="B78" s="17" t="s">
        <v>22</v>
      </c>
      <c r="C78" s="18"/>
      <c r="D78" s="19" t="e">
        <f>#REF!</f>
        <v>#REF!</v>
      </c>
      <c r="E78" s="19" t="e">
        <f>#REF!</f>
        <v>#REF!</v>
      </c>
      <c r="F78" s="58" t="e">
        <f>F77+D78-E78</f>
        <v>#REF!</v>
      </c>
    </row>
    <row r="79" spans="1:6" x14ac:dyDescent="0.25">
      <c r="B79" s="62" t="s">
        <v>22</v>
      </c>
      <c r="C79" s="63"/>
      <c r="D79" s="64"/>
      <c r="E79" s="64"/>
      <c r="F79" s="65" t="e">
        <f>F78+D79-E79</f>
        <v>#REF!</v>
      </c>
    </row>
    <row r="80" spans="1:6" x14ac:dyDescent="0.25">
      <c r="B80" s="14" t="s">
        <v>22</v>
      </c>
      <c r="C80" s="15"/>
      <c r="D80" s="16"/>
      <c r="E80" s="16"/>
      <c r="F80" s="57" t="e">
        <f t="shared" ref="F80:F89" si="4">F79+D80-E80</f>
        <v>#REF!</v>
      </c>
    </row>
    <row r="81" spans="1:6" x14ac:dyDescent="0.25">
      <c r="B81" s="14" t="s">
        <v>22</v>
      </c>
      <c r="C81" s="15"/>
      <c r="D81" s="16"/>
      <c r="E81" s="16"/>
      <c r="F81" s="57" t="e">
        <f t="shared" si="4"/>
        <v>#REF!</v>
      </c>
    </row>
    <row r="82" spans="1:6" x14ac:dyDescent="0.25">
      <c r="B82" s="14" t="s">
        <v>22</v>
      </c>
      <c r="C82" s="15"/>
      <c r="D82" s="16"/>
      <c r="E82" s="16"/>
      <c r="F82" s="57" t="e">
        <f t="shared" si="4"/>
        <v>#REF!</v>
      </c>
    </row>
    <row r="83" spans="1:6" x14ac:dyDescent="0.25">
      <c r="B83" s="14" t="s">
        <v>22</v>
      </c>
      <c r="C83" s="15"/>
      <c r="D83" s="16"/>
      <c r="E83" s="16"/>
      <c r="F83" s="57" t="e">
        <f t="shared" si="4"/>
        <v>#REF!</v>
      </c>
    </row>
    <row r="84" spans="1:6" x14ac:dyDescent="0.25">
      <c r="B84" s="14" t="s">
        <v>22</v>
      </c>
      <c r="C84" s="15"/>
      <c r="D84" s="16"/>
      <c r="E84" s="16"/>
      <c r="F84" s="57" t="e">
        <f t="shared" si="4"/>
        <v>#REF!</v>
      </c>
    </row>
    <row r="85" spans="1:6" x14ac:dyDescent="0.25">
      <c r="B85" s="14" t="s">
        <v>22</v>
      </c>
      <c r="C85" s="15"/>
      <c r="D85" s="16"/>
      <c r="E85" s="16"/>
      <c r="F85" s="57" t="e">
        <f t="shared" si="4"/>
        <v>#REF!</v>
      </c>
    </row>
    <row r="86" spans="1:6" x14ac:dyDescent="0.25">
      <c r="B86" s="14" t="s">
        <v>22</v>
      </c>
      <c r="C86" s="15"/>
      <c r="D86" s="16"/>
      <c r="E86" s="16"/>
      <c r="F86" s="57" t="e">
        <f t="shared" si="4"/>
        <v>#REF!</v>
      </c>
    </row>
    <row r="87" spans="1:6" x14ac:dyDescent="0.25">
      <c r="B87" s="14" t="s">
        <v>22</v>
      </c>
      <c r="C87" s="15"/>
      <c r="D87" s="16"/>
      <c r="E87" s="16"/>
      <c r="F87" s="57" t="e">
        <f t="shared" si="4"/>
        <v>#REF!</v>
      </c>
    </row>
    <row r="88" spans="1:6" x14ac:dyDescent="0.25">
      <c r="B88" s="14" t="s">
        <v>22</v>
      </c>
      <c r="C88" s="15"/>
      <c r="D88" s="16"/>
      <c r="E88" s="16"/>
      <c r="F88" s="57" t="e">
        <f t="shared" si="4"/>
        <v>#REF!</v>
      </c>
    </row>
    <row r="89" spans="1:6" x14ac:dyDescent="0.25">
      <c r="B89" s="17" t="s">
        <v>22</v>
      </c>
      <c r="C89" s="18"/>
      <c r="D89" s="19"/>
      <c r="E89" s="19"/>
      <c r="F89" s="58" t="e">
        <f t="shared" si="4"/>
        <v>#REF!</v>
      </c>
    </row>
    <row r="90" spans="1:6" x14ac:dyDescent="0.25">
      <c r="B90" s="6"/>
      <c r="C90" s="7"/>
      <c r="D90" s="93" t="e">
        <f>SUM(D78:D89)</f>
        <v>#REF!</v>
      </c>
      <c r="E90" s="93" t="e">
        <f>SUM(E78:E89)</f>
        <v>#REF!</v>
      </c>
      <c r="F90" s="55"/>
    </row>
    <row r="92" spans="1:6" ht="15.75" x14ac:dyDescent="0.25">
      <c r="B92" s="254" t="s">
        <v>26</v>
      </c>
      <c r="C92" s="254"/>
    </row>
    <row r="93" spans="1:6" x14ac:dyDescent="0.25">
      <c r="B93" s="90" t="s">
        <v>18</v>
      </c>
      <c r="C93" s="91" t="s">
        <v>19</v>
      </c>
      <c r="D93" s="91" t="s">
        <v>10</v>
      </c>
      <c r="E93" s="91" t="s">
        <v>11</v>
      </c>
      <c r="F93" s="92" t="s">
        <v>20</v>
      </c>
    </row>
    <row r="94" spans="1:6" x14ac:dyDescent="0.25">
      <c r="B94" s="66" t="s">
        <v>72</v>
      </c>
      <c r="C94" s="12" t="e">
        <f>#REF!</f>
        <v>#REF!</v>
      </c>
      <c r="D94" s="12"/>
      <c r="E94" s="12"/>
      <c r="F94" s="56" t="e">
        <f>C94</f>
        <v>#REF!</v>
      </c>
    </row>
    <row r="95" spans="1:6" x14ac:dyDescent="0.25">
      <c r="A95" s="67">
        <v>41305</v>
      </c>
      <c r="B95" s="17" t="s">
        <v>22</v>
      </c>
      <c r="C95" s="18"/>
      <c r="D95" s="19" t="e">
        <f>#REF!</f>
        <v>#REF!</v>
      </c>
      <c r="E95" s="19" t="e">
        <f>#REF!</f>
        <v>#REF!</v>
      </c>
      <c r="F95" s="58" t="e">
        <f>F94+D95-E95</f>
        <v>#REF!</v>
      </c>
    </row>
    <row r="96" spans="1:6" x14ac:dyDescent="0.25">
      <c r="B96" s="62" t="s">
        <v>22</v>
      </c>
      <c r="C96" s="63"/>
      <c r="D96" s="64"/>
      <c r="E96" s="64"/>
      <c r="F96" s="65" t="e">
        <f>F95+D96-E96</f>
        <v>#REF!</v>
      </c>
    </row>
    <row r="97" spans="1:6" x14ac:dyDescent="0.25">
      <c r="B97" s="14" t="s">
        <v>22</v>
      </c>
      <c r="C97" s="15"/>
      <c r="D97" s="16"/>
      <c r="E97" s="16"/>
      <c r="F97" s="57" t="e">
        <f t="shared" ref="F97:F106" si="5">F96+D97-E97</f>
        <v>#REF!</v>
      </c>
    </row>
    <row r="98" spans="1:6" x14ac:dyDescent="0.25">
      <c r="B98" s="14" t="s">
        <v>22</v>
      </c>
      <c r="C98" s="15"/>
      <c r="D98" s="16"/>
      <c r="E98" s="16"/>
      <c r="F98" s="57" t="e">
        <f t="shared" si="5"/>
        <v>#REF!</v>
      </c>
    </row>
    <row r="99" spans="1:6" x14ac:dyDescent="0.25">
      <c r="B99" s="14" t="s">
        <v>22</v>
      </c>
      <c r="C99" s="15"/>
      <c r="D99" s="16"/>
      <c r="E99" s="16"/>
      <c r="F99" s="57" t="e">
        <f t="shared" si="5"/>
        <v>#REF!</v>
      </c>
    </row>
    <row r="100" spans="1:6" x14ac:dyDescent="0.25">
      <c r="B100" s="14" t="s">
        <v>22</v>
      </c>
      <c r="C100" s="15"/>
      <c r="D100" s="16"/>
      <c r="E100" s="16"/>
      <c r="F100" s="57" t="e">
        <f t="shared" si="5"/>
        <v>#REF!</v>
      </c>
    </row>
    <row r="101" spans="1:6" x14ac:dyDescent="0.25">
      <c r="B101" s="14" t="s">
        <v>22</v>
      </c>
      <c r="C101" s="15"/>
      <c r="D101" s="16"/>
      <c r="E101" s="16"/>
      <c r="F101" s="57" t="e">
        <f t="shared" si="5"/>
        <v>#REF!</v>
      </c>
    </row>
    <row r="102" spans="1:6" x14ac:dyDescent="0.25">
      <c r="B102" s="14" t="s">
        <v>22</v>
      </c>
      <c r="C102" s="15"/>
      <c r="D102" s="16"/>
      <c r="E102" s="16"/>
      <c r="F102" s="57" t="e">
        <f t="shared" si="5"/>
        <v>#REF!</v>
      </c>
    </row>
    <row r="103" spans="1:6" x14ac:dyDescent="0.25">
      <c r="B103" s="14" t="s">
        <v>22</v>
      </c>
      <c r="C103" s="15"/>
      <c r="D103" s="16"/>
      <c r="E103" s="16"/>
      <c r="F103" s="57" t="e">
        <f t="shared" si="5"/>
        <v>#REF!</v>
      </c>
    </row>
    <row r="104" spans="1:6" x14ac:dyDescent="0.25">
      <c r="B104" s="14" t="s">
        <v>22</v>
      </c>
      <c r="C104" s="15"/>
      <c r="D104" s="16"/>
      <c r="E104" s="16"/>
      <c r="F104" s="57" t="e">
        <f t="shared" si="5"/>
        <v>#REF!</v>
      </c>
    </row>
    <row r="105" spans="1:6" x14ac:dyDescent="0.25">
      <c r="B105" s="14" t="s">
        <v>22</v>
      </c>
      <c r="C105" s="15"/>
      <c r="D105" s="16"/>
      <c r="E105" s="16"/>
      <c r="F105" s="57" t="e">
        <f t="shared" si="5"/>
        <v>#REF!</v>
      </c>
    </row>
    <row r="106" spans="1:6" x14ac:dyDescent="0.25">
      <c r="B106" s="17" t="s">
        <v>22</v>
      </c>
      <c r="C106" s="18"/>
      <c r="D106" s="19"/>
      <c r="E106" s="19"/>
      <c r="F106" s="58" t="e">
        <f t="shared" si="5"/>
        <v>#REF!</v>
      </c>
    </row>
    <row r="107" spans="1:6" x14ac:dyDescent="0.25">
      <c r="B107" s="6"/>
      <c r="C107" s="7"/>
      <c r="D107" s="93" t="e">
        <f>SUM(D95:D106)</f>
        <v>#REF!</v>
      </c>
      <c r="E107" s="93" t="e">
        <f>SUM(E95:E106)</f>
        <v>#REF!</v>
      </c>
      <c r="F107" s="55"/>
    </row>
    <row r="109" spans="1:6" ht="15.75" x14ac:dyDescent="0.25">
      <c r="B109" s="21" t="s">
        <v>27</v>
      </c>
    </row>
    <row r="110" spans="1:6" x14ac:dyDescent="0.25">
      <c r="B110" s="90" t="s">
        <v>18</v>
      </c>
      <c r="C110" s="91" t="s">
        <v>19</v>
      </c>
      <c r="D110" s="91" t="s">
        <v>10</v>
      </c>
      <c r="E110" s="91" t="s">
        <v>11</v>
      </c>
      <c r="F110" s="92" t="s">
        <v>20</v>
      </c>
    </row>
    <row r="111" spans="1:6" x14ac:dyDescent="0.25">
      <c r="B111" s="66" t="s">
        <v>72</v>
      </c>
      <c r="C111" s="12" t="e">
        <f>#REF!</f>
        <v>#REF!</v>
      </c>
      <c r="D111" s="12"/>
      <c r="E111" s="12"/>
      <c r="F111" s="56" t="e">
        <f>C111</f>
        <v>#REF!</v>
      </c>
    </row>
    <row r="112" spans="1:6" x14ac:dyDescent="0.25">
      <c r="A112" s="67">
        <v>41305</v>
      </c>
      <c r="B112" s="17" t="s">
        <v>22</v>
      </c>
      <c r="C112" s="18"/>
      <c r="D112" s="19" t="e">
        <f>#REF!</f>
        <v>#REF!</v>
      </c>
      <c r="E112" s="19" t="e">
        <f>#REF!</f>
        <v>#REF!</v>
      </c>
      <c r="F112" s="58" t="e">
        <f>F111+D112-E112</f>
        <v>#REF!</v>
      </c>
    </row>
    <row r="113" spans="2:6" x14ac:dyDescent="0.25">
      <c r="B113" s="62" t="s">
        <v>22</v>
      </c>
      <c r="C113" s="63"/>
      <c r="D113" s="64"/>
      <c r="E113" s="64"/>
      <c r="F113" s="65" t="e">
        <f>F112+D113-E113</f>
        <v>#REF!</v>
      </c>
    </row>
    <row r="114" spans="2:6" x14ac:dyDescent="0.25">
      <c r="B114" s="14" t="s">
        <v>22</v>
      </c>
      <c r="C114" s="15"/>
      <c r="D114" s="16"/>
      <c r="E114" s="16"/>
      <c r="F114" s="57" t="e">
        <f t="shared" ref="F114:F123" si="6">F113+D114-E114</f>
        <v>#REF!</v>
      </c>
    </row>
    <row r="115" spans="2:6" x14ac:dyDescent="0.25">
      <c r="B115" s="14" t="s">
        <v>22</v>
      </c>
      <c r="C115" s="15"/>
      <c r="D115" s="16"/>
      <c r="E115" s="16"/>
      <c r="F115" s="57" t="e">
        <f t="shared" si="6"/>
        <v>#REF!</v>
      </c>
    </row>
    <row r="116" spans="2:6" x14ac:dyDescent="0.25">
      <c r="B116" s="14" t="s">
        <v>22</v>
      </c>
      <c r="C116" s="15"/>
      <c r="D116" s="16"/>
      <c r="E116" s="16"/>
      <c r="F116" s="57" t="e">
        <f t="shared" si="6"/>
        <v>#REF!</v>
      </c>
    </row>
    <row r="117" spans="2:6" x14ac:dyDescent="0.25">
      <c r="B117" s="14" t="s">
        <v>22</v>
      </c>
      <c r="C117" s="15"/>
      <c r="D117" s="16"/>
      <c r="E117" s="16"/>
      <c r="F117" s="57" t="e">
        <f t="shared" si="6"/>
        <v>#REF!</v>
      </c>
    </row>
    <row r="118" spans="2:6" x14ac:dyDescent="0.25">
      <c r="B118" s="14" t="s">
        <v>22</v>
      </c>
      <c r="C118" s="15"/>
      <c r="D118" s="16"/>
      <c r="E118" s="16"/>
      <c r="F118" s="57" t="e">
        <f t="shared" si="6"/>
        <v>#REF!</v>
      </c>
    </row>
    <row r="119" spans="2:6" x14ac:dyDescent="0.25">
      <c r="B119" s="14" t="s">
        <v>22</v>
      </c>
      <c r="C119" s="15"/>
      <c r="D119" s="16"/>
      <c r="E119" s="16"/>
      <c r="F119" s="57" t="e">
        <f t="shared" si="6"/>
        <v>#REF!</v>
      </c>
    </row>
    <row r="120" spans="2:6" x14ac:dyDescent="0.25">
      <c r="B120" s="14" t="s">
        <v>22</v>
      </c>
      <c r="C120" s="15"/>
      <c r="D120" s="16"/>
      <c r="E120" s="16"/>
      <c r="F120" s="57" t="e">
        <f t="shared" si="6"/>
        <v>#REF!</v>
      </c>
    </row>
    <row r="121" spans="2:6" x14ac:dyDescent="0.25">
      <c r="B121" s="14" t="s">
        <v>22</v>
      </c>
      <c r="C121" s="15"/>
      <c r="D121" s="16"/>
      <c r="E121" s="16"/>
      <c r="F121" s="57" t="e">
        <f t="shared" si="6"/>
        <v>#REF!</v>
      </c>
    </row>
    <row r="122" spans="2:6" x14ac:dyDescent="0.25">
      <c r="B122" s="14" t="s">
        <v>22</v>
      </c>
      <c r="C122" s="15"/>
      <c r="D122" s="16"/>
      <c r="E122" s="16"/>
      <c r="F122" s="57" t="e">
        <f t="shared" si="6"/>
        <v>#REF!</v>
      </c>
    </row>
    <row r="123" spans="2:6" x14ac:dyDescent="0.25">
      <c r="B123" s="17" t="s">
        <v>22</v>
      </c>
      <c r="C123" s="18"/>
      <c r="D123" s="19"/>
      <c r="E123" s="19"/>
      <c r="F123" s="58" t="e">
        <f t="shared" si="6"/>
        <v>#REF!</v>
      </c>
    </row>
    <row r="124" spans="2:6" x14ac:dyDescent="0.25">
      <c r="B124" s="6"/>
      <c r="C124" s="7"/>
      <c r="D124" s="93" t="e">
        <f>SUM(D112:D123)</f>
        <v>#REF!</v>
      </c>
      <c r="E124" s="93" t="e">
        <f>SUM(E112:E123)</f>
        <v>#REF!</v>
      </c>
      <c r="F124" s="55"/>
    </row>
    <row r="126" spans="2:6" ht="15.75" x14ac:dyDescent="0.25">
      <c r="B126" s="21" t="s">
        <v>28</v>
      </c>
    </row>
    <row r="127" spans="2:6" x14ac:dyDescent="0.25">
      <c r="B127" s="90" t="s">
        <v>18</v>
      </c>
      <c r="C127" s="91" t="s">
        <v>19</v>
      </c>
      <c r="D127" s="91" t="s">
        <v>10</v>
      </c>
      <c r="E127" s="91" t="s">
        <v>11</v>
      </c>
      <c r="F127" s="92" t="s">
        <v>20</v>
      </c>
    </row>
    <row r="128" spans="2:6" x14ac:dyDescent="0.25">
      <c r="B128" s="66" t="s">
        <v>72</v>
      </c>
      <c r="C128" s="12" t="e">
        <f>#REF!</f>
        <v>#REF!</v>
      </c>
      <c r="D128" s="12"/>
      <c r="E128" s="12"/>
      <c r="F128" s="56" t="e">
        <f>C128</f>
        <v>#REF!</v>
      </c>
    </row>
    <row r="129" spans="1:6" x14ac:dyDescent="0.25">
      <c r="A129" s="67">
        <v>41305</v>
      </c>
      <c r="B129" s="17" t="s">
        <v>22</v>
      </c>
      <c r="C129" s="18"/>
      <c r="D129" s="19" t="e">
        <f>#REF!</f>
        <v>#REF!</v>
      </c>
      <c r="E129" s="19" t="e">
        <f>#REF!</f>
        <v>#REF!</v>
      </c>
      <c r="F129" s="58" t="e">
        <f>F128+D129-E129</f>
        <v>#REF!</v>
      </c>
    </row>
    <row r="130" spans="1:6" x14ac:dyDescent="0.25">
      <c r="B130" s="62" t="s">
        <v>22</v>
      </c>
      <c r="C130" s="63"/>
      <c r="D130" s="64"/>
      <c r="E130" s="64"/>
      <c r="F130" s="65" t="e">
        <f>F129+D130-E130</f>
        <v>#REF!</v>
      </c>
    </row>
    <row r="131" spans="1:6" x14ac:dyDescent="0.25">
      <c r="B131" s="14" t="s">
        <v>22</v>
      </c>
      <c r="C131" s="15"/>
      <c r="D131" s="16"/>
      <c r="E131" s="16"/>
      <c r="F131" s="57" t="e">
        <f t="shared" ref="F131:F140" si="7">F130+D131-E131</f>
        <v>#REF!</v>
      </c>
    </row>
    <row r="132" spans="1:6" x14ac:dyDescent="0.25">
      <c r="B132" s="14" t="s">
        <v>22</v>
      </c>
      <c r="C132" s="15"/>
      <c r="D132" s="16"/>
      <c r="E132" s="16"/>
      <c r="F132" s="57" t="e">
        <f t="shared" si="7"/>
        <v>#REF!</v>
      </c>
    </row>
    <row r="133" spans="1:6" x14ac:dyDescent="0.25">
      <c r="B133" s="14" t="s">
        <v>22</v>
      </c>
      <c r="C133" s="15"/>
      <c r="D133" s="16"/>
      <c r="E133" s="16"/>
      <c r="F133" s="57" t="e">
        <f t="shared" si="7"/>
        <v>#REF!</v>
      </c>
    </row>
    <row r="134" spans="1:6" x14ac:dyDescent="0.25">
      <c r="B134" s="14" t="s">
        <v>22</v>
      </c>
      <c r="C134" s="15"/>
      <c r="D134" s="16"/>
      <c r="E134" s="16"/>
      <c r="F134" s="57" t="e">
        <f t="shared" si="7"/>
        <v>#REF!</v>
      </c>
    </row>
    <row r="135" spans="1:6" x14ac:dyDescent="0.25">
      <c r="B135" s="14" t="s">
        <v>22</v>
      </c>
      <c r="C135" s="15"/>
      <c r="D135" s="16"/>
      <c r="E135" s="16"/>
      <c r="F135" s="57" t="e">
        <f t="shared" si="7"/>
        <v>#REF!</v>
      </c>
    </row>
    <row r="136" spans="1:6" x14ac:dyDescent="0.25">
      <c r="B136" s="14" t="s">
        <v>22</v>
      </c>
      <c r="C136" s="15"/>
      <c r="D136" s="16"/>
      <c r="E136" s="16"/>
      <c r="F136" s="57" t="e">
        <f t="shared" si="7"/>
        <v>#REF!</v>
      </c>
    </row>
    <row r="137" spans="1:6" x14ac:dyDescent="0.25">
      <c r="B137" s="14" t="s">
        <v>22</v>
      </c>
      <c r="C137" s="15"/>
      <c r="D137" s="16"/>
      <c r="E137" s="16"/>
      <c r="F137" s="57" t="e">
        <f t="shared" si="7"/>
        <v>#REF!</v>
      </c>
    </row>
    <row r="138" spans="1:6" x14ac:dyDescent="0.25">
      <c r="B138" s="14" t="s">
        <v>22</v>
      </c>
      <c r="C138" s="15"/>
      <c r="D138" s="16"/>
      <c r="E138" s="16"/>
      <c r="F138" s="57" t="e">
        <f t="shared" si="7"/>
        <v>#REF!</v>
      </c>
    </row>
    <row r="139" spans="1:6" x14ac:dyDescent="0.25">
      <c r="B139" s="14" t="s">
        <v>22</v>
      </c>
      <c r="C139" s="15"/>
      <c r="D139" s="16"/>
      <c r="E139" s="16"/>
      <c r="F139" s="57" t="e">
        <f t="shared" si="7"/>
        <v>#REF!</v>
      </c>
    </row>
    <row r="140" spans="1:6" x14ac:dyDescent="0.25">
      <c r="B140" s="17" t="s">
        <v>22</v>
      </c>
      <c r="C140" s="18"/>
      <c r="D140" s="19"/>
      <c r="E140" s="19"/>
      <c r="F140" s="58" t="e">
        <f t="shared" si="7"/>
        <v>#REF!</v>
      </c>
    </row>
    <row r="141" spans="1:6" x14ac:dyDescent="0.25">
      <c r="B141" s="6"/>
      <c r="C141" s="7"/>
      <c r="D141" s="93" t="e">
        <f>SUM(D129:D140)</f>
        <v>#REF!</v>
      </c>
      <c r="E141" s="93" t="e">
        <f>SUM(E129:E140)</f>
        <v>#REF!</v>
      </c>
      <c r="F141" s="55"/>
    </row>
    <row r="143" spans="1:6" ht="15.75" x14ac:dyDescent="0.25">
      <c r="B143" s="21" t="s">
        <v>29</v>
      </c>
    </row>
    <row r="144" spans="1:6" x14ac:dyDescent="0.25">
      <c r="B144" s="10" t="s">
        <v>18</v>
      </c>
      <c r="C144" s="11" t="s">
        <v>19</v>
      </c>
      <c r="D144" s="11" t="s">
        <v>10</v>
      </c>
      <c r="E144" s="11" t="s">
        <v>11</v>
      </c>
      <c r="F144" s="49" t="s">
        <v>20</v>
      </c>
    </row>
    <row r="145" spans="1:6" x14ac:dyDescent="0.25">
      <c r="B145" s="66" t="s">
        <v>72</v>
      </c>
      <c r="C145" s="12" t="e">
        <f>#REF!</f>
        <v>#REF!</v>
      </c>
      <c r="D145" s="12"/>
      <c r="E145" s="12"/>
      <c r="F145" s="56" t="e">
        <f>C145</f>
        <v>#REF!</v>
      </c>
    </row>
    <row r="146" spans="1:6" x14ac:dyDescent="0.25">
      <c r="A146" s="67">
        <v>41305</v>
      </c>
      <c r="B146" s="17" t="s">
        <v>22</v>
      </c>
      <c r="C146" s="18"/>
      <c r="D146" s="19" t="e">
        <f>#REF!</f>
        <v>#REF!</v>
      </c>
      <c r="E146" s="19" t="e">
        <f>#REF!</f>
        <v>#REF!</v>
      </c>
      <c r="F146" s="58" t="e">
        <f>F145+D146-E146</f>
        <v>#REF!</v>
      </c>
    </row>
    <row r="147" spans="1:6" x14ac:dyDescent="0.25">
      <c r="B147" s="62" t="s">
        <v>22</v>
      </c>
      <c r="C147" s="63"/>
      <c r="D147" s="64"/>
      <c r="E147" s="64"/>
      <c r="F147" s="65" t="e">
        <f>F146+D147-E147</f>
        <v>#REF!</v>
      </c>
    </row>
    <row r="148" spans="1:6" x14ac:dyDescent="0.25">
      <c r="B148" s="14" t="s">
        <v>22</v>
      </c>
      <c r="C148" s="15"/>
      <c r="D148" s="16"/>
      <c r="E148" s="16"/>
      <c r="F148" s="57" t="e">
        <f t="shared" ref="F148:F157" si="8">F147+D148-E148</f>
        <v>#REF!</v>
      </c>
    </row>
    <row r="149" spans="1:6" x14ac:dyDescent="0.25">
      <c r="B149" s="14" t="s">
        <v>22</v>
      </c>
      <c r="C149" s="15"/>
      <c r="D149" s="16"/>
      <c r="E149" s="16"/>
      <c r="F149" s="57" t="e">
        <f t="shared" si="8"/>
        <v>#REF!</v>
      </c>
    </row>
    <row r="150" spans="1:6" x14ac:dyDescent="0.25">
      <c r="B150" s="14" t="s">
        <v>22</v>
      </c>
      <c r="C150" s="15"/>
      <c r="D150" s="16"/>
      <c r="E150" s="16"/>
      <c r="F150" s="57" t="e">
        <f t="shared" si="8"/>
        <v>#REF!</v>
      </c>
    </row>
    <row r="151" spans="1:6" x14ac:dyDescent="0.25">
      <c r="B151" s="14" t="s">
        <v>22</v>
      </c>
      <c r="C151" s="15"/>
      <c r="D151" s="16"/>
      <c r="E151" s="16"/>
      <c r="F151" s="57" t="e">
        <f t="shared" si="8"/>
        <v>#REF!</v>
      </c>
    </row>
    <row r="152" spans="1:6" x14ac:dyDescent="0.25">
      <c r="B152" s="14" t="s">
        <v>22</v>
      </c>
      <c r="C152" s="15"/>
      <c r="D152" s="16"/>
      <c r="E152" s="16"/>
      <c r="F152" s="57" t="e">
        <f t="shared" si="8"/>
        <v>#REF!</v>
      </c>
    </row>
    <row r="153" spans="1:6" x14ac:dyDescent="0.25">
      <c r="B153" s="14" t="s">
        <v>22</v>
      </c>
      <c r="C153" s="15"/>
      <c r="D153" s="16"/>
      <c r="E153" s="16"/>
      <c r="F153" s="57" t="e">
        <f t="shared" si="8"/>
        <v>#REF!</v>
      </c>
    </row>
    <row r="154" spans="1:6" x14ac:dyDescent="0.25">
      <c r="B154" s="14" t="s">
        <v>22</v>
      </c>
      <c r="C154" s="15"/>
      <c r="D154" s="16"/>
      <c r="E154" s="16"/>
      <c r="F154" s="57" t="e">
        <f t="shared" si="8"/>
        <v>#REF!</v>
      </c>
    </row>
    <row r="155" spans="1:6" x14ac:dyDescent="0.25">
      <c r="B155" s="14" t="s">
        <v>22</v>
      </c>
      <c r="C155" s="15"/>
      <c r="D155" s="16"/>
      <c r="E155" s="16"/>
      <c r="F155" s="57" t="e">
        <f t="shared" si="8"/>
        <v>#REF!</v>
      </c>
    </row>
    <row r="156" spans="1:6" x14ac:dyDescent="0.25">
      <c r="B156" s="14" t="s">
        <v>22</v>
      </c>
      <c r="C156" s="15"/>
      <c r="D156" s="16"/>
      <c r="E156" s="16"/>
      <c r="F156" s="57" t="e">
        <f t="shared" si="8"/>
        <v>#REF!</v>
      </c>
    </row>
    <row r="157" spans="1:6" x14ac:dyDescent="0.25">
      <c r="B157" s="17" t="s">
        <v>22</v>
      </c>
      <c r="C157" s="18"/>
      <c r="D157" s="19"/>
      <c r="E157" s="19"/>
      <c r="F157" s="58" t="e">
        <f t="shared" si="8"/>
        <v>#REF!</v>
      </c>
    </row>
    <row r="158" spans="1:6" x14ac:dyDescent="0.25">
      <c r="B158" s="6"/>
      <c r="C158" s="7"/>
      <c r="D158" s="20" t="e">
        <f>SUM(D146:D157)</f>
        <v>#REF!</v>
      </c>
      <c r="E158" s="20" t="e">
        <f>SUM(E146:E157)</f>
        <v>#REF!</v>
      </c>
      <c r="F158" s="55"/>
    </row>
    <row r="160" spans="1:6" ht="15.75" x14ac:dyDescent="0.25">
      <c r="B160" s="21" t="s">
        <v>30</v>
      </c>
    </row>
    <row r="161" spans="1:6" x14ac:dyDescent="0.25">
      <c r="B161" s="90" t="s">
        <v>18</v>
      </c>
      <c r="C161" s="91" t="s">
        <v>19</v>
      </c>
      <c r="D161" s="91" t="s">
        <v>10</v>
      </c>
      <c r="E161" s="91" t="s">
        <v>11</v>
      </c>
      <c r="F161" s="92" t="s">
        <v>20</v>
      </c>
    </row>
    <row r="162" spans="1:6" x14ac:dyDescent="0.25">
      <c r="B162" s="66" t="s">
        <v>72</v>
      </c>
      <c r="C162" s="12" t="e">
        <f>#REF!</f>
        <v>#REF!</v>
      </c>
      <c r="D162" s="12"/>
      <c r="E162" s="12"/>
      <c r="F162" s="56" t="e">
        <f>C162</f>
        <v>#REF!</v>
      </c>
    </row>
    <row r="163" spans="1:6" x14ac:dyDescent="0.25">
      <c r="A163" s="67">
        <v>41305</v>
      </c>
      <c r="B163" s="17" t="s">
        <v>22</v>
      </c>
      <c r="C163" s="18"/>
      <c r="D163" s="19" t="e">
        <f>#REF!</f>
        <v>#REF!</v>
      </c>
      <c r="E163" s="19" t="e">
        <f>#REF!</f>
        <v>#REF!</v>
      </c>
      <c r="F163" s="58" t="e">
        <f>F162+D163-E163</f>
        <v>#REF!</v>
      </c>
    </row>
    <row r="164" spans="1:6" x14ac:dyDescent="0.25">
      <c r="B164" s="62" t="s">
        <v>22</v>
      </c>
      <c r="C164" s="63"/>
      <c r="D164" s="64"/>
      <c r="E164" s="64"/>
      <c r="F164" s="65" t="e">
        <f>F163+D164-E164</f>
        <v>#REF!</v>
      </c>
    </row>
    <row r="165" spans="1:6" x14ac:dyDescent="0.25">
      <c r="B165" s="14" t="s">
        <v>22</v>
      </c>
      <c r="C165" s="15"/>
      <c r="D165" s="16"/>
      <c r="E165" s="16"/>
      <c r="F165" s="57" t="e">
        <f t="shared" ref="F165:F174" si="9">F164+D165-E165</f>
        <v>#REF!</v>
      </c>
    </row>
    <row r="166" spans="1:6" x14ac:dyDescent="0.25">
      <c r="B166" s="14" t="s">
        <v>22</v>
      </c>
      <c r="C166" s="15"/>
      <c r="D166" s="16"/>
      <c r="E166" s="16"/>
      <c r="F166" s="57" t="e">
        <f t="shared" si="9"/>
        <v>#REF!</v>
      </c>
    </row>
    <row r="167" spans="1:6" x14ac:dyDescent="0.25">
      <c r="B167" s="14" t="s">
        <v>22</v>
      </c>
      <c r="C167" s="15"/>
      <c r="D167" s="16"/>
      <c r="E167" s="16"/>
      <c r="F167" s="57" t="e">
        <f t="shared" si="9"/>
        <v>#REF!</v>
      </c>
    </row>
    <row r="168" spans="1:6" x14ac:dyDescent="0.25">
      <c r="B168" s="14" t="s">
        <v>22</v>
      </c>
      <c r="C168" s="15"/>
      <c r="D168" s="16"/>
      <c r="E168" s="16"/>
      <c r="F168" s="57" t="e">
        <f t="shared" si="9"/>
        <v>#REF!</v>
      </c>
    </row>
    <row r="169" spans="1:6" x14ac:dyDescent="0.25">
      <c r="B169" s="14" t="s">
        <v>22</v>
      </c>
      <c r="C169" s="15"/>
      <c r="D169" s="16"/>
      <c r="E169" s="16"/>
      <c r="F169" s="57" t="e">
        <f t="shared" si="9"/>
        <v>#REF!</v>
      </c>
    </row>
    <row r="170" spans="1:6" x14ac:dyDescent="0.25">
      <c r="B170" s="14" t="s">
        <v>22</v>
      </c>
      <c r="C170" s="15"/>
      <c r="D170" s="16"/>
      <c r="E170" s="16"/>
      <c r="F170" s="57" t="e">
        <f t="shared" si="9"/>
        <v>#REF!</v>
      </c>
    </row>
    <row r="171" spans="1:6" x14ac:dyDescent="0.25">
      <c r="B171" s="14" t="s">
        <v>22</v>
      </c>
      <c r="C171" s="15"/>
      <c r="D171" s="16"/>
      <c r="E171" s="16"/>
      <c r="F171" s="57" t="e">
        <f t="shared" si="9"/>
        <v>#REF!</v>
      </c>
    </row>
    <row r="172" spans="1:6" x14ac:dyDescent="0.25">
      <c r="B172" s="14" t="s">
        <v>22</v>
      </c>
      <c r="C172" s="15"/>
      <c r="D172" s="16"/>
      <c r="E172" s="16"/>
      <c r="F172" s="57" t="e">
        <f t="shared" si="9"/>
        <v>#REF!</v>
      </c>
    </row>
    <row r="173" spans="1:6" x14ac:dyDescent="0.25">
      <c r="B173" s="14" t="s">
        <v>22</v>
      </c>
      <c r="C173" s="15"/>
      <c r="D173" s="16"/>
      <c r="E173" s="16"/>
      <c r="F173" s="57" t="e">
        <f t="shared" si="9"/>
        <v>#REF!</v>
      </c>
    </row>
    <row r="174" spans="1:6" x14ac:dyDescent="0.25">
      <c r="B174" s="17" t="s">
        <v>22</v>
      </c>
      <c r="C174" s="18"/>
      <c r="D174" s="19"/>
      <c r="E174" s="19"/>
      <c r="F174" s="58" t="e">
        <f t="shared" si="9"/>
        <v>#REF!</v>
      </c>
    </row>
    <row r="175" spans="1:6" x14ac:dyDescent="0.25">
      <c r="B175" s="6"/>
      <c r="C175" s="7"/>
      <c r="D175" s="93" t="e">
        <f>SUM(D163:D174)</f>
        <v>#REF!</v>
      </c>
      <c r="E175" s="93" t="e">
        <f>SUM(E163:E174)</f>
        <v>#REF!</v>
      </c>
      <c r="F175" s="55"/>
    </row>
    <row r="177" spans="1:6" ht="15.75" x14ac:dyDescent="0.25">
      <c r="B177" s="21" t="s">
        <v>31</v>
      </c>
    </row>
    <row r="178" spans="1:6" x14ac:dyDescent="0.25">
      <c r="B178" s="90" t="s">
        <v>18</v>
      </c>
      <c r="C178" s="91" t="s">
        <v>19</v>
      </c>
      <c r="D178" s="91" t="s">
        <v>10</v>
      </c>
      <c r="E178" s="91" t="s">
        <v>11</v>
      </c>
      <c r="F178" s="92" t="s">
        <v>20</v>
      </c>
    </row>
    <row r="179" spans="1:6" x14ac:dyDescent="0.25">
      <c r="B179" s="66" t="s">
        <v>72</v>
      </c>
      <c r="C179" s="12" t="e">
        <f>#REF!</f>
        <v>#REF!</v>
      </c>
      <c r="D179" s="12"/>
      <c r="E179" s="12"/>
      <c r="F179" s="56" t="e">
        <f>C179</f>
        <v>#REF!</v>
      </c>
    </row>
    <row r="180" spans="1:6" x14ac:dyDescent="0.25">
      <c r="A180" s="67">
        <v>41305</v>
      </c>
      <c r="B180" s="17" t="s">
        <v>22</v>
      </c>
      <c r="C180" s="18"/>
      <c r="D180" s="19" t="e">
        <f>#REF!</f>
        <v>#REF!</v>
      </c>
      <c r="E180" s="19" t="e">
        <f>#REF!</f>
        <v>#REF!</v>
      </c>
      <c r="F180" s="58" t="e">
        <f>F179+D180-E180</f>
        <v>#REF!</v>
      </c>
    </row>
    <row r="181" spans="1:6" x14ac:dyDescent="0.25">
      <c r="B181" s="62" t="s">
        <v>22</v>
      </c>
      <c r="C181" s="63"/>
      <c r="D181" s="64"/>
      <c r="E181" s="64"/>
      <c r="F181" s="65" t="e">
        <f>F180+D181-E181</f>
        <v>#REF!</v>
      </c>
    </row>
    <row r="182" spans="1:6" x14ac:dyDescent="0.25">
      <c r="B182" s="14" t="s">
        <v>22</v>
      </c>
      <c r="C182" s="15"/>
      <c r="D182" s="16"/>
      <c r="E182" s="16"/>
      <c r="F182" s="57" t="e">
        <f t="shared" ref="F182:F191" si="10">F181+D182-E182</f>
        <v>#REF!</v>
      </c>
    </row>
    <row r="183" spans="1:6" x14ac:dyDescent="0.25">
      <c r="B183" s="14" t="s">
        <v>22</v>
      </c>
      <c r="C183" s="15"/>
      <c r="D183" s="16"/>
      <c r="E183" s="16"/>
      <c r="F183" s="57" t="e">
        <f t="shared" si="10"/>
        <v>#REF!</v>
      </c>
    </row>
    <row r="184" spans="1:6" x14ac:dyDescent="0.25">
      <c r="B184" s="14" t="s">
        <v>22</v>
      </c>
      <c r="C184" s="15"/>
      <c r="D184" s="16"/>
      <c r="E184" s="16"/>
      <c r="F184" s="57" t="e">
        <f t="shared" si="10"/>
        <v>#REF!</v>
      </c>
    </row>
    <row r="185" spans="1:6" x14ac:dyDescent="0.25">
      <c r="B185" s="14" t="s">
        <v>22</v>
      </c>
      <c r="C185" s="15"/>
      <c r="D185" s="16"/>
      <c r="E185" s="16"/>
      <c r="F185" s="57" t="e">
        <f t="shared" si="10"/>
        <v>#REF!</v>
      </c>
    </row>
    <row r="186" spans="1:6" x14ac:dyDescent="0.25">
      <c r="B186" s="14" t="s">
        <v>22</v>
      </c>
      <c r="C186" s="15"/>
      <c r="D186" s="16"/>
      <c r="E186" s="16"/>
      <c r="F186" s="57" t="e">
        <f t="shared" si="10"/>
        <v>#REF!</v>
      </c>
    </row>
    <row r="187" spans="1:6" x14ac:dyDescent="0.25">
      <c r="B187" s="14" t="s">
        <v>22</v>
      </c>
      <c r="C187" s="15"/>
      <c r="D187" s="16"/>
      <c r="E187" s="16"/>
      <c r="F187" s="57" t="e">
        <f t="shared" si="10"/>
        <v>#REF!</v>
      </c>
    </row>
    <row r="188" spans="1:6" x14ac:dyDescent="0.25">
      <c r="B188" s="14" t="s">
        <v>22</v>
      </c>
      <c r="C188" s="15"/>
      <c r="D188" s="16"/>
      <c r="E188" s="16"/>
      <c r="F188" s="57" t="e">
        <f t="shared" si="10"/>
        <v>#REF!</v>
      </c>
    </row>
    <row r="189" spans="1:6" x14ac:dyDescent="0.25">
      <c r="B189" s="14" t="s">
        <v>22</v>
      </c>
      <c r="C189" s="15"/>
      <c r="D189" s="16"/>
      <c r="E189" s="16"/>
      <c r="F189" s="57" t="e">
        <f t="shared" si="10"/>
        <v>#REF!</v>
      </c>
    </row>
    <row r="190" spans="1:6" x14ac:dyDescent="0.25">
      <c r="B190" s="14" t="s">
        <v>22</v>
      </c>
      <c r="C190" s="15"/>
      <c r="D190" s="16"/>
      <c r="E190" s="16"/>
      <c r="F190" s="57" t="e">
        <f t="shared" si="10"/>
        <v>#REF!</v>
      </c>
    </row>
    <row r="191" spans="1:6" x14ac:dyDescent="0.25">
      <c r="B191" s="17" t="s">
        <v>22</v>
      </c>
      <c r="C191" s="18"/>
      <c r="D191" s="19"/>
      <c r="E191" s="19"/>
      <c r="F191" s="58" t="e">
        <f t="shared" si="10"/>
        <v>#REF!</v>
      </c>
    </row>
    <row r="192" spans="1:6" x14ac:dyDescent="0.25">
      <c r="B192" s="6"/>
      <c r="C192" s="7"/>
      <c r="D192" s="93" t="e">
        <f>SUM(D180:D191)</f>
        <v>#REF!</v>
      </c>
      <c r="E192" s="93" t="e">
        <f>SUM(E180:E191)</f>
        <v>#REF!</v>
      </c>
      <c r="F192" s="55"/>
    </row>
    <row r="194" spans="1:6" ht="15.75" x14ac:dyDescent="0.25">
      <c r="B194" s="21" t="s">
        <v>32</v>
      </c>
    </row>
    <row r="195" spans="1:6" x14ac:dyDescent="0.25">
      <c r="B195" s="90" t="s">
        <v>18</v>
      </c>
      <c r="C195" s="91" t="s">
        <v>19</v>
      </c>
      <c r="D195" s="91" t="s">
        <v>10</v>
      </c>
      <c r="E195" s="91" t="s">
        <v>11</v>
      </c>
      <c r="F195" s="92" t="s">
        <v>20</v>
      </c>
    </row>
    <row r="196" spans="1:6" x14ac:dyDescent="0.25">
      <c r="B196" s="66" t="s">
        <v>72</v>
      </c>
      <c r="C196" s="12" t="e">
        <f>#REF!</f>
        <v>#REF!</v>
      </c>
      <c r="D196" s="12"/>
      <c r="E196" s="12"/>
      <c r="F196" s="56" t="e">
        <f>C196</f>
        <v>#REF!</v>
      </c>
    </row>
    <row r="197" spans="1:6" x14ac:dyDescent="0.25">
      <c r="A197" s="67">
        <v>41305</v>
      </c>
      <c r="B197" s="17" t="s">
        <v>22</v>
      </c>
      <c r="C197" s="18"/>
      <c r="D197" s="19" t="e">
        <f>#REF!</f>
        <v>#REF!</v>
      </c>
      <c r="E197" s="19" t="e">
        <f>#REF!</f>
        <v>#REF!</v>
      </c>
      <c r="F197" s="58" t="e">
        <f>F196+D197-E197</f>
        <v>#REF!</v>
      </c>
    </row>
    <row r="198" spans="1:6" x14ac:dyDescent="0.25">
      <c r="B198" s="62" t="s">
        <v>22</v>
      </c>
      <c r="C198" s="63"/>
      <c r="D198" s="64"/>
      <c r="E198" s="64"/>
      <c r="F198" s="65" t="e">
        <f>F197+D198-E198</f>
        <v>#REF!</v>
      </c>
    </row>
    <row r="199" spans="1:6" x14ac:dyDescent="0.25">
      <c r="B199" s="14" t="s">
        <v>22</v>
      </c>
      <c r="C199" s="15"/>
      <c r="D199" s="16"/>
      <c r="E199" s="16"/>
      <c r="F199" s="57" t="e">
        <f t="shared" ref="F199:F208" si="11">F198+D199-E199</f>
        <v>#REF!</v>
      </c>
    </row>
    <row r="200" spans="1:6" x14ac:dyDescent="0.25">
      <c r="B200" s="14" t="s">
        <v>22</v>
      </c>
      <c r="C200" s="15"/>
      <c r="D200" s="16"/>
      <c r="E200" s="16"/>
      <c r="F200" s="57" t="e">
        <f t="shared" si="11"/>
        <v>#REF!</v>
      </c>
    </row>
    <row r="201" spans="1:6" x14ac:dyDescent="0.25">
      <c r="B201" s="14" t="s">
        <v>22</v>
      </c>
      <c r="C201" s="15"/>
      <c r="D201" s="16"/>
      <c r="E201" s="16"/>
      <c r="F201" s="57" t="e">
        <f t="shared" si="11"/>
        <v>#REF!</v>
      </c>
    </row>
    <row r="202" spans="1:6" x14ac:dyDescent="0.25">
      <c r="B202" s="14" t="s">
        <v>22</v>
      </c>
      <c r="C202" s="15"/>
      <c r="D202" s="16"/>
      <c r="E202" s="16"/>
      <c r="F202" s="57" t="e">
        <f t="shared" si="11"/>
        <v>#REF!</v>
      </c>
    </row>
    <row r="203" spans="1:6" x14ac:dyDescent="0.25">
      <c r="B203" s="14" t="s">
        <v>22</v>
      </c>
      <c r="C203" s="15"/>
      <c r="D203" s="16"/>
      <c r="E203" s="16"/>
      <c r="F203" s="57" t="e">
        <f t="shared" si="11"/>
        <v>#REF!</v>
      </c>
    </row>
    <row r="204" spans="1:6" x14ac:dyDescent="0.25">
      <c r="B204" s="14" t="s">
        <v>22</v>
      </c>
      <c r="C204" s="15"/>
      <c r="D204" s="16"/>
      <c r="E204" s="16"/>
      <c r="F204" s="57" t="e">
        <f t="shared" si="11"/>
        <v>#REF!</v>
      </c>
    </row>
    <row r="205" spans="1:6" x14ac:dyDescent="0.25">
      <c r="B205" s="14" t="s">
        <v>22</v>
      </c>
      <c r="C205" s="15"/>
      <c r="D205" s="16"/>
      <c r="E205" s="16"/>
      <c r="F205" s="57" t="e">
        <f t="shared" si="11"/>
        <v>#REF!</v>
      </c>
    </row>
    <row r="206" spans="1:6" x14ac:dyDescent="0.25">
      <c r="B206" s="14" t="s">
        <v>22</v>
      </c>
      <c r="C206" s="15"/>
      <c r="D206" s="16"/>
      <c r="E206" s="16"/>
      <c r="F206" s="57" t="e">
        <f t="shared" si="11"/>
        <v>#REF!</v>
      </c>
    </row>
    <row r="207" spans="1:6" x14ac:dyDescent="0.25">
      <c r="B207" s="14" t="s">
        <v>22</v>
      </c>
      <c r="C207" s="15"/>
      <c r="D207" s="16"/>
      <c r="E207" s="16"/>
      <c r="F207" s="57" t="e">
        <f t="shared" si="11"/>
        <v>#REF!</v>
      </c>
    </row>
    <row r="208" spans="1:6" x14ac:dyDescent="0.25">
      <c r="B208" s="17" t="s">
        <v>22</v>
      </c>
      <c r="C208" s="18"/>
      <c r="D208" s="19"/>
      <c r="E208" s="19"/>
      <c r="F208" s="58" t="e">
        <f t="shared" si="11"/>
        <v>#REF!</v>
      </c>
    </row>
    <row r="209" spans="1:6" x14ac:dyDescent="0.25">
      <c r="B209" s="6"/>
      <c r="C209" s="7"/>
      <c r="D209" s="93" t="e">
        <f>SUM(D197:D208)</f>
        <v>#REF!</v>
      </c>
      <c r="E209" s="93" t="e">
        <f>SUM(E197:E208)</f>
        <v>#REF!</v>
      </c>
      <c r="F209" s="55"/>
    </row>
    <row r="211" spans="1:6" ht="15.75" x14ac:dyDescent="0.25">
      <c r="B211" s="21" t="s">
        <v>33</v>
      </c>
    </row>
    <row r="212" spans="1:6" x14ac:dyDescent="0.25">
      <c r="B212" s="90" t="s">
        <v>18</v>
      </c>
      <c r="C212" s="91" t="s">
        <v>19</v>
      </c>
      <c r="D212" s="91" t="s">
        <v>10</v>
      </c>
      <c r="E212" s="91" t="s">
        <v>11</v>
      </c>
      <c r="F212" s="92" t="s">
        <v>20</v>
      </c>
    </row>
    <row r="213" spans="1:6" x14ac:dyDescent="0.25">
      <c r="B213" s="66" t="s">
        <v>72</v>
      </c>
      <c r="C213" s="12" t="e">
        <f>#REF!</f>
        <v>#REF!</v>
      </c>
      <c r="D213" s="12"/>
      <c r="E213" s="12"/>
      <c r="F213" s="56" t="e">
        <f>C213</f>
        <v>#REF!</v>
      </c>
    </row>
    <row r="214" spans="1:6" x14ac:dyDescent="0.25">
      <c r="A214" s="67">
        <v>41305</v>
      </c>
      <c r="B214" s="17" t="s">
        <v>22</v>
      </c>
      <c r="C214" s="18"/>
      <c r="D214" s="19" t="e">
        <f>#REF!</f>
        <v>#REF!</v>
      </c>
      <c r="E214" s="19" t="e">
        <f>#REF!</f>
        <v>#REF!</v>
      </c>
      <c r="F214" s="58" t="e">
        <f>F213+D214-E214</f>
        <v>#REF!</v>
      </c>
    </row>
    <row r="215" spans="1:6" x14ac:dyDescent="0.25">
      <c r="B215" s="62" t="s">
        <v>22</v>
      </c>
      <c r="C215" s="63"/>
      <c r="D215" s="64"/>
      <c r="E215" s="64"/>
      <c r="F215" s="65" t="e">
        <f>F214+D215-E215</f>
        <v>#REF!</v>
      </c>
    </row>
    <row r="216" spans="1:6" x14ac:dyDescent="0.25">
      <c r="B216" s="14" t="s">
        <v>22</v>
      </c>
      <c r="C216" s="15"/>
      <c r="D216" s="16"/>
      <c r="E216" s="16"/>
      <c r="F216" s="57" t="e">
        <f t="shared" ref="F216:F225" si="12">F215+D216-E216</f>
        <v>#REF!</v>
      </c>
    </row>
    <row r="217" spans="1:6" x14ac:dyDescent="0.25">
      <c r="B217" s="14" t="s">
        <v>22</v>
      </c>
      <c r="C217" s="15"/>
      <c r="D217" s="16"/>
      <c r="E217" s="16"/>
      <c r="F217" s="57" t="e">
        <f t="shared" si="12"/>
        <v>#REF!</v>
      </c>
    </row>
    <row r="218" spans="1:6" x14ac:dyDescent="0.25">
      <c r="B218" s="14" t="s">
        <v>22</v>
      </c>
      <c r="C218" s="15"/>
      <c r="D218" s="16"/>
      <c r="E218" s="16"/>
      <c r="F218" s="57" t="e">
        <f t="shared" si="12"/>
        <v>#REF!</v>
      </c>
    </row>
    <row r="219" spans="1:6" x14ac:dyDescent="0.25">
      <c r="B219" s="14" t="s">
        <v>22</v>
      </c>
      <c r="C219" s="15"/>
      <c r="D219" s="16"/>
      <c r="E219" s="16"/>
      <c r="F219" s="57" t="e">
        <f t="shared" si="12"/>
        <v>#REF!</v>
      </c>
    </row>
    <row r="220" spans="1:6" x14ac:dyDescent="0.25">
      <c r="B220" s="14" t="s">
        <v>22</v>
      </c>
      <c r="C220" s="15"/>
      <c r="D220" s="16"/>
      <c r="E220" s="16"/>
      <c r="F220" s="57" t="e">
        <f t="shared" si="12"/>
        <v>#REF!</v>
      </c>
    </row>
    <row r="221" spans="1:6" x14ac:dyDescent="0.25">
      <c r="B221" s="14" t="s">
        <v>22</v>
      </c>
      <c r="C221" s="15"/>
      <c r="D221" s="16"/>
      <c r="E221" s="16"/>
      <c r="F221" s="57" t="e">
        <f t="shared" si="12"/>
        <v>#REF!</v>
      </c>
    </row>
    <row r="222" spans="1:6" x14ac:dyDescent="0.25">
      <c r="B222" s="14" t="s">
        <v>22</v>
      </c>
      <c r="C222" s="15"/>
      <c r="D222" s="16"/>
      <c r="E222" s="16"/>
      <c r="F222" s="57" t="e">
        <f t="shared" si="12"/>
        <v>#REF!</v>
      </c>
    </row>
    <row r="223" spans="1:6" x14ac:dyDescent="0.25">
      <c r="B223" s="14" t="s">
        <v>22</v>
      </c>
      <c r="C223" s="15"/>
      <c r="D223" s="16"/>
      <c r="E223" s="16"/>
      <c r="F223" s="57" t="e">
        <f t="shared" si="12"/>
        <v>#REF!</v>
      </c>
    </row>
    <row r="224" spans="1:6" x14ac:dyDescent="0.25">
      <c r="B224" s="14" t="s">
        <v>22</v>
      </c>
      <c r="C224" s="15"/>
      <c r="D224" s="16"/>
      <c r="E224" s="16"/>
      <c r="F224" s="57" t="e">
        <f t="shared" si="12"/>
        <v>#REF!</v>
      </c>
    </row>
    <row r="225" spans="1:6" x14ac:dyDescent="0.25">
      <c r="B225" s="17" t="s">
        <v>22</v>
      </c>
      <c r="C225" s="18"/>
      <c r="D225" s="19"/>
      <c r="E225" s="19"/>
      <c r="F225" s="58" t="e">
        <f t="shared" si="12"/>
        <v>#REF!</v>
      </c>
    </row>
    <row r="226" spans="1:6" x14ac:dyDescent="0.25">
      <c r="B226" s="6"/>
      <c r="C226" s="7"/>
      <c r="D226" s="93" t="e">
        <f>SUM(D214:D225)</f>
        <v>#REF!</v>
      </c>
      <c r="E226" s="94" t="e">
        <f>SUM(E214:E225)</f>
        <v>#REF!</v>
      </c>
      <c r="F226" s="55"/>
    </row>
    <row r="228" spans="1:6" ht="15.75" x14ac:dyDescent="0.25">
      <c r="B228" s="21" t="s">
        <v>34</v>
      </c>
    </row>
    <row r="229" spans="1:6" x14ac:dyDescent="0.25">
      <c r="B229" s="90" t="s">
        <v>18</v>
      </c>
      <c r="C229" s="91" t="s">
        <v>19</v>
      </c>
      <c r="D229" s="91" t="s">
        <v>10</v>
      </c>
      <c r="E229" s="91" t="s">
        <v>11</v>
      </c>
      <c r="F229" s="92" t="s">
        <v>20</v>
      </c>
    </row>
    <row r="230" spans="1:6" x14ac:dyDescent="0.25">
      <c r="B230" s="66" t="s">
        <v>72</v>
      </c>
      <c r="C230" s="12" t="e">
        <f>#REF!</f>
        <v>#REF!</v>
      </c>
      <c r="D230" s="12"/>
      <c r="E230" s="12"/>
      <c r="F230" s="56" t="e">
        <f>C230</f>
        <v>#REF!</v>
      </c>
    </row>
    <row r="231" spans="1:6" x14ac:dyDescent="0.25">
      <c r="A231" s="67">
        <v>41305</v>
      </c>
      <c r="B231" s="17" t="s">
        <v>22</v>
      </c>
      <c r="C231" s="18"/>
      <c r="D231" s="19" t="e">
        <f>#REF!</f>
        <v>#REF!</v>
      </c>
      <c r="E231" s="19" t="e">
        <f>#REF!</f>
        <v>#REF!</v>
      </c>
      <c r="F231" s="58" t="e">
        <f>F230+D231-E231</f>
        <v>#REF!</v>
      </c>
    </row>
    <row r="232" spans="1:6" x14ac:dyDescent="0.25">
      <c r="B232" s="62" t="s">
        <v>22</v>
      </c>
      <c r="C232" s="63"/>
      <c r="D232" s="64"/>
      <c r="E232" s="64"/>
      <c r="F232" s="65" t="e">
        <f>F231+D232-E232</f>
        <v>#REF!</v>
      </c>
    </row>
    <row r="233" spans="1:6" x14ac:dyDescent="0.25">
      <c r="B233" s="14" t="s">
        <v>22</v>
      </c>
      <c r="C233" s="15"/>
      <c r="D233" s="16"/>
      <c r="E233" s="16"/>
      <c r="F233" s="57" t="e">
        <f t="shared" ref="F233:F242" si="13">F232+D233-E233</f>
        <v>#REF!</v>
      </c>
    </row>
    <row r="234" spans="1:6" x14ac:dyDescent="0.25">
      <c r="B234" s="14" t="s">
        <v>22</v>
      </c>
      <c r="C234" s="15"/>
      <c r="D234" s="16"/>
      <c r="E234" s="16"/>
      <c r="F234" s="57" t="e">
        <f t="shared" si="13"/>
        <v>#REF!</v>
      </c>
    </row>
    <row r="235" spans="1:6" x14ac:dyDescent="0.25">
      <c r="B235" s="14" t="s">
        <v>22</v>
      </c>
      <c r="C235" s="15"/>
      <c r="D235" s="16"/>
      <c r="E235" s="16"/>
      <c r="F235" s="57" t="e">
        <f t="shared" si="13"/>
        <v>#REF!</v>
      </c>
    </row>
    <row r="236" spans="1:6" x14ac:dyDescent="0.25">
      <c r="B236" s="14" t="s">
        <v>22</v>
      </c>
      <c r="C236" s="15"/>
      <c r="D236" s="16"/>
      <c r="E236" s="16"/>
      <c r="F236" s="57" t="e">
        <f t="shared" si="13"/>
        <v>#REF!</v>
      </c>
    </row>
    <row r="237" spans="1:6" x14ac:dyDescent="0.25">
      <c r="B237" s="14" t="s">
        <v>22</v>
      </c>
      <c r="C237" s="15"/>
      <c r="D237" s="16"/>
      <c r="E237" s="16"/>
      <c r="F237" s="57" t="e">
        <f t="shared" si="13"/>
        <v>#REF!</v>
      </c>
    </row>
    <row r="238" spans="1:6" x14ac:dyDescent="0.25">
      <c r="B238" s="14" t="s">
        <v>22</v>
      </c>
      <c r="C238" s="15"/>
      <c r="D238" s="16"/>
      <c r="E238" s="16"/>
      <c r="F238" s="57" t="e">
        <f t="shared" si="13"/>
        <v>#REF!</v>
      </c>
    </row>
    <row r="239" spans="1:6" x14ac:dyDescent="0.25">
      <c r="B239" s="14" t="s">
        <v>22</v>
      </c>
      <c r="C239" s="15"/>
      <c r="D239" s="16"/>
      <c r="E239" s="16"/>
      <c r="F239" s="57" t="e">
        <f t="shared" si="13"/>
        <v>#REF!</v>
      </c>
    </row>
    <row r="240" spans="1:6" x14ac:dyDescent="0.25">
      <c r="B240" s="14" t="s">
        <v>22</v>
      </c>
      <c r="C240" s="15"/>
      <c r="D240" s="16"/>
      <c r="E240" s="16"/>
      <c r="F240" s="57" t="e">
        <f t="shared" si="13"/>
        <v>#REF!</v>
      </c>
    </row>
    <row r="241" spans="2:6" x14ac:dyDescent="0.25">
      <c r="B241" s="14" t="s">
        <v>22</v>
      </c>
      <c r="C241" s="15"/>
      <c r="D241" s="16"/>
      <c r="E241" s="16"/>
      <c r="F241" s="57" t="e">
        <f t="shared" si="13"/>
        <v>#REF!</v>
      </c>
    </row>
    <row r="242" spans="2:6" x14ac:dyDescent="0.25">
      <c r="B242" s="17" t="s">
        <v>22</v>
      </c>
      <c r="C242" s="18"/>
      <c r="D242" s="19"/>
      <c r="E242" s="19"/>
      <c r="F242" s="58" t="e">
        <f t="shared" si="13"/>
        <v>#REF!</v>
      </c>
    </row>
    <row r="243" spans="2:6" x14ac:dyDescent="0.25">
      <c r="B243" s="6"/>
      <c r="C243" s="7"/>
      <c r="D243" s="93" t="e">
        <f>SUM(D231:D242)</f>
        <v>#REF!</v>
      </c>
      <c r="E243" s="93" t="e">
        <f>SUM(E231:E242)</f>
        <v>#REF!</v>
      </c>
      <c r="F243" s="55"/>
    </row>
    <row r="259" spans="1:6" x14ac:dyDescent="0.25">
      <c r="A259" s="38"/>
      <c r="B259" s="39" t="s">
        <v>2</v>
      </c>
      <c r="C259" s="8"/>
      <c r="D259" s="7"/>
      <c r="E259" s="7"/>
      <c r="F259" s="47"/>
    </row>
    <row r="260" spans="1:6" x14ac:dyDescent="0.25">
      <c r="A260" s="37"/>
      <c r="B260" s="38"/>
      <c r="C260" s="250" t="s">
        <v>66</v>
      </c>
      <c r="D260" s="250"/>
      <c r="E260" s="250"/>
      <c r="F260" s="250"/>
    </row>
    <row r="261" spans="1:6" x14ac:dyDescent="0.25">
      <c r="A261" s="1"/>
      <c r="B261" s="38"/>
      <c r="C261" s="251" t="s">
        <v>36</v>
      </c>
      <c r="D261" s="251"/>
      <c r="E261" s="251"/>
      <c r="F261" s="251"/>
    </row>
    <row r="262" spans="1:6" x14ac:dyDescent="0.25">
      <c r="A262" s="37"/>
      <c r="B262" s="40"/>
      <c r="C262" s="41" t="s">
        <v>67</v>
      </c>
      <c r="D262" s="11" t="s">
        <v>10</v>
      </c>
      <c r="E262" s="11" t="s">
        <v>11</v>
      </c>
      <c r="F262" s="49" t="s">
        <v>20</v>
      </c>
    </row>
    <row r="263" spans="1:6" x14ac:dyDescent="0.25">
      <c r="A263" s="1"/>
      <c r="B263" s="40" t="s">
        <v>16</v>
      </c>
      <c r="C263" s="42" t="e">
        <f>#REF!</f>
        <v>#REF!</v>
      </c>
      <c r="D263" s="13" t="e">
        <f>D22</f>
        <v>#REF!</v>
      </c>
      <c r="E263" s="13" t="e">
        <f>E22</f>
        <v>#REF!</v>
      </c>
      <c r="F263" s="59" t="e">
        <f>C263+D263-E263</f>
        <v>#REF!</v>
      </c>
    </row>
    <row r="264" spans="1:6" x14ac:dyDescent="0.25">
      <c r="A264" s="1"/>
      <c r="B264" s="40" t="s">
        <v>17</v>
      </c>
      <c r="C264" s="31" t="e">
        <f>#REF!</f>
        <v>#REF!</v>
      </c>
      <c r="D264" s="16" t="e">
        <f>D39</f>
        <v>#REF!</v>
      </c>
      <c r="E264" s="16" t="e">
        <f>E39</f>
        <v>#REF!</v>
      </c>
      <c r="F264" s="60" t="e">
        <f>C264+D264-E264</f>
        <v>#REF!</v>
      </c>
    </row>
    <row r="265" spans="1:6" x14ac:dyDescent="0.25">
      <c r="A265" s="1"/>
      <c r="B265" s="40" t="s">
        <v>23</v>
      </c>
      <c r="C265" s="31" t="e">
        <f>#REF!</f>
        <v>#REF!</v>
      </c>
      <c r="D265" s="16" t="e">
        <f>'Blc. acu'!D56</f>
        <v>#REF!</v>
      </c>
      <c r="E265" s="16" t="e">
        <f>'Blc. acu'!E56</f>
        <v>#REF!</v>
      </c>
      <c r="F265" s="60" t="e">
        <f t="shared" ref="F265:F276" si="14">C265+D265-E265</f>
        <v>#REF!</v>
      </c>
    </row>
    <row r="266" spans="1:6" x14ac:dyDescent="0.25">
      <c r="A266" s="1"/>
      <c r="B266" s="40" t="s">
        <v>24</v>
      </c>
      <c r="C266" s="31" t="e">
        <f>#REF!</f>
        <v>#REF!</v>
      </c>
      <c r="D266" s="16" t="e">
        <f>'Blc. acu'!D73</f>
        <v>#REF!</v>
      </c>
      <c r="E266" s="16" t="e">
        <f>'Blc. acu'!E73</f>
        <v>#REF!</v>
      </c>
      <c r="F266" s="60" t="e">
        <f t="shared" si="14"/>
        <v>#REF!</v>
      </c>
    </row>
    <row r="267" spans="1:6" x14ac:dyDescent="0.25">
      <c r="A267" s="1"/>
      <c r="B267" s="40" t="s">
        <v>25</v>
      </c>
      <c r="C267" s="31" t="e">
        <f>#REF!</f>
        <v>#REF!</v>
      </c>
      <c r="D267" s="16" t="e">
        <f>D90</f>
        <v>#REF!</v>
      </c>
      <c r="E267" s="16" t="e">
        <f>E90</f>
        <v>#REF!</v>
      </c>
      <c r="F267" s="60" t="e">
        <f t="shared" si="14"/>
        <v>#REF!</v>
      </c>
    </row>
    <row r="268" spans="1:6" x14ac:dyDescent="0.25">
      <c r="A268" s="1"/>
      <c r="B268" s="40" t="s">
        <v>26</v>
      </c>
      <c r="C268" s="31" t="e">
        <f>#REF!</f>
        <v>#REF!</v>
      </c>
      <c r="D268" s="16" t="e">
        <f>D107</f>
        <v>#REF!</v>
      </c>
      <c r="E268" s="16" t="e">
        <f>E107</f>
        <v>#REF!</v>
      </c>
      <c r="F268" s="60" t="e">
        <f t="shared" si="14"/>
        <v>#REF!</v>
      </c>
    </row>
    <row r="269" spans="1:6" x14ac:dyDescent="0.25">
      <c r="A269" s="67"/>
      <c r="B269" s="40" t="s">
        <v>27</v>
      </c>
      <c r="C269" s="31" t="e">
        <f>#REF!</f>
        <v>#REF!</v>
      </c>
      <c r="D269" s="2" t="e">
        <f>D124</f>
        <v>#REF!</v>
      </c>
      <c r="E269" s="2" t="e">
        <f>E124</f>
        <v>#REF!</v>
      </c>
      <c r="F269" s="60" t="e">
        <f t="shared" si="14"/>
        <v>#REF!</v>
      </c>
    </row>
    <row r="270" spans="1:6" x14ac:dyDescent="0.25">
      <c r="A270" s="1"/>
      <c r="B270" s="40" t="s">
        <v>28</v>
      </c>
      <c r="C270" s="31" t="e">
        <f>#REF!</f>
        <v>#REF!</v>
      </c>
      <c r="D270" s="16" t="e">
        <f>D141</f>
        <v>#REF!</v>
      </c>
      <c r="E270" s="16" t="e">
        <f>E141</f>
        <v>#REF!</v>
      </c>
      <c r="F270" s="60" t="e">
        <f t="shared" si="14"/>
        <v>#REF!</v>
      </c>
    </row>
    <row r="271" spans="1:6" x14ac:dyDescent="0.25">
      <c r="A271" s="1"/>
      <c r="B271" s="43" t="s">
        <v>29</v>
      </c>
      <c r="C271" s="31" t="e">
        <f>#REF!</f>
        <v>#REF!</v>
      </c>
      <c r="D271" s="2" t="e">
        <f>D158</f>
        <v>#REF!</v>
      </c>
      <c r="E271" s="2" t="e">
        <f>E158</f>
        <v>#REF!</v>
      </c>
      <c r="F271" s="60" t="e">
        <f t="shared" si="14"/>
        <v>#REF!</v>
      </c>
    </row>
    <row r="272" spans="1:6" x14ac:dyDescent="0.25">
      <c r="A272" s="1"/>
      <c r="B272" s="40" t="s">
        <v>30</v>
      </c>
      <c r="C272" s="31" t="e">
        <f>#REF!</f>
        <v>#REF!</v>
      </c>
      <c r="D272" s="16" t="e">
        <f>D175</f>
        <v>#REF!</v>
      </c>
      <c r="E272" s="16" t="e">
        <f>E175</f>
        <v>#REF!</v>
      </c>
      <c r="F272" s="60" t="e">
        <f t="shared" si="14"/>
        <v>#REF!</v>
      </c>
    </row>
    <row r="273" spans="1:6" x14ac:dyDescent="0.25">
      <c r="A273" s="1"/>
      <c r="B273" s="40" t="s">
        <v>31</v>
      </c>
      <c r="C273" s="31" t="e">
        <f>#REF!</f>
        <v>#REF!</v>
      </c>
      <c r="D273" s="16" t="e">
        <f>D192</f>
        <v>#REF!</v>
      </c>
      <c r="E273" s="16" t="e">
        <f>E192</f>
        <v>#REF!</v>
      </c>
      <c r="F273" s="60" t="e">
        <f t="shared" si="14"/>
        <v>#REF!</v>
      </c>
    </row>
    <row r="274" spans="1:6" x14ac:dyDescent="0.25">
      <c r="A274" s="1"/>
      <c r="B274" s="40" t="s">
        <v>32</v>
      </c>
      <c r="C274" s="31" t="e">
        <f>#REF!</f>
        <v>#REF!</v>
      </c>
      <c r="D274" s="16" t="e">
        <f>D209</f>
        <v>#REF!</v>
      </c>
      <c r="E274" s="16" t="e">
        <f>E209</f>
        <v>#REF!</v>
      </c>
      <c r="F274" s="60" t="e">
        <f t="shared" si="14"/>
        <v>#REF!</v>
      </c>
    </row>
    <row r="275" spans="1:6" x14ac:dyDescent="0.25">
      <c r="A275" s="1"/>
      <c r="B275" s="40" t="s">
        <v>33</v>
      </c>
      <c r="C275" s="31" t="e">
        <f>#REF!</f>
        <v>#REF!</v>
      </c>
      <c r="D275" s="16" t="e">
        <f>D226</f>
        <v>#REF!</v>
      </c>
      <c r="E275" s="16" t="e">
        <f>E226</f>
        <v>#REF!</v>
      </c>
      <c r="F275" s="60" t="e">
        <f t="shared" si="14"/>
        <v>#REF!</v>
      </c>
    </row>
    <row r="276" spans="1:6" x14ac:dyDescent="0.25">
      <c r="A276" s="1"/>
      <c r="B276" s="40" t="s">
        <v>34</v>
      </c>
      <c r="C276" s="33" t="e">
        <f>#REF!</f>
        <v>#REF!</v>
      </c>
      <c r="D276" s="18" t="e">
        <f>D243</f>
        <v>#REF!</v>
      </c>
      <c r="E276" s="18" t="e">
        <f>E243</f>
        <v>#REF!</v>
      </c>
      <c r="F276" s="61" t="e">
        <f t="shared" si="14"/>
        <v>#REF!</v>
      </c>
    </row>
    <row r="277" spans="1:6" x14ac:dyDescent="0.25">
      <c r="A277" s="68"/>
      <c r="B277" s="40"/>
      <c r="C277" s="44" t="e">
        <f>SUM(C263:C276)</f>
        <v>#REF!</v>
      </c>
      <c r="D277" s="20" t="e">
        <f>SUM(D263:D276)</f>
        <v>#REF!</v>
      </c>
      <c r="E277" s="20" t="e">
        <f>SUM(E263:E276)</f>
        <v>#REF!</v>
      </c>
      <c r="F277" s="50" t="e">
        <f>SUM(F263:F276)</f>
        <v>#REF!</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F25"/>
  <sheetViews>
    <sheetView workbookViewId="0"/>
  </sheetViews>
  <sheetFormatPr baseColWidth="10" defaultRowHeight="15" x14ac:dyDescent="0.25"/>
  <sheetData>
    <row r="1" spans="1:6" x14ac:dyDescent="0.25">
      <c r="A1" s="46"/>
      <c r="B1" s="256" t="s">
        <v>0</v>
      </c>
      <c r="C1" s="256"/>
      <c r="D1" s="256"/>
      <c r="E1" s="48"/>
      <c r="F1" s="45"/>
    </row>
    <row r="2" spans="1:6" ht="20.25" x14ac:dyDescent="0.3">
      <c r="A2" s="46"/>
      <c r="B2" s="257" t="s">
        <v>73</v>
      </c>
      <c r="C2" s="257"/>
      <c r="D2" s="257"/>
      <c r="E2" s="87"/>
      <c r="F2" s="45"/>
    </row>
    <row r="3" spans="1:6" x14ac:dyDescent="0.25">
      <c r="A3" s="46"/>
      <c r="B3" s="257" t="s">
        <v>76</v>
      </c>
      <c r="C3" s="257"/>
      <c r="D3" s="257"/>
      <c r="E3" s="89"/>
      <c r="F3" s="45"/>
    </row>
    <row r="4" spans="1:6" ht="15.75" x14ac:dyDescent="0.25">
      <c r="A4" s="88"/>
      <c r="B4" s="88"/>
      <c r="C4" s="88"/>
      <c r="D4" s="4"/>
      <c r="E4" s="5"/>
      <c r="F4" s="55"/>
    </row>
    <row r="5" spans="1:6" ht="15.75" x14ac:dyDescent="0.25">
      <c r="A5" s="3"/>
      <c r="B5" s="258" t="s">
        <v>35</v>
      </c>
      <c r="C5" s="258"/>
      <c r="D5" s="258"/>
      <c r="E5" s="258"/>
    </row>
    <row r="6" spans="1:6" ht="18" x14ac:dyDescent="0.25">
      <c r="A6" s="23"/>
      <c r="B6" s="255" t="e">
        <f>+#REF!</f>
        <v>#REF!</v>
      </c>
      <c r="C6" s="255"/>
      <c r="D6" s="255"/>
      <c r="E6" s="255"/>
    </row>
    <row r="7" spans="1:6" ht="18" x14ac:dyDescent="0.25">
      <c r="A7" s="23"/>
      <c r="B7" s="24"/>
      <c r="C7" s="24"/>
      <c r="D7" s="24"/>
      <c r="E7" s="24"/>
    </row>
    <row r="8" spans="1:6" ht="18" x14ac:dyDescent="0.25">
      <c r="A8" s="23"/>
      <c r="B8" s="24"/>
      <c r="C8" s="24"/>
      <c r="D8" s="24"/>
      <c r="E8" s="24"/>
    </row>
    <row r="9" spans="1:6" x14ac:dyDescent="0.25">
      <c r="A9" s="25"/>
      <c r="B9" s="69">
        <v>41274</v>
      </c>
      <c r="C9" s="26" t="s">
        <v>10</v>
      </c>
      <c r="D9" s="26" t="s">
        <v>11</v>
      </c>
      <c r="E9" s="27" t="s">
        <v>20</v>
      </c>
    </row>
    <row r="10" spans="1:6" x14ac:dyDescent="0.25">
      <c r="A10" s="25" t="s">
        <v>16</v>
      </c>
      <c r="B10" s="42" t="e">
        <f>'Blc. acu'!C263</f>
        <v>#REF!</v>
      </c>
      <c r="C10" s="51" t="e">
        <f>'Blc. acu'!D263</f>
        <v>#REF!</v>
      </c>
      <c r="D10" s="51" t="e">
        <f>'Blc. acu'!E263</f>
        <v>#REF!</v>
      </c>
      <c r="E10" s="52" t="e">
        <f>B10+C10-D10</f>
        <v>#REF!</v>
      </c>
    </row>
    <row r="11" spans="1:6" x14ac:dyDescent="0.25">
      <c r="A11" s="25" t="s">
        <v>17</v>
      </c>
      <c r="B11" s="28" t="e">
        <f>'Blc. acu'!C264</f>
        <v>#REF!</v>
      </c>
      <c r="C11" s="29" t="e">
        <f>'Blc. acu'!D264</f>
        <v>#REF!</v>
      </c>
      <c r="D11" s="29" t="e">
        <f>'Blc. acu'!E264</f>
        <v>#REF!</v>
      </c>
      <c r="E11" s="30" t="e">
        <f t="shared" ref="E11:E23" si="0">B11+C11-D11</f>
        <v>#REF!</v>
      </c>
    </row>
    <row r="12" spans="1:6" x14ac:dyDescent="0.25">
      <c r="A12" s="25" t="s">
        <v>23</v>
      </c>
      <c r="B12" s="28" t="e">
        <f>'Blc. acu'!C265</f>
        <v>#REF!</v>
      </c>
      <c r="C12" s="29" t="e">
        <f>'Blc. acu'!D265</f>
        <v>#REF!</v>
      </c>
      <c r="D12" s="29" t="e">
        <f>'Blc. acu'!E265</f>
        <v>#REF!</v>
      </c>
      <c r="E12" s="30" t="e">
        <f t="shared" si="0"/>
        <v>#REF!</v>
      </c>
    </row>
    <row r="13" spans="1:6" x14ac:dyDescent="0.25">
      <c r="A13" s="25" t="s">
        <v>24</v>
      </c>
      <c r="B13" s="28" t="e">
        <f>'Blc. acu'!C266</f>
        <v>#REF!</v>
      </c>
      <c r="C13" s="29" t="e">
        <f>'Blc. acu'!D266</f>
        <v>#REF!</v>
      </c>
      <c r="D13" s="29" t="e">
        <f>'Blc. acu'!E266</f>
        <v>#REF!</v>
      </c>
      <c r="E13" s="30" t="e">
        <f t="shared" si="0"/>
        <v>#REF!</v>
      </c>
    </row>
    <row r="14" spans="1:6" x14ac:dyDescent="0.25">
      <c r="A14" s="25" t="s">
        <v>25</v>
      </c>
      <c r="B14" s="28" t="e">
        <f>'Blc. acu'!C267</f>
        <v>#REF!</v>
      </c>
      <c r="C14" s="29" t="e">
        <f>'Blc. acu'!D267</f>
        <v>#REF!</v>
      </c>
      <c r="D14" s="29" t="e">
        <f>'Blc. acu'!E267</f>
        <v>#REF!</v>
      </c>
      <c r="E14" s="30" t="e">
        <f t="shared" si="0"/>
        <v>#REF!</v>
      </c>
    </row>
    <row r="15" spans="1:6" x14ac:dyDescent="0.25">
      <c r="A15" s="25" t="s">
        <v>26</v>
      </c>
      <c r="B15" s="28" t="e">
        <f>'Blc. acu'!C268</f>
        <v>#REF!</v>
      </c>
      <c r="C15" s="29" t="e">
        <f>'Blc. acu'!D268</f>
        <v>#REF!</v>
      </c>
      <c r="D15" s="29" t="e">
        <f>'Blc. acu'!E268</f>
        <v>#REF!</v>
      </c>
      <c r="E15" s="30" t="e">
        <f t="shared" si="0"/>
        <v>#REF!</v>
      </c>
    </row>
    <row r="16" spans="1:6" x14ac:dyDescent="0.25">
      <c r="A16" s="25" t="s">
        <v>27</v>
      </c>
      <c r="B16" s="28" t="e">
        <f>'Blc. acu'!C269</f>
        <v>#REF!</v>
      </c>
      <c r="C16" s="29" t="e">
        <f>'Blc. acu'!D269</f>
        <v>#REF!</v>
      </c>
      <c r="D16" s="29" t="e">
        <f>'Blc. acu'!E269</f>
        <v>#REF!</v>
      </c>
      <c r="E16" s="30" t="e">
        <f t="shared" si="0"/>
        <v>#REF!</v>
      </c>
    </row>
    <row r="17" spans="1:5" x14ac:dyDescent="0.25">
      <c r="A17" s="25" t="s">
        <v>28</v>
      </c>
      <c r="B17" s="28" t="e">
        <f>'Blc. acu'!C270</f>
        <v>#REF!</v>
      </c>
      <c r="C17" s="29" t="e">
        <f>'Blc. acu'!D270</f>
        <v>#REF!</v>
      </c>
      <c r="D17" s="29" t="e">
        <f>'Blc. acu'!E270</f>
        <v>#REF!</v>
      </c>
      <c r="E17" s="30" t="e">
        <f t="shared" si="0"/>
        <v>#REF!</v>
      </c>
    </row>
    <row r="18" spans="1:5" x14ac:dyDescent="0.25">
      <c r="A18" s="32" t="s">
        <v>29</v>
      </c>
      <c r="B18" s="28" t="e">
        <f>'Blc. acu'!C271</f>
        <v>#REF!</v>
      </c>
      <c r="C18" s="29" t="e">
        <f>'Blc. acu'!D271</f>
        <v>#REF!</v>
      </c>
      <c r="D18" s="29" t="e">
        <f>'Blc. acu'!E271</f>
        <v>#REF!</v>
      </c>
      <c r="E18" s="30" t="e">
        <f t="shared" si="0"/>
        <v>#REF!</v>
      </c>
    </row>
    <row r="19" spans="1:5" x14ac:dyDescent="0.25">
      <c r="A19" s="25" t="s">
        <v>30</v>
      </c>
      <c r="B19" s="28" t="e">
        <f>'Blc. acu'!C272</f>
        <v>#REF!</v>
      </c>
      <c r="C19" s="29" t="e">
        <f>'Blc. acu'!D272</f>
        <v>#REF!</v>
      </c>
      <c r="D19" s="29" t="e">
        <f>'Blc. acu'!E272</f>
        <v>#REF!</v>
      </c>
      <c r="E19" s="30" t="e">
        <f t="shared" si="0"/>
        <v>#REF!</v>
      </c>
    </row>
    <row r="20" spans="1:5" x14ac:dyDescent="0.25">
      <c r="A20" s="25" t="s">
        <v>31</v>
      </c>
      <c r="B20" s="28" t="e">
        <f>'Blc. acu'!C273</f>
        <v>#REF!</v>
      </c>
      <c r="C20" s="29" t="e">
        <f>'Blc. acu'!D273</f>
        <v>#REF!</v>
      </c>
      <c r="D20" s="29" t="e">
        <f>'Blc. acu'!E273</f>
        <v>#REF!</v>
      </c>
      <c r="E20" s="30" t="e">
        <f t="shared" si="0"/>
        <v>#REF!</v>
      </c>
    </row>
    <row r="21" spans="1:5" x14ac:dyDescent="0.25">
      <c r="A21" s="25" t="s">
        <v>32</v>
      </c>
      <c r="B21" s="28" t="e">
        <f>'Blc. acu'!C274</f>
        <v>#REF!</v>
      </c>
      <c r="C21" s="29" t="e">
        <f>'Blc. acu'!D274</f>
        <v>#REF!</v>
      </c>
      <c r="D21" s="29" t="e">
        <f>'Blc. acu'!E274</f>
        <v>#REF!</v>
      </c>
      <c r="E21" s="30" t="e">
        <f t="shared" si="0"/>
        <v>#REF!</v>
      </c>
    </row>
    <row r="22" spans="1:5" x14ac:dyDescent="0.25">
      <c r="A22" s="25" t="s">
        <v>33</v>
      </c>
      <c r="B22" s="28" t="e">
        <f>'Blc. acu'!C275</f>
        <v>#REF!</v>
      </c>
      <c r="C22" s="29" t="e">
        <f>'Blc. acu'!D275</f>
        <v>#REF!</v>
      </c>
      <c r="D22" s="29" t="e">
        <f>'Blc. acu'!E275</f>
        <v>#REF!</v>
      </c>
      <c r="E22" s="30" t="e">
        <f t="shared" si="0"/>
        <v>#REF!</v>
      </c>
    </row>
    <row r="23" spans="1:5" x14ac:dyDescent="0.25">
      <c r="A23" s="25" t="s">
        <v>34</v>
      </c>
      <c r="B23" s="20" t="e">
        <f>'Blc. acu'!C276</f>
        <v>#REF!</v>
      </c>
      <c r="C23" s="53" t="e">
        <f>'Blc. acu'!D276</f>
        <v>#REF!</v>
      </c>
      <c r="D23" s="53" t="e">
        <f>'Blc. acu'!E276</f>
        <v>#REF!</v>
      </c>
      <c r="E23" s="54" t="e">
        <f t="shared" si="0"/>
        <v>#REF!</v>
      </c>
    </row>
    <row r="24" spans="1:5" x14ac:dyDescent="0.25">
      <c r="A24" s="25"/>
      <c r="B24" s="70" t="e">
        <f>SUM(B10:B23)</f>
        <v>#REF!</v>
      </c>
      <c r="C24" s="35" t="e">
        <f>SUM(C10:C23)</f>
        <v>#REF!</v>
      </c>
      <c r="D24" s="35" t="e">
        <f>SUM(D10:D23)</f>
        <v>#REF!</v>
      </c>
      <c r="E24" s="71" t="e">
        <f>SUM(E10:E23)</f>
        <v>#REF!</v>
      </c>
    </row>
    <row r="25" spans="1:5" x14ac:dyDescent="0.25">
      <c r="A25" s="25"/>
      <c r="B25" s="36"/>
      <c r="C25" s="34"/>
      <c r="D25" s="36"/>
      <c r="E25" s="3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N71"/>
  <sheetViews>
    <sheetView workbookViewId="0"/>
  </sheetViews>
  <sheetFormatPr baseColWidth="10" defaultRowHeight="15" x14ac:dyDescent="0.25"/>
  <sheetData>
    <row r="1" spans="1:14" x14ac:dyDescent="0.25">
      <c r="A1" s="72"/>
      <c r="C1" s="74"/>
      <c r="D1" s="74"/>
      <c r="E1" s="74"/>
      <c r="F1" s="74"/>
      <c r="G1" s="74"/>
      <c r="H1" s="75"/>
      <c r="I1" s="74"/>
      <c r="J1" s="74"/>
      <c r="K1" s="74"/>
      <c r="L1" s="74"/>
      <c r="M1" s="74"/>
    </row>
    <row r="2" spans="1:14" ht="15.75" x14ac:dyDescent="0.25">
      <c r="A2" s="72"/>
      <c r="C2" s="74"/>
      <c r="D2" s="74"/>
      <c r="E2" s="259" t="s">
        <v>77</v>
      </c>
      <c r="F2" s="260"/>
      <c r="G2" s="260"/>
      <c r="H2" s="260"/>
      <c r="I2" s="261"/>
      <c r="J2" s="74"/>
      <c r="K2" s="74"/>
      <c r="L2" s="74"/>
      <c r="M2" s="74"/>
      <c r="N2" s="76" t="e">
        <f>F9+M9+F16+M16+F23+M23</f>
        <v>#REF!</v>
      </c>
    </row>
    <row r="3" spans="1:14" x14ac:dyDescent="0.25">
      <c r="A3" s="72" t="s">
        <v>53</v>
      </c>
      <c r="B3" s="73" t="s">
        <v>54</v>
      </c>
      <c r="C3" s="74"/>
      <c r="D3" s="74"/>
      <c r="E3" s="74"/>
      <c r="F3" s="74"/>
      <c r="G3" s="74"/>
      <c r="H3" s="75" t="s">
        <v>55</v>
      </c>
      <c r="I3" s="74" t="s">
        <v>56</v>
      </c>
      <c r="J3" s="74"/>
      <c r="K3" s="74"/>
      <c r="L3" s="74"/>
      <c r="M3" s="74"/>
    </row>
    <row r="4" spans="1:14" ht="22.5" x14ac:dyDescent="0.25">
      <c r="A4" s="72"/>
      <c r="B4" s="83" t="s">
        <v>18</v>
      </c>
      <c r="C4" s="84" t="s">
        <v>80</v>
      </c>
      <c r="D4" s="85" t="s">
        <v>10</v>
      </c>
      <c r="E4" s="85" t="s">
        <v>11</v>
      </c>
      <c r="F4" s="85" t="s">
        <v>20</v>
      </c>
      <c r="G4" s="74"/>
      <c r="H4" s="75"/>
      <c r="I4" s="83" t="s">
        <v>18</v>
      </c>
      <c r="J4" s="84" t="s">
        <v>80</v>
      </c>
      <c r="K4" s="85" t="s">
        <v>10</v>
      </c>
      <c r="L4" s="85" t="s">
        <v>11</v>
      </c>
      <c r="M4" s="85" t="s">
        <v>20</v>
      </c>
    </row>
    <row r="5" spans="1:14" x14ac:dyDescent="0.25">
      <c r="A5" s="78"/>
      <c r="B5" s="77"/>
      <c r="C5" s="79">
        <v>0</v>
      </c>
      <c r="D5" s="80"/>
      <c r="E5" s="80"/>
      <c r="F5" s="79">
        <f>C5</f>
        <v>0</v>
      </c>
      <c r="G5" s="74"/>
      <c r="H5" s="78"/>
      <c r="I5" s="77"/>
      <c r="J5" s="79">
        <v>0</v>
      </c>
      <c r="K5" s="80"/>
      <c r="L5" s="80"/>
      <c r="M5" s="79">
        <f>J5</f>
        <v>0</v>
      </c>
    </row>
    <row r="6" spans="1:14" x14ac:dyDescent="0.25">
      <c r="A6" s="78">
        <v>41305</v>
      </c>
      <c r="B6" s="77" t="s">
        <v>22</v>
      </c>
      <c r="C6" s="79"/>
      <c r="D6" s="79" t="e">
        <f>#REF!</f>
        <v>#REF!</v>
      </c>
      <c r="E6" s="79"/>
      <c r="F6" s="79" t="e">
        <f>F5+D6-E6</f>
        <v>#REF!</v>
      </c>
      <c r="G6" s="74"/>
      <c r="H6" s="78">
        <v>41305</v>
      </c>
      <c r="I6" s="77" t="s">
        <v>22</v>
      </c>
      <c r="J6" s="79"/>
      <c r="K6" s="79" t="e">
        <f>#REF!</f>
        <v>#REF!</v>
      </c>
      <c r="L6" s="79"/>
      <c r="M6" s="79" t="e">
        <f>M5+K6-L6</f>
        <v>#REF!</v>
      </c>
    </row>
    <row r="7" spans="1:14" x14ac:dyDescent="0.25">
      <c r="A7" s="72"/>
      <c r="B7" s="77" t="s">
        <v>22</v>
      </c>
      <c r="C7" s="79"/>
      <c r="D7" s="79"/>
      <c r="E7" s="79"/>
      <c r="F7" s="79" t="e">
        <f>F6+D7-E7</f>
        <v>#REF!</v>
      </c>
      <c r="G7" s="74"/>
      <c r="H7" s="75"/>
      <c r="I7" s="77" t="s">
        <v>22</v>
      </c>
      <c r="J7" s="79"/>
      <c r="K7" s="79"/>
      <c r="L7" s="79"/>
      <c r="M7" s="79" t="e">
        <f>M6+K7-L7</f>
        <v>#REF!</v>
      </c>
    </row>
    <row r="8" spans="1:14" x14ac:dyDescent="0.25">
      <c r="A8" s="72"/>
      <c r="B8" s="77" t="s">
        <v>22</v>
      </c>
      <c r="C8" s="79"/>
      <c r="D8" s="79"/>
      <c r="E8" s="79"/>
      <c r="F8" s="79" t="e">
        <f>F7+D8-E8</f>
        <v>#REF!</v>
      </c>
      <c r="G8" s="74"/>
      <c r="H8" s="75"/>
      <c r="I8" s="77" t="s">
        <v>22</v>
      </c>
      <c r="J8" s="79"/>
      <c r="K8" s="79"/>
      <c r="L8" s="79"/>
      <c r="M8" s="79" t="e">
        <f>M7+K8-L8</f>
        <v>#REF!</v>
      </c>
    </row>
    <row r="9" spans="1:14" x14ac:dyDescent="0.25">
      <c r="A9" s="72"/>
      <c r="B9" s="262" t="s">
        <v>81</v>
      </c>
      <c r="C9" s="262"/>
      <c r="D9" s="86" t="e">
        <f>SUM(D6:D8)</f>
        <v>#REF!</v>
      </c>
      <c r="E9" s="86">
        <f>SUM(E6:E8)</f>
        <v>0</v>
      </c>
      <c r="F9" s="86" t="e">
        <f>F5+D9-E9</f>
        <v>#REF!</v>
      </c>
      <c r="G9" s="74"/>
      <c r="H9" s="75"/>
      <c r="I9" s="262" t="s">
        <v>81</v>
      </c>
      <c r="J9" s="262"/>
      <c r="K9" s="86" t="e">
        <f>SUM(K6:K8)</f>
        <v>#REF!</v>
      </c>
      <c r="L9" s="86">
        <f>SUM(L6:L8)</f>
        <v>0</v>
      </c>
      <c r="M9" s="86" t="e">
        <f>M5+K9-L9</f>
        <v>#REF!</v>
      </c>
    </row>
    <row r="10" spans="1:14" x14ac:dyDescent="0.25">
      <c r="A10" s="72" t="s">
        <v>57</v>
      </c>
      <c r="B10" s="73" t="s">
        <v>58</v>
      </c>
      <c r="C10" s="74"/>
      <c r="D10" s="74"/>
      <c r="E10" s="74"/>
      <c r="F10" s="74"/>
      <c r="G10" s="74"/>
      <c r="H10" s="75" t="s">
        <v>59</v>
      </c>
      <c r="I10" s="74" t="s">
        <v>60</v>
      </c>
      <c r="J10" s="74"/>
      <c r="K10" s="74"/>
      <c r="L10" s="74"/>
      <c r="M10" s="74"/>
    </row>
    <row r="11" spans="1:14" ht="22.5" x14ac:dyDescent="0.25">
      <c r="A11" s="72"/>
      <c r="B11" s="83" t="s">
        <v>18</v>
      </c>
      <c r="C11" s="84" t="s">
        <v>80</v>
      </c>
      <c r="D11" s="85" t="s">
        <v>10</v>
      </c>
      <c r="E11" s="85" t="s">
        <v>11</v>
      </c>
      <c r="F11" s="85" t="s">
        <v>20</v>
      </c>
      <c r="G11" s="74"/>
      <c r="H11" s="75"/>
      <c r="I11" s="83" t="s">
        <v>18</v>
      </c>
      <c r="J11" s="84" t="s">
        <v>80</v>
      </c>
      <c r="K11" s="85" t="s">
        <v>10</v>
      </c>
      <c r="L11" s="85" t="s">
        <v>11</v>
      </c>
      <c r="M11" s="85" t="s">
        <v>20</v>
      </c>
    </row>
    <row r="12" spans="1:14" x14ac:dyDescent="0.25">
      <c r="A12" s="78"/>
      <c r="B12" s="77"/>
      <c r="C12" s="79">
        <v>0</v>
      </c>
      <c r="D12" s="80"/>
      <c r="E12" s="80"/>
      <c r="F12" s="79">
        <f>C12</f>
        <v>0</v>
      </c>
      <c r="G12" s="74"/>
      <c r="H12" s="78"/>
      <c r="I12" s="77"/>
      <c r="J12" s="79">
        <v>0</v>
      </c>
      <c r="K12" s="80"/>
      <c r="L12" s="80"/>
      <c r="M12" s="79">
        <f>J12</f>
        <v>0</v>
      </c>
    </row>
    <row r="13" spans="1:14" x14ac:dyDescent="0.25">
      <c r="A13" s="78">
        <v>41305</v>
      </c>
      <c r="B13" s="77" t="s">
        <v>22</v>
      </c>
      <c r="C13" s="79"/>
      <c r="D13" s="79" t="e">
        <f>#REF!</f>
        <v>#REF!</v>
      </c>
      <c r="E13" s="79"/>
      <c r="F13" s="79" t="e">
        <f>F12+D13-E13</f>
        <v>#REF!</v>
      </c>
      <c r="G13" s="74"/>
      <c r="H13" s="78">
        <v>41305</v>
      </c>
      <c r="I13" s="77" t="s">
        <v>22</v>
      </c>
      <c r="J13" s="79"/>
      <c r="K13" s="79" t="e">
        <f>#REF!</f>
        <v>#REF!</v>
      </c>
      <c r="L13" s="79"/>
      <c r="M13" s="79" t="e">
        <f>M12+K13-L13</f>
        <v>#REF!</v>
      </c>
    </row>
    <row r="14" spans="1:14" x14ac:dyDescent="0.25">
      <c r="A14" s="72"/>
      <c r="B14" s="77" t="s">
        <v>22</v>
      </c>
      <c r="C14" s="79"/>
      <c r="D14" s="79"/>
      <c r="E14" s="79"/>
      <c r="F14" s="79" t="e">
        <f>F13+D14-E14</f>
        <v>#REF!</v>
      </c>
      <c r="G14" s="74"/>
      <c r="H14" s="75"/>
      <c r="I14" s="77" t="s">
        <v>22</v>
      </c>
      <c r="J14" s="79"/>
      <c r="K14" s="79"/>
      <c r="L14" s="79"/>
      <c r="M14" s="79" t="e">
        <f>M13+K14-L14</f>
        <v>#REF!</v>
      </c>
    </row>
    <row r="15" spans="1:14" x14ac:dyDescent="0.25">
      <c r="A15" s="72"/>
      <c r="B15" s="77" t="s">
        <v>22</v>
      </c>
      <c r="C15" s="79"/>
      <c r="D15" s="79"/>
      <c r="E15" s="79"/>
      <c r="F15" s="79" t="e">
        <f>F14+D15-E15</f>
        <v>#REF!</v>
      </c>
      <c r="G15" s="74"/>
      <c r="H15" s="75"/>
      <c r="I15" s="77" t="s">
        <v>22</v>
      </c>
      <c r="J15" s="79"/>
      <c r="K15" s="79"/>
      <c r="L15" s="79"/>
      <c r="M15" s="79" t="e">
        <f>M14+K15-L15</f>
        <v>#REF!</v>
      </c>
    </row>
    <row r="16" spans="1:14" x14ac:dyDescent="0.25">
      <c r="A16" s="72"/>
      <c r="B16" s="262" t="s">
        <v>81</v>
      </c>
      <c r="C16" s="262"/>
      <c r="D16" s="86" t="e">
        <f>SUM(D13:D15)</f>
        <v>#REF!</v>
      </c>
      <c r="E16" s="86">
        <f>SUM(E13:E15)</f>
        <v>0</v>
      </c>
      <c r="F16" s="86" t="e">
        <f>F12+D16-E16</f>
        <v>#REF!</v>
      </c>
      <c r="G16" s="74"/>
      <c r="H16" s="75"/>
      <c r="I16" s="262" t="s">
        <v>81</v>
      </c>
      <c r="J16" s="262"/>
      <c r="K16" s="86" t="e">
        <f>SUM(K13:K15)</f>
        <v>#REF!</v>
      </c>
      <c r="L16" s="86">
        <f>SUM(L13:L15)</f>
        <v>0</v>
      </c>
      <c r="M16" s="86" t="e">
        <f>M12+K16-L16</f>
        <v>#REF!</v>
      </c>
    </row>
    <row r="17" spans="1:13" x14ac:dyDescent="0.25">
      <c r="A17" s="72" t="s">
        <v>61</v>
      </c>
      <c r="B17" s="73" t="s">
        <v>62</v>
      </c>
      <c r="C17" s="74"/>
      <c r="D17" s="74"/>
      <c r="E17" s="74"/>
      <c r="F17" s="74"/>
      <c r="G17" s="74"/>
      <c r="H17" s="72" t="s">
        <v>63</v>
      </c>
      <c r="I17" s="73" t="s">
        <v>64</v>
      </c>
      <c r="J17" s="74"/>
      <c r="K17" s="74"/>
      <c r="L17" s="74"/>
      <c r="M17" s="74"/>
    </row>
    <row r="18" spans="1:13" ht="22.5" x14ac:dyDescent="0.25">
      <c r="A18" s="72"/>
      <c r="B18" s="83" t="s">
        <v>18</v>
      </c>
      <c r="C18" s="84" t="s">
        <v>80</v>
      </c>
      <c r="D18" s="85" t="s">
        <v>10</v>
      </c>
      <c r="E18" s="85" t="s">
        <v>11</v>
      </c>
      <c r="F18" s="85" t="s">
        <v>20</v>
      </c>
      <c r="G18" s="74"/>
      <c r="H18" s="72"/>
      <c r="I18" s="83" t="s">
        <v>18</v>
      </c>
      <c r="J18" s="84" t="s">
        <v>80</v>
      </c>
      <c r="K18" s="85" t="s">
        <v>10</v>
      </c>
      <c r="L18" s="85" t="s">
        <v>11</v>
      </c>
      <c r="M18" s="85" t="s">
        <v>20</v>
      </c>
    </row>
    <row r="19" spans="1:13" x14ac:dyDescent="0.25">
      <c r="A19" s="78"/>
      <c r="B19" s="77"/>
      <c r="C19" s="79">
        <v>0</v>
      </c>
      <c r="D19" s="80"/>
      <c r="E19" s="80"/>
      <c r="F19" s="79">
        <f>C19</f>
        <v>0</v>
      </c>
      <c r="G19" s="74"/>
      <c r="H19" s="78"/>
      <c r="I19" s="77"/>
      <c r="J19" s="79">
        <v>0</v>
      </c>
      <c r="K19" s="80"/>
      <c r="L19" s="80"/>
      <c r="M19" s="79">
        <f>J19</f>
        <v>0</v>
      </c>
    </row>
    <row r="20" spans="1:13" x14ac:dyDescent="0.25">
      <c r="A20" s="78">
        <v>41305</v>
      </c>
      <c r="B20" s="77" t="s">
        <v>22</v>
      </c>
      <c r="C20" s="79"/>
      <c r="D20" s="79" t="e">
        <f>#REF!</f>
        <v>#REF!</v>
      </c>
      <c r="E20" s="79"/>
      <c r="F20" s="79" t="e">
        <f>F19+D20-E20</f>
        <v>#REF!</v>
      </c>
      <c r="G20" s="74"/>
      <c r="H20" s="78">
        <v>41305</v>
      </c>
      <c r="I20" s="77" t="s">
        <v>22</v>
      </c>
      <c r="J20" s="79"/>
      <c r="K20" s="79" t="e">
        <f>#REF!</f>
        <v>#REF!</v>
      </c>
      <c r="L20" s="79"/>
      <c r="M20" s="79" t="e">
        <f>M19+K20-L20</f>
        <v>#REF!</v>
      </c>
    </row>
    <row r="21" spans="1:13" x14ac:dyDescent="0.25">
      <c r="A21" s="78"/>
      <c r="B21" s="77" t="s">
        <v>22</v>
      </c>
      <c r="C21" s="79"/>
      <c r="D21" s="79"/>
      <c r="E21" s="79"/>
      <c r="F21" s="79" t="e">
        <f>F20+D21-E21</f>
        <v>#REF!</v>
      </c>
      <c r="G21" s="74"/>
      <c r="H21" s="78"/>
      <c r="I21" s="77" t="s">
        <v>22</v>
      </c>
      <c r="J21" s="79"/>
      <c r="K21" s="79"/>
      <c r="L21" s="79"/>
      <c r="M21" s="79" t="e">
        <f>M20+K21-L21</f>
        <v>#REF!</v>
      </c>
    </row>
    <row r="22" spans="1:13" x14ac:dyDescent="0.25">
      <c r="A22" s="72"/>
      <c r="B22" s="77" t="s">
        <v>22</v>
      </c>
      <c r="C22" s="79"/>
      <c r="D22" s="79"/>
      <c r="E22" s="79"/>
      <c r="F22" s="79" t="e">
        <f>F21+D22-E22</f>
        <v>#REF!</v>
      </c>
      <c r="G22" s="74"/>
      <c r="H22" s="72"/>
      <c r="I22" s="77" t="s">
        <v>22</v>
      </c>
      <c r="J22" s="79"/>
      <c r="K22" s="79"/>
      <c r="L22" s="79"/>
      <c r="M22" s="79" t="e">
        <f>M21+K22-L22</f>
        <v>#REF!</v>
      </c>
    </row>
    <row r="23" spans="1:13" x14ac:dyDescent="0.25">
      <c r="A23" s="72"/>
      <c r="B23" s="262" t="s">
        <v>81</v>
      </c>
      <c r="C23" s="262"/>
      <c r="D23" s="86" t="e">
        <f>SUM(D20:D22)</f>
        <v>#REF!</v>
      </c>
      <c r="E23" s="86">
        <f>SUM(E20:E22)</f>
        <v>0</v>
      </c>
      <c r="F23" s="86" t="e">
        <f>F19+D23-E23</f>
        <v>#REF!</v>
      </c>
      <c r="G23" s="74"/>
      <c r="H23" s="75"/>
      <c r="I23" s="262" t="s">
        <v>81</v>
      </c>
      <c r="J23" s="262"/>
      <c r="K23" s="86" t="e">
        <f>SUM(K20:K22)</f>
        <v>#REF!</v>
      </c>
      <c r="L23" s="86">
        <f>SUM(L20:L22)</f>
        <v>0</v>
      </c>
      <c r="M23" s="86" t="e">
        <f>M19+K23-L23</f>
        <v>#REF!</v>
      </c>
    </row>
    <row r="24" spans="1:13" x14ac:dyDescent="0.25">
      <c r="A24" s="72"/>
      <c r="C24" s="74"/>
      <c r="D24" s="74"/>
      <c r="E24" s="74"/>
      <c r="F24" s="74"/>
      <c r="G24" s="74"/>
      <c r="H24" s="75"/>
      <c r="I24" s="74"/>
      <c r="J24" s="74"/>
      <c r="K24" s="74"/>
      <c r="L24" s="74"/>
      <c r="M24" s="74"/>
    </row>
    <row r="25" spans="1:13" ht="15.75" x14ac:dyDescent="0.25">
      <c r="A25" s="72"/>
      <c r="C25" s="74"/>
      <c r="D25" s="74"/>
      <c r="E25" s="259" t="s">
        <v>78</v>
      </c>
      <c r="F25" s="260"/>
      <c r="G25" s="260"/>
      <c r="H25" s="260"/>
      <c r="I25" s="261"/>
      <c r="J25" s="74"/>
      <c r="K25" s="74"/>
      <c r="L25" s="74"/>
      <c r="M25" s="81" t="e">
        <f>F32+M32+F39+M39+F46+M46</f>
        <v>#REF!</v>
      </c>
    </row>
    <row r="26" spans="1:13" x14ac:dyDescent="0.25">
      <c r="A26" s="72" t="str">
        <f>+A3</f>
        <v>4.01</v>
      </c>
      <c r="B26" s="73" t="s">
        <v>54</v>
      </c>
      <c r="C26" s="74"/>
      <c r="D26" s="74"/>
      <c r="E26" s="74"/>
      <c r="F26" s="74"/>
      <c r="G26" s="74"/>
      <c r="H26" s="75" t="str">
        <f>+H3</f>
        <v>4.02</v>
      </c>
      <c r="I26" s="74" t="s">
        <v>56</v>
      </c>
      <c r="J26" s="74"/>
      <c r="K26" s="74"/>
      <c r="L26" s="74"/>
      <c r="M26" s="74"/>
    </row>
    <row r="27" spans="1:13" ht="22.5" x14ac:dyDescent="0.25">
      <c r="A27" s="72"/>
      <c r="B27" s="83" t="s">
        <v>18</v>
      </c>
      <c r="C27" s="84" t="s">
        <v>80</v>
      </c>
      <c r="D27" s="85" t="s">
        <v>10</v>
      </c>
      <c r="E27" s="85" t="s">
        <v>11</v>
      </c>
      <c r="F27" s="85" t="s">
        <v>20</v>
      </c>
      <c r="G27" s="74"/>
      <c r="H27" s="75"/>
      <c r="I27" s="83" t="s">
        <v>18</v>
      </c>
      <c r="J27" s="84" t="s">
        <v>80</v>
      </c>
      <c r="K27" s="85" t="s">
        <v>10</v>
      </c>
      <c r="L27" s="85" t="s">
        <v>11</v>
      </c>
      <c r="M27" s="85" t="s">
        <v>20</v>
      </c>
    </row>
    <row r="28" spans="1:13" x14ac:dyDescent="0.25">
      <c r="A28" s="78"/>
      <c r="B28" s="77"/>
      <c r="C28" s="79">
        <v>0</v>
      </c>
      <c r="D28" s="80"/>
      <c r="E28" s="80"/>
      <c r="F28" s="79">
        <f>C28</f>
        <v>0</v>
      </c>
      <c r="G28" s="74"/>
      <c r="H28" s="78"/>
      <c r="I28" s="77"/>
      <c r="J28" s="79">
        <v>0</v>
      </c>
      <c r="K28" s="80"/>
      <c r="L28" s="80"/>
      <c r="M28" s="79">
        <f>J28</f>
        <v>0</v>
      </c>
    </row>
    <row r="29" spans="1:13" x14ac:dyDescent="0.25">
      <c r="A29" s="78">
        <v>41305</v>
      </c>
      <c r="B29" s="77" t="s">
        <v>22</v>
      </c>
      <c r="C29" s="79"/>
      <c r="D29" s="79" t="e">
        <f>#REF!</f>
        <v>#REF!</v>
      </c>
      <c r="E29" s="79"/>
      <c r="F29" s="79" t="e">
        <f>F28+D29-E29</f>
        <v>#REF!</v>
      </c>
      <c r="G29" s="74"/>
      <c r="H29" s="78">
        <v>41305</v>
      </c>
      <c r="I29" s="77" t="s">
        <v>22</v>
      </c>
      <c r="J29" s="79"/>
      <c r="K29" s="79" t="e">
        <f>#REF!</f>
        <v>#REF!</v>
      </c>
      <c r="L29" s="79"/>
      <c r="M29" s="79" t="e">
        <f>M28+K29-L29</f>
        <v>#REF!</v>
      </c>
    </row>
    <row r="30" spans="1:13" x14ac:dyDescent="0.25">
      <c r="A30" s="78">
        <v>41305</v>
      </c>
      <c r="B30" s="77" t="s">
        <v>22</v>
      </c>
      <c r="C30" s="79"/>
      <c r="D30" s="79"/>
      <c r="E30" s="79"/>
      <c r="F30" s="79" t="e">
        <f>F29+D30-E30</f>
        <v>#REF!</v>
      </c>
      <c r="G30" s="74"/>
      <c r="H30" s="78">
        <v>41305</v>
      </c>
      <c r="I30" s="77" t="s">
        <v>22</v>
      </c>
      <c r="J30" s="79"/>
      <c r="K30" s="79"/>
      <c r="L30" s="79"/>
      <c r="M30" s="79" t="e">
        <f>M29+K30-L30</f>
        <v>#REF!</v>
      </c>
    </row>
    <row r="31" spans="1:13" x14ac:dyDescent="0.25">
      <c r="A31" s="78"/>
      <c r="B31" s="77" t="s">
        <v>22</v>
      </c>
      <c r="C31" s="79"/>
      <c r="D31" s="79"/>
      <c r="E31" s="79"/>
      <c r="F31" s="79" t="e">
        <f>F30+D31-E31</f>
        <v>#REF!</v>
      </c>
      <c r="G31" s="74"/>
      <c r="H31" s="78"/>
      <c r="I31" s="77" t="s">
        <v>22</v>
      </c>
      <c r="J31" s="79"/>
      <c r="K31" s="79"/>
      <c r="L31" s="79"/>
      <c r="M31" s="79" t="e">
        <f>M30+K31-L31</f>
        <v>#REF!</v>
      </c>
    </row>
    <row r="32" spans="1:13" x14ac:dyDescent="0.25">
      <c r="A32" s="72"/>
      <c r="B32" s="262" t="s">
        <v>81</v>
      </c>
      <c r="C32" s="262"/>
      <c r="D32" s="86" t="e">
        <f>SUM(D29:D31)</f>
        <v>#REF!</v>
      </c>
      <c r="E32" s="86">
        <f>SUM(E29:E31)</f>
        <v>0</v>
      </c>
      <c r="F32" s="86" t="e">
        <f>F28+D32-E32</f>
        <v>#REF!</v>
      </c>
      <c r="G32" s="74"/>
      <c r="H32" s="75"/>
      <c r="I32" s="262" t="s">
        <v>81</v>
      </c>
      <c r="J32" s="262"/>
      <c r="K32" s="86" t="e">
        <f>SUM(K29:K31)</f>
        <v>#REF!</v>
      </c>
      <c r="L32" s="86">
        <f>SUM(L29:L31)</f>
        <v>0</v>
      </c>
      <c r="M32" s="86" t="e">
        <f>M28+K32-L32</f>
        <v>#REF!</v>
      </c>
    </row>
    <row r="33" spans="1:13" x14ac:dyDescent="0.25">
      <c r="A33" s="72" t="str">
        <f>+A10</f>
        <v>4.03</v>
      </c>
      <c r="B33" s="73" t="s">
        <v>58</v>
      </c>
      <c r="C33" s="74"/>
      <c r="D33" s="74"/>
      <c r="E33" s="74"/>
      <c r="F33" s="74"/>
      <c r="G33" s="74"/>
      <c r="H33" s="75" t="str">
        <f>+H10</f>
        <v>4.04</v>
      </c>
      <c r="I33" s="74" t="s">
        <v>60</v>
      </c>
      <c r="J33" s="74"/>
      <c r="K33" s="74"/>
      <c r="L33" s="74"/>
      <c r="M33" s="74"/>
    </row>
    <row r="34" spans="1:13" ht="22.5" x14ac:dyDescent="0.25">
      <c r="A34" s="72"/>
      <c r="B34" s="83" t="s">
        <v>18</v>
      </c>
      <c r="C34" s="84" t="s">
        <v>80</v>
      </c>
      <c r="D34" s="85" t="s">
        <v>10</v>
      </c>
      <c r="E34" s="85" t="s">
        <v>11</v>
      </c>
      <c r="F34" s="85" t="s">
        <v>20</v>
      </c>
      <c r="G34" s="74"/>
      <c r="H34" s="75"/>
      <c r="I34" s="83" t="s">
        <v>18</v>
      </c>
      <c r="J34" s="84" t="s">
        <v>80</v>
      </c>
      <c r="K34" s="85" t="s">
        <v>10</v>
      </c>
      <c r="L34" s="85" t="s">
        <v>11</v>
      </c>
      <c r="M34" s="85" t="s">
        <v>20</v>
      </c>
    </row>
    <row r="35" spans="1:13" x14ac:dyDescent="0.25">
      <c r="A35" s="78"/>
      <c r="B35" s="77"/>
      <c r="C35" s="79">
        <v>0</v>
      </c>
      <c r="D35" s="80"/>
      <c r="E35" s="80"/>
      <c r="F35" s="79">
        <f>C35</f>
        <v>0</v>
      </c>
      <c r="G35" s="74"/>
      <c r="H35" s="78"/>
      <c r="I35" s="77"/>
      <c r="J35" s="79">
        <v>0</v>
      </c>
      <c r="K35" s="80"/>
      <c r="L35" s="80"/>
      <c r="M35" s="79">
        <f>J35</f>
        <v>0</v>
      </c>
    </row>
    <row r="36" spans="1:13" x14ac:dyDescent="0.25">
      <c r="A36" s="78">
        <v>41305</v>
      </c>
      <c r="B36" s="77" t="s">
        <v>22</v>
      </c>
      <c r="C36" s="79"/>
      <c r="D36" s="79" t="e">
        <f>#REF!</f>
        <v>#REF!</v>
      </c>
      <c r="E36" s="79"/>
      <c r="F36" s="79" t="e">
        <f>F35+D36-E36</f>
        <v>#REF!</v>
      </c>
      <c r="G36" s="74"/>
      <c r="H36" s="78">
        <v>41305</v>
      </c>
      <c r="I36" s="77" t="s">
        <v>22</v>
      </c>
      <c r="J36" s="79"/>
      <c r="K36" s="79" t="e">
        <f>#REF!</f>
        <v>#REF!</v>
      </c>
      <c r="L36" s="79"/>
      <c r="M36" s="79" t="e">
        <f>M35+K36-L36</f>
        <v>#REF!</v>
      </c>
    </row>
    <row r="37" spans="1:13" x14ac:dyDescent="0.25">
      <c r="A37" s="78">
        <v>41305</v>
      </c>
      <c r="B37" s="77" t="s">
        <v>22</v>
      </c>
      <c r="C37" s="79"/>
      <c r="D37" s="79"/>
      <c r="E37" s="79"/>
      <c r="F37" s="79" t="e">
        <f>F36+D37-E37</f>
        <v>#REF!</v>
      </c>
      <c r="G37" s="74"/>
      <c r="H37" s="78">
        <v>41305</v>
      </c>
      <c r="I37" s="77" t="s">
        <v>22</v>
      </c>
      <c r="J37" s="79"/>
      <c r="K37" s="79"/>
      <c r="L37" s="79"/>
      <c r="M37" s="79" t="e">
        <f>M36+K37-L37</f>
        <v>#REF!</v>
      </c>
    </row>
    <row r="38" spans="1:13" x14ac:dyDescent="0.25">
      <c r="A38" s="78"/>
      <c r="B38" s="77" t="s">
        <v>22</v>
      </c>
      <c r="C38" s="79"/>
      <c r="D38" s="79"/>
      <c r="E38" s="79"/>
      <c r="F38" s="79" t="e">
        <f>F37+D38-E38</f>
        <v>#REF!</v>
      </c>
      <c r="G38" s="74"/>
      <c r="H38" s="78"/>
      <c r="I38" s="77" t="s">
        <v>22</v>
      </c>
      <c r="J38" s="79"/>
      <c r="K38" s="79"/>
      <c r="L38" s="79"/>
      <c r="M38" s="79" t="e">
        <f>M37+K38-L38</f>
        <v>#REF!</v>
      </c>
    </row>
    <row r="39" spans="1:13" x14ac:dyDescent="0.25">
      <c r="A39" s="72"/>
      <c r="B39" s="262" t="s">
        <v>81</v>
      </c>
      <c r="C39" s="262"/>
      <c r="D39" s="86" t="e">
        <f>SUM(D36:D38)</f>
        <v>#REF!</v>
      </c>
      <c r="E39" s="86">
        <f>SUM(E36:E38)</f>
        <v>0</v>
      </c>
      <c r="F39" s="86" t="e">
        <f>F35+D39-E39</f>
        <v>#REF!</v>
      </c>
      <c r="G39" s="74"/>
      <c r="H39" s="75"/>
      <c r="I39" s="262" t="s">
        <v>81</v>
      </c>
      <c r="J39" s="262"/>
      <c r="K39" s="86" t="e">
        <f>SUM(K36:K38)</f>
        <v>#REF!</v>
      </c>
      <c r="L39" s="86">
        <f>SUM(L36:L38)</f>
        <v>0</v>
      </c>
      <c r="M39" s="86" t="e">
        <f>M35+K39-L39</f>
        <v>#REF!</v>
      </c>
    </row>
    <row r="40" spans="1:13" x14ac:dyDescent="0.25">
      <c r="A40" s="72" t="str">
        <f>+A17</f>
        <v>4.07</v>
      </c>
      <c r="B40" s="73" t="s">
        <v>62</v>
      </c>
      <c r="C40" s="74"/>
      <c r="D40" s="74"/>
      <c r="E40" s="74"/>
      <c r="F40" s="74"/>
      <c r="G40" s="74"/>
      <c r="H40" s="72" t="str">
        <f>+H17</f>
        <v>4.11</v>
      </c>
      <c r="I40" s="73" t="s">
        <v>64</v>
      </c>
      <c r="J40" s="74"/>
      <c r="K40" s="74"/>
      <c r="L40" s="74"/>
      <c r="M40" s="74"/>
    </row>
    <row r="41" spans="1:13" ht="22.5" x14ac:dyDescent="0.25">
      <c r="A41" s="72"/>
      <c r="B41" s="83" t="s">
        <v>18</v>
      </c>
      <c r="C41" s="84" t="s">
        <v>80</v>
      </c>
      <c r="D41" s="85" t="s">
        <v>10</v>
      </c>
      <c r="E41" s="85" t="s">
        <v>11</v>
      </c>
      <c r="F41" s="85" t="s">
        <v>20</v>
      </c>
      <c r="G41" s="74"/>
      <c r="H41" s="72"/>
      <c r="I41" s="83" t="s">
        <v>18</v>
      </c>
      <c r="J41" s="84" t="s">
        <v>80</v>
      </c>
      <c r="K41" s="85" t="s">
        <v>10</v>
      </c>
      <c r="L41" s="85" t="s">
        <v>11</v>
      </c>
      <c r="M41" s="85" t="s">
        <v>20</v>
      </c>
    </row>
    <row r="42" spans="1:13" x14ac:dyDescent="0.25">
      <c r="A42" s="78"/>
      <c r="B42" s="77"/>
      <c r="C42" s="79">
        <v>0</v>
      </c>
      <c r="D42" s="80"/>
      <c r="E42" s="80"/>
      <c r="F42" s="79">
        <f>C42</f>
        <v>0</v>
      </c>
      <c r="G42" s="74"/>
      <c r="H42" s="78"/>
      <c r="I42" s="77"/>
      <c r="J42" s="79">
        <v>0</v>
      </c>
      <c r="K42" s="80"/>
      <c r="L42" s="80"/>
      <c r="M42" s="79">
        <f>J42</f>
        <v>0</v>
      </c>
    </row>
    <row r="43" spans="1:13" x14ac:dyDescent="0.25">
      <c r="A43" s="78">
        <v>41305</v>
      </c>
      <c r="B43" s="77" t="s">
        <v>22</v>
      </c>
      <c r="C43" s="79"/>
      <c r="D43" s="79" t="e">
        <f>#REF!</f>
        <v>#REF!</v>
      </c>
      <c r="E43" s="79"/>
      <c r="F43" s="79" t="e">
        <f>F42+D43-E43</f>
        <v>#REF!</v>
      </c>
      <c r="G43" s="74"/>
      <c r="H43" s="78">
        <v>41305</v>
      </c>
      <c r="I43" s="77" t="s">
        <v>22</v>
      </c>
      <c r="J43" s="79"/>
      <c r="K43" s="79" t="e">
        <f>#REF!</f>
        <v>#REF!</v>
      </c>
      <c r="L43" s="79"/>
      <c r="M43" s="79" t="e">
        <f>M42+K43-L43</f>
        <v>#REF!</v>
      </c>
    </row>
    <row r="44" spans="1:13" x14ac:dyDescent="0.25">
      <c r="A44" s="78">
        <v>41305</v>
      </c>
      <c r="B44" s="77" t="s">
        <v>22</v>
      </c>
      <c r="C44" s="79"/>
      <c r="D44" s="79"/>
      <c r="E44" s="79"/>
      <c r="F44" s="79" t="e">
        <f>F43+D44-E44</f>
        <v>#REF!</v>
      </c>
      <c r="G44" s="74"/>
      <c r="H44" s="78">
        <v>41305</v>
      </c>
      <c r="I44" s="77" t="s">
        <v>22</v>
      </c>
      <c r="J44" s="79"/>
      <c r="K44" s="79"/>
      <c r="L44" s="79"/>
      <c r="M44" s="79" t="e">
        <f>M43+K44-L44</f>
        <v>#REF!</v>
      </c>
    </row>
    <row r="45" spans="1:13" x14ac:dyDescent="0.25">
      <c r="A45" s="78"/>
      <c r="B45" s="77" t="s">
        <v>22</v>
      </c>
      <c r="C45" s="79"/>
      <c r="D45" s="79"/>
      <c r="E45" s="79"/>
      <c r="F45" s="79" t="e">
        <f>F44+D45-E45</f>
        <v>#REF!</v>
      </c>
      <c r="G45" s="74"/>
      <c r="H45" s="78"/>
      <c r="I45" s="77" t="s">
        <v>22</v>
      </c>
      <c r="J45" s="79"/>
      <c r="K45" s="79"/>
      <c r="L45" s="79"/>
      <c r="M45" s="79" t="e">
        <f>M44+K45-L45</f>
        <v>#REF!</v>
      </c>
    </row>
    <row r="46" spans="1:13" x14ac:dyDescent="0.25">
      <c r="A46" s="72"/>
      <c r="B46" s="262" t="s">
        <v>81</v>
      </c>
      <c r="C46" s="262"/>
      <c r="D46" s="86" t="e">
        <f>SUM(D43:D45)</f>
        <v>#REF!</v>
      </c>
      <c r="E46" s="86">
        <f>SUM(E43:E45)</f>
        <v>0</v>
      </c>
      <c r="F46" s="86" t="e">
        <f>F42+D46-E46</f>
        <v>#REF!</v>
      </c>
      <c r="G46" s="74"/>
      <c r="H46" s="75"/>
      <c r="I46" s="262" t="s">
        <v>81</v>
      </c>
      <c r="J46" s="262"/>
      <c r="K46" s="86" t="e">
        <f>SUM(K43:K45)</f>
        <v>#REF!</v>
      </c>
      <c r="L46" s="86">
        <f>SUM(L43:L45)</f>
        <v>0</v>
      </c>
      <c r="M46" s="86" t="e">
        <f>M42+K46-L46</f>
        <v>#REF!</v>
      </c>
    </row>
    <row r="47" spans="1:13" x14ac:dyDescent="0.25">
      <c r="A47" s="72"/>
      <c r="C47" s="74"/>
      <c r="D47" s="82"/>
      <c r="E47" s="82"/>
      <c r="F47" s="74"/>
      <c r="G47" s="74"/>
      <c r="H47" s="75"/>
      <c r="I47" s="74"/>
      <c r="J47" s="74"/>
      <c r="K47" s="82"/>
      <c r="L47" s="82"/>
      <c r="M47" s="74"/>
    </row>
    <row r="48" spans="1:13" ht="15.75" x14ac:dyDescent="0.25">
      <c r="A48" s="72"/>
      <c r="C48" s="74"/>
      <c r="D48" s="74"/>
      <c r="E48" s="259" t="s">
        <v>79</v>
      </c>
      <c r="F48" s="260"/>
      <c r="G48" s="260"/>
      <c r="H48" s="260"/>
      <c r="I48" s="261"/>
      <c r="J48" s="74"/>
      <c r="K48" s="74"/>
      <c r="L48" s="74"/>
      <c r="M48" s="81" t="e">
        <f>F55+M55+F62+M62+F69+M69</f>
        <v>#REF!</v>
      </c>
    </row>
    <row r="49" spans="1:13" x14ac:dyDescent="0.25">
      <c r="A49" s="72" t="str">
        <f>+A26</f>
        <v>4.01</v>
      </c>
      <c r="B49" s="73" t="s">
        <v>54</v>
      </c>
      <c r="C49" s="74"/>
      <c r="D49" s="74"/>
      <c r="E49" s="74"/>
      <c r="F49" s="74"/>
      <c r="G49" s="74"/>
      <c r="H49" s="75" t="str">
        <f>+H26</f>
        <v>4.02</v>
      </c>
      <c r="I49" s="74" t="s">
        <v>56</v>
      </c>
      <c r="J49" s="74"/>
      <c r="K49" s="74"/>
      <c r="L49" s="74"/>
      <c r="M49" s="74"/>
    </row>
    <row r="50" spans="1:13" ht="22.5" x14ac:dyDescent="0.25">
      <c r="A50" s="72"/>
      <c r="B50" s="83" t="s">
        <v>18</v>
      </c>
      <c r="C50" s="84" t="s">
        <v>80</v>
      </c>
      <c r="D50" s="85" t="s">
        <v>10</v>
      </c>
      <c r="E50" s="85" t="s">
        <v>11</v>
      </c>
      <c r="F50" s="85" t="s">
        <v>20</v>
      </c>
      <c r="G50" s="74"/>
      <c r="H50" s="75"/>
      <c r="I50" s="83" t="s">
        <v>18</v>
      </c>
      <c r="J50" s="84" t="s">
        <v>80</v>
      </c>
      <c r="K50" s="85" t="s">
        <v>10</v>
      </c>
      <c r="L50" s="85" t="s">
        <v>11</v>
      </c>
      <c r="M50" s="85" t="s">
        <v>20</v>
      </c>
    </row>
    <row r="51" spans="1:13" x14ac:dyDescent="0.25">
      <c r="A51" s="78"/>
      <c r="B51" s="77"/>
      <c r="C51" s="79">
        <v>0</v>
      </c>
      <c r="D51" s="80"/>
      <c r="E51" s="80"/>
      <c r="F51" s="79">
        <f>C51</f>
        <v>0</v>
      </c>
      <c r="G51" s="74"/>
      <c r="H51" s="78"/>
      <c r="I51" s="77"/>
      <c r="J51" s="79">
        <v>0</v>
      </c>
      <c r="K51" s="80"/>
      <c r="L51" s="80"/>
      <c r="M51" s="79">
        <f>J51</f>
        <v>0</v>
      </c>
    </row>
    <row r="52" spans="1:13" x14ac:dyDescent="0.25">
      <c r="A52" s="78">
        <v>41305</v>
      </c>
      <c r="B52" s="77" t="s">
        <v>22</v>
      </c>
      <c r="C52" s="79"/>
      <c r="D52" s="79" t="e">
        <f>#REF!</f>
        <v>#REF!</v>
      </c>
      <c r="E52" s="79"/>
      <c r="F52" s="79" t="e">
        <f>F51+D52-E52</f>
        <v>#REF!</v>
      </c>
      <c r="G52" s="74"/>
      <c r="H52" s="78">
        <v>41305</v>
      </c>
      <c r="I52" s="77" t="s">
        <v>22</v>
      </c>
      <c r="J52" s="79"/>
      <c r="K52" s="79" t="e">
        <f>#REF!</f>
        <v>#REF!</v>
      </c>
      <c r="L52" s="79"/>
      <c r="M52" s="79" t="e">
        <f>M51+K52-L52</f>
        <v>#REF!</v>
      </c>
    </row>
    <row r="53" spans="1:13" x14ac:dyDescent="0.25">
      <c r="A53" s="78">
        <v>41305</v>
      </c>
      <c r="B53" s="77" t="s">
        <v>22</v>
      </c>
      <c r="C53" s="79"/>
      <c r="D53" s="79"/>
      <c r="E53" s="79"/>
      <c r="F53" s="79" t="e">
        <f>F52+D53-E53</f>
        <v>#REF!</v>
      </c>
      <c r="G53" s="74"/>
      <c r="H53" s="78">
        <v>41305</v>
      </c>
      <c r="I53" s="77" t="s">
        <v>22</v>
      </c>
      <c r="J53" s="79"/>
      <c r="K53" s="79"/>
      <c r="L53" s="79"/>
      <c r="M53" s="79" t="e">
        <f>M52+K53-L53</f>
        <v>#REF!</v>
      </c>
    </row>
    <row r="54" spans="1:13" x14ac:dyDescent="0.25">
      <c r="A54" s="72"/>
      <c r="B54" s="77" t="s">
        <v>22</v>
      </c>
      <c r="C54" s="79"/>
      <c r="D54" s="79"/>
      <c r="E54" s="79"/>
      <c r="F54" s="79" t="e">
        <f>F53+D54-E54</f>
        <v>#REF!</v>
      </c>
      <c r="G54" s="74"/>
      <c r="H54" s="75"/>
      <c r="I54" s="77" t="s">
        <v>22</v>
      </c>
      <c r="J54" s="79"/>
      <c r="K54" s="79"/>
      <c r="L54" s="79"/>
      <c r="M54" s="79" t="e">
        <f>M53+K54-L54</f>
        <v>#REF!</v>
      </c>
    </row>
    <row r="55" spans="1:13" x14ac:dyDescent="0.25">
      <c r="A55" s="72"/>
      <c r="B55" s="262" t="s">
        <v>81</v>
      </c>
      <c r="C55" s="262"/>
      <c r="D55" s="86" t="e">
        <f>SUM(D52:D54)</f>
        <v>#REF!</v>
      </c>
      <c r="E55" s="86">
        <f>SUM(E52:E54)</f>
        <v>0</v>
      </c>
      <c r="F55" s="86" t="e">
        <f>F51+D55-E55</f>
        <v>#REF!</v>
      </c>
      <c r="G55" s="74"/>
      <c r="H55" s="75"/>
      <c r="I55" s="262" t="s">
        <v>81</v>
      </c>
      <c r="J55" s="262"/>
      <c r="K55" s="86" t="e">
        <f>SUM(K52:K54)</f>
        <v>#REF!</v>
      </c>
      <c r="L55" s="86">
        <f>SUM(L52:L54)</f>
        <v>0</v>
      </c>
      <c r="M55" s="86" t="e">
        <f>M51+K55-L55</f>
        <v>#REF!</v>
      </c>
    </row>
    <row r="56" spans="1:13" x14ac:dyDescent="0.25">
      <c r="A56" s="72" t="str">
        <f>+A33</f>
        <v>4.03</v>
      </c>
      <c r="B56" s="73" t="s">
        <v>58</v>
      </c>
      <c r="C56" s="74"/>
      <c r="D56" s="74"/>
      <c r="E56" s="74"/>
      <c r="F56" s="74"/>
      <c r="G56" s="74"/>
      <c r="H56" s="75" t="str">
        <f>+H33</f>
        <v>4.04</v>
      </c>
      <c r="I56" s="74" t="s">
        <v>60</v>
      </c>
      <c r="J56" s="74"/>
      <c r="K56" s="74"/>
      <c r="L56" s="74"/>
      <c r="M56" s="74"/>
    </row>
    <row r="57" spans="1:13" ht="22.5" x14ac:dyDescent="0.25">
      <c r="A57" s="72"/>
      <c r="B57" s="83" t="s">
        <v>18</v>
      </c>
      <c r="C57" s="84" t="s">
        <v>80</v>
      </c>
      <c r="D57" s="85" t="s">
        <v>10</v>
      </c>
      <c r="E57" s="85" t="s">
        <v>11</v>
      </c>
      <c r="F57" s="85" t="s">
        <v>20</v>
      </c>
      <c r="G57" s="74"/>
      <c r="H57" s="75"/>
      <c r="I57" s="83" t="s">
        <v>18</v>
      </c>
      <c r="J57" s="84" t="s">
        <v>80</v>
      </c>
      <c r="K57" s="85" t="s">
        <v>10</v>
      </c>
      <c r="L57" s="85" t="s">
        <v>11</v>
      </c>
      <c r="M57" s="85" t="s">
        <v>20</v>
      </c>
    </row>
    <row r="58" spans="1:13" x14ac:dyDescent="0.25">
      <c r="A58" s="78"/>
      <c r="B58" s="77"/>
      <c r="C58" s="79">
        <v>0</v>
      </c>
      <c r="D58" s="80"/>
      <c r="E58" s="80"/>
      <c r="F58" s="79">
        <f>C58</f>
        <v>0</v>
      </c>
      <c r="G58" s="74"/>
      <c r="H58" s="78"/>
      <c r="I58" s="77"/>
      <c r="J58" s="79">
        <v>0</v>
      </c>
      <c r="K58" s="80"/>
      <c r="L58" s="80"/>
      <c r="M58" s="79">
        <f>J58</f>
        <v>0</v>
      </c>
    </row>
    <row r="59" spans="1:13" x14ac:dyDescent="0.25">
      <c r="A59" s="78">
        <v>41305</v>
      </c>
      <c r="B59" s="77" t="s">
        <v>22</v>
      </c>
      <c r="C59" s="79"/>
      <c r="D59" s="79" t="e">
        <f>#REF!</f>
        <v>#REF!</v>
      </c>
      <c r="E59" s="79"/>
      <c r="F59" s="79" t="e">
        <f>F58+D59-E59</f>
        <v>#REF!</v>
      </c>
      <c r="G59" s="74"/>
      <c r="H59" s="78">
        <v>41305</v>
      </c>
      <c r="I59" s="77" t="s">
        <v>22</v>
      </c>
      <c r="J59" s="79"/>
      <c r="K59" s="79" t="e">
        <f>#REF!</f>
        <v>#REF!</v>
      </c>
      <c r="L59" s="79"/>
      <c r="M59" s="79" t="e">
        <f>M58+K59-L59</f>
        <v>#REF!</v>
      </c>
    </row>
    <row r="60" spans="1:13" x14ac:dyDescent="0.25">
      <c r="A60" s="78">
        <v>41305</v>
      </c>
      <c r="B60" s="77" t="s">
        <v>22</v>
      </c>
      <c r="C60" s="79"/>
      <c r="D60" s="79"/>
      <c r="E60" s="79"/>
      <c r="F60" s="79" t="e">
        <f>F59+D60-E60</f>
        <v>#REF!</v>
      </c>
      <c r="G60" s="74"/>
      <c r="H60" s="78">
        <v>41305</v>
      </c>
      <c r="I60" s="77" t="s">
        <v>22</v>
      </c>
      <c r="J60" s="79"/>
      <c r="K60" s="79"/>
      <c r="L60" s="79"/>
      <c r="M60" s="79" t="e">
        <f>M59+K60-L60</f>
        <v>#REF!</v>
      </c>
    </row>
    <row r="61" spans="1:13" x14ac:dyDescent="0.25">
      <c r="A61" s="72"/>
      <c r="B61" s="77" t="s">
        <v>22</v>
      </c>
      <c r="C61" s="79"/>
      <c r="D61" s="79"/>
      <c r="E61" s="79"/>
      <c r="F61" s="79" t="e">
        <f>F60+D61-E61</f>
        <v>#REF!</v>
      </c>
      <c r="G61" s="74"/>
      <c r="H61" s="75"/>
      <c r="I61" s="77" t="s">
        <v>22</v>
      </c>
      <c r="J61" s="79"/>
      <c r="K61" s="79"/>
      <c r="L61" s="79"/>
      <c r="M61" s="79" t="e">
        <f>M60+K61-L61</f>
        <v>#REF!</v>
      </c>
    </row>
    <row r="62" spans="1:13" x14ac:dyDescent="0.25">
      <c r="A62" s="72"/>
      <c r="B62" s="262" t="s">
        <v>81</v>
      </c>
      <c r="C62" s="262"/>
      <c r="D62" s="86" t="e">
        <f>SUM(D59:D61)</f>
        <v>#REF!</v>
      </c>
      <c r="E62" s="86">
        <f>SUM(E59:E61)</f>
        <v>0</v>
      </c>
      <c r="F62" s="86" t="e">
        <f>F58+D62-E62</f>
        <v>#REF!</v>
      </c>
      <c r="G62" s="74"/>
      <c r="H62" s="75"/>
      <c r="I62" s="262" t="s">
        <v>81</v>
      </c>
      <c r="J62" s="262"/>
      <c r="K62" s="86" t="e">
        <f>SUM(K59:K61)</f>
        <v>#REF!</v>
      </c>
      <c r="L62" s="86">
        <f>SUM(L59:L61)</f>
        <v>0</v>
      </c>
      <c r="M62" s="86" t="e">
        <f>M58+K62-L62</f>
        <v>#REF!</v>
      </c>
    </row>
    <row r="63" spans="1:13" x14ac:dyDescent="0.25">
      <c r="A63" s="72" t="str">
        <f>+A40</f>
        <v>4.07</v>
      </c>
      <c r="B63" s="73" t="s">
        <v>62</v>
      </c>
      <c r="C63" s="74"/>
      <c r="D63" s="74"/>
      <c r="E63" s="74"/>
      <c r="F63" s="74"/>
      <c r="G63" s="74"/>
      <c r="H63" s="72" t="str">
        <f>+H40</f>
        <v>4.11</v>
      </c>
      <c r="I63" s="73" t="s">
        <v>64</v>
      </c>
      <c r="J63" s="74"/>
      <c r="K63" s="74"/>
      <c r="L63" s="74"/>
      <c r="M63" s="74"/>
    </row>
    <row r="64" spans="1:13" ht="22.5" x14ac:dyDescent="0.25">
      <c r="A64" s="72"/>
      <c r="B64" s="83" t="s">
        <v>18</v>
      </c>
      <c r="C64" s="84" t="s">
        <v>80</v>
      </c>
      <c r="D64" s="85" t="s">
        <v>10</v>
      </c>
      <c r="E64" s="85" t="s">
        <v>11</v>
      </c>
      <c r="F64" s="85" t="s">
        <v>20</v>
      </c>
      <c r="G64" s="74"/>
      <c r="H64" s="72"/>
      <c r="I64" s="83" t="s">
        <v>18</v>
      </c>
      <c r="J64" s="84" t="s">
        <v>80</v>
      </c>
      <c r="K64" s="85" t="s">
        <v>10</v>
      </c>
      <c r="L64" s="85" t="s">
        <v>11</v>
      </c>
      <c r="M64" s="85" t="s">
        <v>20</v>
      </c>
    </row>
    <row r="65" spans="1:13" x14ac:dyDescent="0.25">
      <c r="A65" s="78"/>
      <c r="B65" s="77"/>
      <c r="C65" s="79">
        <v>0</v>
      </c>
      <c r="D65" s="80"/>
      <c r="E65" s="80"/>
      <c r="F65" s="79">
        <f>C65</f>
        <v>0</v>
      </c>
      <c r="G65" s="74"/>
      <c r="H65" s="78"/>
      <c r="I65" s="77"/>
      <c r="J65" s="79">
        <v>0</v>
      </c>
      <c r="K65" s="80"/>
      <c r="L65" s="80"/>
      <c r="M65" s="79">
        <f>J65</f>
        <v>0</v>
      </c>
    </row>
    <row r="66" spans="1:13" x14ac:dyDescent="0.25">
      <c r="A66" s="78">
        <v>41305</v>
      </c>
      <c r="B66" s="77" t="s">
        <v>22</v>
      </c>
      <c r="C66" s="79"/>
      <c r="D66" s="79" t="e">
        <f>#REF!</f>
        <v>#REF!</v>
      </c>
      <c r="E66" s="79"/>
      <c r="F66" s="79" t="e">
        <f>F65+D66-E66</f>
        <v>#REF!</v>
      </c>
      <c r="G66" s="74"/>
      <c r="H66" s="78">
        <v>41305</v>
      </c>
      <c r="I66" s="77" t="s">
        <v>22</v>
      </c>
      <c r="J66" s="79"/>
      <c r="K66" s="79" t="e">
        <f>#REF!</f>
        <v>#REF!</v>
      </c>
      <c r="L66" s="79"/>
      <c r="M66" s="79" t="e">
        <f>M65+K66-L66</f>
        <v>#REF!</v>
      </c>
    </row>
    <row r="67" spans="1:13" x14ac:dyDescent="0.25">
      <c r="A67" s="78">
        <v>41305</v>
      </c>
      <c r="B67" s="77" t="s">
        <v>22</v>
      </c>
      <c r="C67" s="79"/>
      <c r="D67" s="79"/>
      <c r="E67" s="79"/>
      <c r="F67" s="79" t="e">
        <f>F66+D67-E67</f>
        <v>#REF!</v>
      </c>
      <c r="G67" s="74"/>
      <c r="H67" s="78">
        <v>41305</v>
      </c>
      <c r="I67" s="77" t="s">
        <v>22</v>
      </c>
      <c r="J67" s="79"/>
      <c r="K67" s="79"/>
      <c r="L67" s="79"/>
      <c r="M67" s="79" t="e">
        <f>M66+K67-L67</f>
        <v>#REF!</v>
      </c>
    </row>
    <row r="68" spans="1:13" x14ac:dyDescent="0.25">
      <c r="A68" s="72"/>
      <c r="B68" s="77" t="s">
        <v>22</v>
      </c>
      <c r="C68" s="79"/>
      <c r="D68" s="79"/>
      <c r="E68" s="79"/>
      <c r="F68" s="79" t="e">
        <f>F67+D68-E68</f>
        <v>#REF!</v>
      </c>
      <c r="G68" s="74"/>
      <c r="H68" s="72"/>
      <c r="I68" s="77" t="s">
        <v>22</v>
      </c>
      <c r="J68" s="79"/>
      <c r="K68" s="79"/>
      <c r="L68" s="79"/>
      <c r="M68" s="79" t="e">
        <f>M67+K68-L68</f>
        <v>#REF!</v>
      </c>
    </row>
    <row r="69" spans="1:13" x14ac:dyDescent="0.25">
      <c r="A69" s="72"/>
      <c r="B69" s="262" t="s">
        <v>81</v>
      </c>
      <c r="C69" s="262"/>
      <c r="D69" s="86" t="e">
        <f>SUM(D66:D68)</f>
        <v>#REF!</v>
      </c>
      <c r="E69" s="86">
        <f>SUM(E66:E68)</f>
        <v>0</v>
      </c>
      <c r="F69" s="86" t="e">
        <f>F65+D69-E69</f>
        <v>#REF!</v>
      </c>
      <c r="G69" s="74"/>
      <c r="H69" s="75"/>
      <c r="I69" s="262" t="s">
        <v>81</v>
      </c>
      <c r="J69" s="262"/>
      <c r="K69" s="86" t="e">
        <f>SUM(K66:K68)</f>
        <v>#REF!</v>
      </c>
      <c r="L69" s="86">
        <f>SUM(L66:L68)</f>
        <v>0</v>
      </c>
      <c r="M69" s="86" t="e">
        <f>M65+K69-L69</f>
        <v>#REF!</v>
      </c>
    </row>
    <row r="70" spans="1:13" x14ac:dyDescent="0.25">
      <c r="A70" s="72"/>
      <c r="C70" s="74"/>
      <c r="D70" s="74"/>
      <c r="E70" s="74"/>
      <c r="F70" s="74"/>
      <c r="G70" s="74"/>
      <c r="H70" s="75"/>
      <c r="I70" s="74"/>
      <c r="J70" s="74"/>
      <c r="K70" s="74"/>
      <c r="L70" s="74"/>
      <c r="M70" s="74"/>
    </row>
    <row r="71" spans="1:13" x14ac:dyDescent="0.25">
      <c r="A71" s="72"/>
      <c r="C71" s="74"/>
      <c r="D71" s="74"/>
      <c r="E71" s="74"/>
      <c r="F71" s="74"/>
      <c r="G71" s="74"/>
      <c r="H71" s="75"/>
      <c r="I71" s="74"/>
      <c r="J71" s="74"/>
      <c r="K71" s="74"/>
      <c r="L71" s="74"/>
      <c r="M71" s="7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W55"/>
  <sheetViews>
    <sheetView topLeftCell="K22" workbookViewId="0">
      <selection activeCell="N40" sqref="N40:O40"/>
    </sheetView>
  </sheetViews>
  <sheetFormatPr baseColWidth="10" defaultRowHeight="15" x14ac:dyDescent="0.25"/>
  <cols>
    <col min="1" max="1" width="8.42578125" style="73" customWidth="1"/>
    <col min="2" max="2" width="18.140625" style="73" customWidth="1"/>
    <col min="3" max="3" width="16.28515625" style="73" customWidth="1"/>
    <col min="4" max="4" width="13.42578125" style="73" bestFit="1" customWidth="1"/>
    <col min="5" max="5" width="14.5703125" style="73" customWidth="1"/>
    <col min="6" max="6" width="14.140625" style="73" customWidth="1"/>
    <col min="7" max="7" width="16.7109375" style="73" customWidth="1"/>
    <col min="8" max="8" width="24" style="73" customWidth="1"/>
    <col min="9" max="9" width="14" style="73" customWidth="1"/>
    <col min="10" max="10" width="14" style="73" hidden="1" customWidth="1"/>
    <col min="11" max="11" width="18.42578125" style="73" customWidth="1"/>
    <col min="12" max="12" width="19" style="73" customWidth="1"/>
    <col min="13" max="13" width="16.28515625" style="73" customWidth="1"/>
    <col min="14" max="14" width="16.5703125" style="73" customWidth="1"/>
    <col min="15" max="15" width="17" style="73" customWidth="1"/>
    <col min="16" max="16" width="15.140625" style="73" customWidth="1"/>
    <col min="17" max="17" width="15.42578125" style="73" customWidth="1"/>
    <col min="18" max="18" width="13.140625" style="73" customWidth="1"/>
    <col min="19" max="19" width="13" style="73" bestFit="1" customWidth="1"/>
    <col min="20" max="20" width="16.42578125" style="73" customWidth="1"/>
    <col min="21" max="21" width="13.85546875" style="73" customWidth="1"/>
    <col min="22" max="16384" width="11.42578125" style="73"/>
  </cols>
  <sheetData>
    <row r="1" spans="1:22" ht="15.75" x14ac:dyDescent="0.25">
      <c r="A1" s="1598" t="s">
        <v>134</v>
      </c>
      <c r="B1" s="1598"/>
      <c r="C1" s="1598"/>
      <c r="D1" s="1598"/>
      <c r="E1" s="1598"/>
      <c r="F1" s="1598"/>
      <c r="G1" s="1598"/>
      <c r="H1" s="1598"/>
      <c r="I1" s="1598"/>
      <c r="J1" s="1598"/>
      <c r="K1" s="1598"/>
      <c r="L1" s="1598"/>
      <c r="M1" s="1598"/>
      <c r="N1" s="1598"/>
      <c r="O1" s="1598"/>
      <c r="P1" s="1598"/>
      <c r="Q1" s="1598"/>
      <c r="R1" s="1598"/>
    </row>
    <row r="2" spans="1:22" x14ac:dyDescent="0.25">
      <c r="A2" s="1599" t="s">
        <v>135</v>
      </c>
      <c r="B2" s="1599"/>
      <c r="C2" s="1599"/>
      <c r="D2" s="1599"/>
      <c r="E2" s="1599"/>
      <c r="F2" s="1599"/>
      <c r="G2" s="1599"/>
      <c r="H2" s="1599"/>
      <c r="I2" s="1599"/>
      <c r="J2" s="1599"/>
      <c r="K2" s="1599"/>
      <c r="L2" s="1599"/>
      <c r="M2" s="1599"/>
      <c r="N2" s="1599"/>
      <c r="O2" s="1599"/>
      <c r="P2" s="1599"/>
      <c r="Q2" s="1599"/>
      <c r="R2" s="1599"/>
    </row>
    <row r="3" spans="1:22" ht="16.5" thickBot="1" x14ac:dyDescent="0.3">
      <c r="A3" s="1600">
        <v>45688</v>
      </c>
      <c r="B3" s="1600"/>
      <c r="C3" s="1600"/>
      <c r="D3" s="1600"/>
      <c r="E3" s="1600"/>
      <c r="F3" s="1600"/>
      <c r="G3" s="1600"/>
      <c r="H3" s="1600"/>
      <c r="I3" s="1600"/>
      <c r="J3" s="1600"/>
      <c r="K3" s="1600"/>
      <c r="L3" s="1600"/>
      <c r="M3" s="1600"/>
      <c r="N3" s="1600"/>
      <c r="O3" s="1600"/>
      <c r="P3" s="1600"/>
      <c r="Q3" s="1600"/>
      <c r="R3" s="1600"/>
    </row>
    <row r="4" spans="1:22" ht="15.75" thickBot="1" x14ac:dyDescent="0.3">
      <c r="A4" s="266" t="s">
        <v>136</v>
      </c>
      <c r="B4" s="267"/>
      <c r="C4" s="267"/>
      <c r="D4" s="267"/>
      <c r="E4" s="267"/>
      <c r="F4" s="267"/>
      <c r="G4" s="267"/>
      <c r="H4" s="267"/>
      <c r="I4" s="267"/>
      <c r="J4" s="267" t="s">
        <v>259</v>
      </c>
      <c r="K4" s="894"/>
      <c r="L4" s="267"/>
      <c r="M4" s="267"/>
      <c r="N4" s="267"/>
      <c r="O4" s="267"/>
      <c r="P4" s="506"/>
      <c r="Q4" s="1591" t="s">
        <v>137</v>
      </c>
      <c r="R4" s="1592"/>
    </row>
    <row r="5" spans="1:22" ht="36" customHeight="1" thickBot="1" x14ac:dyDescent="0.3">
      <c r="A5" s="1588" t="s">
        <v>138</v>
      </c>
      <c r="B5" s="1588" t="s">
        <v>139</v>
      </c>
      <c r="C5" s="1593" t="s">
        <v>140</v>
      </c>
      <c r="D5" s="1593" t="s">
        <v>75</v>
      </c>
      <c r="E5" s="1588" t="s">
        <v>471</v>
      </c>
      <c r="F5" s="861" t="s">
        <v>318</v>
      </c>
      <c r="G5" s="1610" t="s">
        <v>141</v>
      </c>
      <c r="H5" s="1611"/>
      <c r="I5" s="1611"/>
      <c r="J5" s="1611"/>
      <c r="K5" s="1612"/>
      <c r="L5" s="1588" t="s">
        <v>142</v>
      </c>
      <c r="M5" s="1593" t="s">
        <v>143</v>
      </c>
      <c r="N5" s="1593" t="s">
        <v>144</v>
      </c>
      <c r="O5" s="1593" t="s">
        <v>145</v>
      </c>
      <c r="P5" s="1588" t="s">
        <v>230</v>
      </c>
      <c r="Q5" s="1588" t="s">
        <v>146</v>
      </c>
      <c r="R5" s="1588" t="s">
        <v>147</v>
      </c>
      <c r="S5" s="177"/>
    </row>
    <row r="6" spans="1:22" x14ac:dyDescent="0.25">
      <c r="A6" s="1589"/>
      <c r="B6" s="1589"/>
      <c r="C6" s="1594"/>
      <c r="D6" s="1601"/>
      <c r="E6" s="1589"/>
      <c r="F6" s="592"/>
      <c r="G6" s="1602" t="s">
        <v>359</v>
      </c>
      <c r="H6" s="1595" t="s">
        <v>229</v>
      </c>
      <c r="I6" s="1605" t="s">
        <v>148</v>
      </c>
      <c r="J6" s="946"/>
      <c r="K6" s="1607" t="s">
        <v>149</v>
      </c>
      <c r="L6" s="1609"/>
      <c r="M6" s="1594"/>
      <c r="N6" s="1594"/>
      <c r="O6" s="1594"/>
      <c r="P6" s="1589"/>
      <c r="Q6" s="1589"/>
      <c r="R6" s="1589"/>
      <c r="S6" s="760"/>
      <c r="T6" s="760"/>
      <c r="U6" s="760"/>
      <c r="V6" s="760"/>
    </row>
    <row r="7" spans="1:22" ht="22.5" customHeight="1" thickBot="1" x14ac:dyDescent="0.3">
      <c r="A7" s="1589"/>
      <c r="B7" s="1589"/>
      <c r="C7" s="1594"/>
      <c r="D7" s="1601"/>
      <c r="E7" s="1589"/>
      <c r="F7" s="592"/>
      <c r="G7" s="1603"/>
      <c r="H7" s="1604"/>
      <c r="I7" s="1606"/>
      <c r="J7" s="947"/>
      <c r="K7" s="1608"/>
      <c r="L7" s="1609"/>
      <c r="M7" s="1594"/>
      <c r="N7" s="1594"/>
      <c r="O7" s="1594"/>
      <c r="P7" s="1589"/>
      <c r="Q7" s="1589"/>
      <c r="R7" s="1590"/>
      <c r="S7" s="248"/>
      <c r="T7" s="760"/>
      <c r="U7" s="760"/>
      <c r="V7" s="760"/>
    </row>
    <row r="8" spans="1:22" x14ac:dyDescent="0.25">
      <c r="A8" s="415" t="s">
        <v>53</v>
      </c>
      <c r="B8" s="416" t="s">
        <v>74</v>
      </c>
      <c r="C8" s="417">
        <v>18951121</v>
      </c>
      <c r="D8" s="417"/>
      <c r="E8" s="417"/>
      <c r="F8" s="417"/>
      <c r="G8" s="417"/>
      <c r="H8" s="417"/>
      <c r="I8" s="417">
        <v>0</v>
      </c>
      <c r="J8" s="417"/>
      <c r="K8" s="417">
        <v>0</v>
      </c>
      <c r="L8" s="414">
        <f>+C8+D8+E8-F8+G8+I8-K8</f>
        <v>18951121</v>
      </c>
      <c r="M8" s="417">
        <v>1171877.22</v>
      </c>
      <c r="N8" s="417">
        <v>0</v>
      </c>
      <c r="O8" s="417">
        <v>0</v>
      </c>
      <c r="P8" s="414">
        <f t="shared" ref="P8:P14" si="0">+L8-M8</f>
        <v>17779243.780000001</v>
      </c>
      <c r="Q8" s="417">
        <f>+N8-O8</f>
        <v>0</v>
      </c>
      <c r="R8" s="417">
        <f>+M8-N8</f>
        <v>1171877.22</v>
      </c>
      <c r="S8" s="761"/>
      <c r="T8" s="761"/>
      <c r="U8" s="719"/>
      <c r="V8" s="760"/>
    </row>
    <row r="9" spans="1:22" s="520" customFormat="1" x14ac:dyDescent="0.25">
      <c r="A9" s="418" t="s">
        <v>55</v>
      </c>
      <c r="B9" s="413" t="s">
        <v>150</v>
      </c>
      <c r="C9" s="414">
        <v>21698584.809999999</v>
      </c>
      <c r="D9" s="414">
        <v>124725.66</v>
      </c>
      <c r="E9" s="414"/>
      <c r="F9" s="414"/>
      <c r="G9" s="414"/>
      <c r="H9" s="414"/>
      <c r="I9" s="414">
        <v>0</v>
      </c>
      <c r="J9" s="414"/>
      <c r="K9" s="414">
        <v>0</v>
      </c>
      <c r="L9" s="414">
        <f>+C9+D9+E9-F9+G9+I9-K9</f>
        <v>21823310.469999999</v>
      </c>
      <c r="M9" s="414">
        <v>2019343.05</v>
      </c>
      <c r="N9" s="414">
        <v>2019343.05</v>
      </c>
      <c r="O9" s="414">
        <v>2019343.05</v>
      </c>
      <c r="P9" s="414">
        <f t="shared" si="0"/>
        <v>19803967.419999998</v>
      </c>
      <c r="Q9" s="414">
        <f t="shared" ref="Q9:Q14" si="1">+N9-O9</f>
        <v>0</v>
      </c>
      <c r="R9" s="414">
        <f>+M9-N9</f>
        <v>0</v>
      </c>
      <c r="S9" s="761"/>
      <c r="T9" s="761"/>
      <c r="U9" s="762"/>
      <c r="V9" s="763"/>
    </row>
    <row r="10" spans="1:22" ht="22.5" x14ac:dyDescent="0.25">
      <c r="A10" s="418" t="s">
        <v>57</v>
      </c>
      <c r="B10" s="413" t="s">
        <v>151</v>
      </c>
      <c r="C10" s="414">
        <v>4808551.1900000004</v>
      </c>
      <c r="D10" s="414">
        <v>7274.34</v>
      </c>
      <c r="E10" s="414">
        <v>576.47</v>
      </c>
      <c r="F10" s="414"/>
      <c r="G10" s="414"/>
      <c r="H10" s="414"/>
      <c r="I10" s="414">
        <v>0</v>
      </c>
      <c r="J10" s="414"/>
      <c r="K10" s="414">
        <v>0</v>
      </c>
      <c r="L10" s="414">
        <f>+C10+D10+E10-F10+G10-H10+I10-K10</f>
        <v>4816402</v>
      </c>
      <c r="M10" s="414">
        <v>234346.27</v>
      </c>
      <c r="N10" s="414">
        <f>+M10</f>
        <v>234346.27</v>
      </c>
      <c r="O10" s="414">
        <f>+N10</f>
        <v>234346.27</v>
      </c>
      <c r="P10" s="414">
        <f>+L10-M10</f>
        <v>4582055.7300000004</v>
      </c>
      <c r="Q10" s="414">
        <f t="shared" si="1"/>
        <v>0</v>
      </c>
      <c r="R10" s="414">
        <f>+M10-N10</f>
        <v>0</v>
      </c>
      <c r="S10" s="761"/>
      <c r="T10" s="761"/>
      <c r="U10" s="179"/>
      <c r="V10" s="760"/>
    </row>
    <row r="11" spans="1:22" x14ac:dyDescent="0.25">
      <c r="A11" s="418" t="s">
        <v>59</v>
      </c>
      <c r="B11" s="413" t="s">
        <v>65</v>
      </c>
      <c r="C11" s="414">
        <v>3373000</v>
      </c>
      <c r="D11" s="414"/>
      <c r="E11" s="414"/>
      <c r="F11" s="414"/>
      <c r="G11" s="414"/>
      <c r="H11" s="414"/>
      <c r="I11" s="414">
        <v>0</v>
      </c>
      <c r="J11" s="414"/>
      <c r="K11" s="414">
        <v>0</v>
      </c>
      <c r="L11" s="414">
        <f>+C11+D11+E11-F11+G11-H11+I11-K11</f>
        <v>3373000</v>
      </c>
      <c r="M11" s="414">
        <v>266571.46999999997</v>
      </c>
      <c r="N11" s="414">
        <f>+M11</f>
        <v>266571.46999999997</v>
      </c>
      <c r="O11" s="414">
        <f>+N11</f>
        <v>266571.46999999997</v>
      </c>
      <c r="P11" s="414">
        <f>+L11-M11</f>
        <v>3106428.5300000003</v>
      </c>
      <c r="Q11" s="414">
        <f t="shared" si="1"/>
        <v>0</v>
      </c>
      <c r="R11" s="414">
        <f t="shared" ref="R11:R14" si="2">+M11-N11</f>
        <v>0</v>
      </c>
      <c r="S11" s="761"/>
      <c r="T11" s="761"/>
      <c r="U11" s="719"/>
      <c r="V11" s="760"/>
    </row>
    <row r="12" spans="1:22" ht="22.5" x14ac:dyDescent="0.25">
      <c r="A12" s="418">
        <v>4.07</v>
      </c>
      <c r="B12" s="413" t="s">
        <v>152</v>
      </c>
      <c r="C12" s="414">
        <v>56250</v>
      </c>
      <c r="D12" s="414"/>
      <c r="E12" s="414"/>
      <c r="F12" s="414"/>
      <c r="G12" s="414"/>
      <c r="H12" s="414"/>
      <c r="I12" s="414">
        <v>0</v>
      </c>
      <c r="J12" s="414"/>
      <c r="K12" s="414">
        <v>0</v>
      </c>
      <c r="L12" s="414">
        <f>+C12+D12+G12-H12+I12-K12+E12</f>
        <v>56250</v>
      </c>
      <c r="M12" s="414">
        <v>0</v>
      </c>
      <c r="N12" s="414">
        <f t="shared" ref="N12:O14" si="3">+M12</f>
        <v>0</v>
      </c>
      <c r="O12" s="414">
        <f t="shared" si="3"/>
        <v>0</v>
      </c>
      <c r="P12" s="414">
        <f t="shared" si="0"/>
        <v>56250</v>
      </c>
      <c r="Q12" s="414">
        <f t="shared" si="1"/>
        <v>0</v>
      </c>
      <c r="R12" s="414">
        <f t="shared" si="2"/>
        <v>0</v>
      </c>
      <c r="S12" s="761"/>
      <c r="T12" s="761">
        <f>N9+N10-'[1]ENERO 2025'!$G$37</f>
        <v>2253348.4</v>
      </c>
      <c r="U12" s="804"/>
      <c r="V12" s="760"/>
    </row>
    <row r="13" spans="1:22" ht="16.5" customHeight="1" x14ac:dyDescent="0.25">
      <c r="A13" s="1461">
        <v>4.08</v>
      </c>
      <c r="B13" s="1462" t="s">
        <v>447</v>
      </c>
      <c r="C13" s="1463">
        <v>8250</v>
      </c>
      <c r="D13" s="1463"/>
      <c r="E13" s="1463"/>
      <c r="F13" s="1463"/>
      <c r="G13" s="1463"/>
      <c r="H13" s="1463"/>
      <c r="I13" s="414">
        <v>0</v>
      </c>
      <c r="J13" s="1463"/>
      <c r="K13" s="414">
        <v>0</v>
      </c>
      <c r="L13" s="414">
        <f t="shared" ref="L13:L14" si="4">+C13+D13+G13-H13+I13-K13+E13</f>
        <v>8250</v>
      </c>
      <c r="M13" s="1463">
        <v>0</v>
      </c>
      <c r="N13" s="414">
        <f t="shared" si="3"/>
        <v>0</v>
      </c>
      <c r="O13" s="414">
        <f t="shared" si="3"/>
        <v>0</v>
      </c>
      <c r="P13" s="414">
        <f t="shared" si="0"/>
        <v>8250</v>
      </c>
      <c r="Q13" s="414">
        <f t="shared" si="1"/>
        <v>0</v>
      </c>
      <c r="R13" s="414">
        <f t="shared" si="2"/>
        <v>0</v>
      </c>
      <c r="S13" s="761"/>
      <c r="T13" s="761"/>
      <c r="U13" s="804"/>
      <c r="V13" s="760"/>
    </row>
    <row r="14" spans="1:22" ht="23.25" thickBot="1" x14ac:dyDescent="0.3">
      <c r="A14" s="484">
        <v>4.1100000000000003</v>
      </c>
      <c r="B14" s="485" t="s">
        <v>68</v>
      </c>
      <c r="C14" s="486">
        <v>543180</v>
      </c>
      <c r="D14" s="486"/>
      <c r="E14" s="486"/>
      <c r="F14" s="486"/>
      <c r="G14" s="486"/>
      <c r="H14" s="486"/>
      <c r="I14" s="414">
        <v>0</v>
      </c>
      <c r="J14" s="486"/>
      <c r="K14" s="414">
        <v>0</v>
      </c>
      <c r="L14" s="414">
        <f t="shared" si="4"/>
        <v>543180</v>
      </c>
      <c r="M14" s="486">
        <v>0</v>
      </c>
      <c r="N14" s="414">
        <f t="shared" si="3"/>
        <v>0</v>
      </c>
      <c r="O14" s="414">
        <f t="shared" si="3"/>
        <v>0</v>
      </c>
      <c r="P14" s="414">
        <f t="shared" si="0"/>
        <v>543180</v>
      </c>
      <c r="Q14" s="414">
        <f t="shared" si="1"/>
        <v>0</v>
      </c>
      <c r="R14" s="414">
        <f t="shared" si="2"/>
        <v>0</v>
      </c>
      <c r="S14" s="764"/>
      <c r="T14" s="764"/>
      <c r="U14" s="764"/>
      <c r="V14" s="760"/>
    </row>
    <row r="15" spans="1:22" ht="24" customHeight="1" thickBot="1" x14ac:dyDescent="0.3">
      <c r="A15" s="769" t="s">
        <v>153</v>
      </c>
      <c r="B15" s="770"/>
      <c r="C15" s="771">
        <f t="shared" ref="C15:I15" si="5">SUM(C8:C14)</f>
        <v>49438937</v>
      </c>
      <c r="D15" s="771">
        <f t="shared" si="5"/>
        <v>132000</v>
      </c>
      <c r="E15" s="771">
        <f t="shared" si="5"/>
        <v>576.47</v>
      </c>
      <c r="F15" s="771">
        <f t="shared" si="5"/>
        <v>0</v>
      </c>
      <c r="G15" s="771">
        <f t="shared" si="5"/>
        <v>0</v>
      </c>
      <c r="H15" s="771">
        <f t="shared" si="5"/>
        <v>0</v>
      </c>
      <c r="I15" s="771">
        <f t="shared" si="5"/>
        <v>0</v>
      </c>
      <c r="J15" s="771"/>
      <c r="K15" s="771">
        <f t="shared" ref="K15:R15" si="6">SUM(K8:K14)</f>
        <v>0</v>
      </c>
      <c r="L15" s="771">
        <f>SUM(L8:L14)</f>
        <v>49571513.469999999</v>
      </c>
      <c r="M15" s="771">
        <f t="shared" si="6"/>
        <v>3692138.01</v>
      </c>
      <c r="N15" s="771">
        <f>SUM(N8:N14)</f>
        <v>2520260.79</v>
      </c>
      <c r="O15" s="771">
        <f t="shared" si="6"/>
        <v>2520260.79</v>
      </c>
      <c r="P15" s="771">
        <f t="shared" si="6"/>
        <v>45879375.460000008</v>
      </c>
      <c r="Q15" s="771">
        <f t="shared" si="6"/>
        <v>0</v>
      </c>
      <c r="R15" s="772">
        <f t="shared" si="6"/>
        <v>1171877.22</v>
      </c>
      <c r="S15" s="178">
        <f>+P15-R15</f>
        <v>44707498.24000001</v>
      </c>
      <c r="T15" s="764"/>
      <c r="U15" s="719"/>
      <c r="V15" s="765"/>
    </row>
    <row r="16" spans="1:22" x14ac:dyDescent="0.25">
      <c r="A16" s="773"/>
      <c r="B16" s="410"/>
      <c r="C16" s="411">
        <f>2018719.22+1827524728+252530672+318744600+1200000</f>
        <v>2402018719.2200003</v>
      </c>
      <c r="D16" s="412"/>
      <c r="E16" s="411"/>
      <c r="F16" s="411"/>
      <c r="G16" s="411"/>
      <c r="H16" s="411"/>
      <c r="I16" s="412"/>
      <c r="J16" s="411"/>
      <c r="K16" s="411">
        <f>49168252.14-K15</f>
        <v>49168252.140000001</v>
      </c>
      <c r="L16" s="412"/>
      <c r="M16" s="411"/>
      <c r="N16" s="412"/>
      <c r="O16" s="411">
        <f>1131548332.26-1174702822.26</f>
        <v>-43154490</v>
      </c>
      <c r="P16" s="412"/>
      <c r="Q16" s="412"/>
      <c r="R16" s="412"/>
      <c r="S16" s="766"/>
      <c r="T16" s="765"/>
      <c r="U16" s="765"/>
      <c r="V16" s="765"/>
    </row>
    <row r="17" spans="1:23" ht="15.75" thickBot="1" x14ac:dyDescent="0.3">
      <c r="A17" s="773"/>
      <c r="B17" s="196"/>
      <c r="C17" s="194"/>
      <c r="D17" s="192"/>
      <c r="E17" s="194"/>
      <c r="F17" s="194"/>
      <c r="G17" s="194"/>
      <c r="H17" s="194"/>
      <c r="I17" s="192"/>
      <c r="J17" s="194"/>
      <c r="K17" s="194"/>
      <c r="L17" s="425">
        <f>+L15-L16</f>
        <v>49571513.469999999</v>
      </c>
      <c r="M17" s="194"/>
      <c r="N17" s="192"/>
      <c r="O17" s="194"/>
      <c r="P17" s="425">
        <f>P15-P16</f>
        <v>45879375.460000008</v>
      </c>
      <c r="Q17" s="192"/>
      <c r="R17" s="192"/>
      <c r="S17" s="767"/>
      <c r="T17" s="765"/>
      <c r="U17" s="82"/>
      <c r="V17" s="760"/>
    </row>
    <row r="18" spans="1:23" ht="15.75" thickBot="1" x14ac:dyDescent="0.3">
      <c r="A18" s="1591" t="s">
        <v>231</v>
      </c>
      <c r="B18" s="1622"/>
      <c r="C18" s="1622"/>
      <c r="D18" s="1622"/>
      <c r="E18" s="1622"/>
      <c r="F18" s="1622"/>
      <c r="G18" s="1622"/>
      <c r="H18" s="1622"/>
      <c r="I18" s="1622"/>
      <c r="J18" s="1622"/>
      <c r="K18" s="1622"/>
      <c r="L18" s="1622"/>
      <c r="M18" s="1622"/>
      <c r="N18" s="1622"/>
      <c r="O18" s="1622"/>
      <c r="P18" s="1622"/>
      <c r="Q18" s="1622"/>
      <c r="R18" s="1592"/>
      <c r="S18" s="768"/>
      <c r="T18" s="768"/>
      <c r="U18" s="82"/>
      <c r="V18" s="760"/>
    </row>
    <row r="19" spans="1:23" x14ac:dyDescent="0.25">
      <c r="A19" s="415" t="s">
        <v>53</v>
      </c>
      <c r="B19" s="416" t="s">
        <v>74</v>
      </c>
      <c r="C19" s="417"/>
      <c r="D19" s="417"/>
      <c r="E19" s="417"/>
      <c r="F19" s="417"/>
      <c r="G19" s="417"/>
      <c r="H19" s="417"/>
      <c r="I19" s="417"/>
      <c r="J19" s="417"/>
      <c r="K19" s="417"/>
      <c r="L19" s="1050">
        <f>+C19+D19+E19-F19+G19+I19-K19</f>
        <v>0</v>
      </c>
      <c r="M19" s="417"/>
      <c r="N19" s="417"/>
      <c r="O19" s="417"/>
      <c r="P19" s="417">
        <f>+L19-M19</f>
        <v>0</v>
      </c>
      <c r="Q19" s="417">
        <v>0</v>
      </c>
      <c r="R19" s="417">
        <v>0</v>
      </c>
      <c r="S19" s="768"/>
      <c r="T19" s="768"/>
      <c r="U19" s="82"/>
      <c r="V19" s="760"/>
    </row>
    <row r="20" spans="1:23" x14ac:dyDescent="0.25">
      <c r="A20" s="418" t="s">
        <v>55</v>
      </c>
      <c r="B20" s="413" t="s">
        <v>150</v>
      </c>
      <c r="C20" s="414"/>
      <c r="D20" s="414"/>
      <c r="E20" s="414"/>
      <c r="F20" s="414"/>
      <c r="G20" s="414"/>
      <c r="H20" s="414"/>
      <c r="I20" s="414"/>
      <c r="J20" s="414"/>
      <c r="K20" s="414"/>
      <c r="L20" s="414">
        <f t="shared" ref="L20:L25" si="7">+C20+D20+E20-F20+G20+I20-K20</f>
        <v>0</v>
      </c>
      <c r="M20" s="414"/>
      <c r="N20" s="414"/>
      <c r="O20" s="414"/>
      <c r="P20" s="414">
        <f>+L20-M20</f>
        <v>0</v>
      </c>
      <c r="Q20" s="1049">
        <v>0</v>
      </c>
      <c r="R20" s="414">
        <v>0</v>
      </c>
      <c r="S20" s="177">
        <f>842532.67-M20</f>
        <v>842532.67</v>
      </c>
      <c r="T20" s="768"/>
      <c r="U20" s="74"/>
    </row>
    <row r="21" spans="1:23" ht="22.5" x14ac:dyDescent="0.25">
      <c r="A21" s="418" t="s">
        <v>57</v>
      </c>
      <c r="B21" s="413" t="s">
        <v>151</v>
      </c>
      <c r="C21" s="414"/>
      <c r="D21" s="414"/>
      <c r="E21" s="414"/>
      <c r="F21" s="414"/>
      <c r="G21" s="414"/>
      <c r="H21" s="414"/>
      <c r="I21" s="414"/>
      <c r="J21" s="414"/>
      <c r="K21" s="414"/>
      <c r="L21" s="414">
        <f t="shared" si="7"/>
        <v>0</v>
      </c>
      <c r="M21" s="414"/>
      <c r="N21" s="414"/>
      <c r="O21" s="414"/>
      <c r="P21" s="414">
        <f t="shared" ref="P21:P25" si="8">+L21-M21</f>
        <v>0</v>
      </c>
      <c r="Q21" s="414">
        <v>0</v>
      </c>
      <c r="R21" s="1049">
        <v>0</v>
      </c>
      <c r="S21" s="177">
        <f>181736.05-M21</f>
        <v>181736.05</v>
      </c>
      <c r="T21" s="768"/>
      <c r="U21" s="74"/>
    </row>
    <row r="22" spans="1:23" x14ac:dyDescent="0.25">
      <c r="A22" s="418" t="s">
        <v>59</v>
      </c>
      <c r="B22" s="413" t="s">
        <v>65</v>
      </c>
      <c r="C22" s="414"/>
      <c r="D22" s="414"/>
      <c r="E22" s="414"/>
      <c r="F22" s="414"/>
      <c r="G22" s="414"/>
      <c r="H22" s="414"/>
      <c r="I22" s="414"/>
      <c r="J22" s="414"/>
      <c r="K22" s="414"/>
      <c r="L22" s="414">
        <f t="shared" si="7"/>
        <v>0</v>
      </c>
      <c r="M22" s="414"/>
      <c r="N22" s="414"/>
      <c r="O22" s="414"/>
      <c r="P22" s="414">
        <f t="shared" si="8"/>
        <v>0</v>
      </c>
      <c r="Q22" s="414">
        <v>0</v>
      </c>
      <c r="R22" s="419">
        <v>0</v>
      </c>
      <c r="S22" s="177">
        <f>254767.69-M22</f>
        <v>254767.69</v>
      </c>
      <c r="T22" s="768"/>
      <c r="U22" s="74"/>
    </row>
    <row r="23" spans="1:23" ht="22.5" x14ac:dyDescent="0.25">
      <c r="A23" s="418">
        <v>4.07</v>
      </c>
      <c r="B23" s="413" t="s">
        <v>152</v>
      </c>
      <c r="C23" s="414"/>
      <c r="D23" s="414"/>
      <c r="E23" s="414"/>
      <c r="F23" s="414"/>
      <c r="G23" s="414"/>
      <c r="H23" s="414"/>
      <c r="I23" s="414"/>
      <c r="J23" s="414"/>
      <c r="K23" s="414"/>
      <c r="L23" s="414">
        <f t="shared" si="7"/>
        <v>0</v>
      </c>
      <c r="M23" s="414"/>
      <c r="N23" s="414"/>
      <c r="O23" s="414"/>
      <c r="P23" s="414">
        <f t="shared" si="8"/>
        <v>0</v>
      </c>
      <c r="Q23" s="414">
        <v>0</v>
      </c>
      <c r="R23" s="419">
        <v>0</v>
      </c>
      <c r="S23" s="177"/>
      <c r="T23" s="179"/>
    </row>
    <row r="24" spans="1:23" x14ac:dyDescent="0.25">
      <c r="A24" s="1461">
        <v>4.08</v>
      </c>
      <c r="B24" s="1462" t="s">
        <v>447</v>
      </c>
      <c r="C24" s="1463"/>
      <c r="D24" s="1463"/>
      <c r="E24" s="1463"/>
      <c r="F24" s="1463"/>
      <c r="G24" s="1463"/>
      <c r="H24" s="1463"/>
      <c r="I24" s="1463"/>
      <c r="J24" s="1463"/>
      <c r="K24" s="1463"/>
      <c r="L24" s="414">
        <f t="shared" si="7"/>
        <v>0</v>
      </c>
      <c r="M24" s="1463"/>
      <c r="N24" s="1463"/>
      <c r="O24" s="1463"/>
      <c r="P24" s="414">
        <f t="shared" si="8"/>
        <v>0</v>
      </c>
      <c r="Q24" s="414">
        <v>0</v>
      </c>
      <c r="R24" s="419">
        <v>0</v>
      </c>
      <c r="S24" s="177"/>
      <c r="T24" s="179"/>
    </row>
    <row r="25" spans="1:23" ht="23.25" thickBot="1" x14ac:dyDescent="0.3">
      <c r="A25" s="484">
        <v>4.1100000000000003</v>
      </c>
      <c r="B25" s="485" t="s">
        <v>68</v>
      </c>
      <c r="C25" s="486"/>
      <c r="D25" s="486"/>
      <c r="E25" s="486"/>
      <c r="F25" s="486"/>
      <c r="G25" s="486"/>
      <c r="H25" s="486"/>
      <c r="I25" s="486"/>
      <c r="J25" s="486"/>
      <c r="K25" s="486"/>
      <c r="L25" s="1049">
        <f t="shared" si="7"/>
        <v>0</v>
      </c>
      <c r="M25" s="486"/>
      <c r="N25" s="486"/>
      <c r="O25" s="486"/>
      <c r="P25" s="414">
        <f t="shared" si="8"/>
        <v>0</v>
      </c>
      <c r="Q25" s="414">
        <v>0</v>
      </c>
      <c r="R25" s="419">
        <v>0</v>
      </c>
      <c r="S25" s="177"/>
      <c r="T25" s="768"/>
      <c r="U25" s="760"/>
      <c r="V25" s="760"/>
      <c r="W25" s="760"/>
    </row>
    <row r="26" spans="1:23" ht="15.75" thickBot="1" x14ac:dyDescent="0.3">
      <c r="A26" s="1623" t="s">
        <v>233</v>
      </c>
      <c r="B26" s="1624"/>
      <c r="C26" s="423">
        <f>SUM(C19:C25)</f>
        <v>0</v>
      </c>
      <c r="D26" s="423">
        <f t="shared" ref="D26:R26" si="9">SUM(D19:D25)</f>
        <v>0</v>
      </c>
      <c r="E26" s="423">
        <v>0</v>
      </c>
      <c r="F26" s="423">
        <f>SUM(F19:F25)</f>
        <v>0</v>
      </c>
      <c r="G26" s="423">
        <f t="shared" si="9"/>
        <v>0</v>
      </c>
      <c r="H26" s="423">
        <f t="shared" si="9"/>
        <v>0</v>
      </c>
      <c r="I26" s="423">
        <f t="shared" si="9"/>
        <v>0</v>
      </c>
      <c r="J26" s="423"/>
      <c r="K26" s="423">
        <f t="shared" si="9"/>
        <v>0</v>
      </c>
      <c r="L26" s="423">
        <f t="shared" si="9"/>
        <v>0</v>
      </c>
      <c r="M26" s="423">
        <f t="shared" si="9"/>
        <v>0</v>
      </c>
      <c r="N26" s="423">
        <f t="shared" si="9"/>
        <v>0</v>
      </c>
      <c r="O26" s="423">
        <f t="shared" si="9"/>
        <v>0</v>
      </c>
      <c r="P26" s="423">
        <f>SUM(P19:P25)</f>
        <v>0</v>
      </c>
      <c r="Q26" s="423">
        <f t="shared" si="9"/>
        <v>0</v>
      </c>
      <c r="R26" s="423">
        <f t="shared" si="9"/>
        <v>0</v>
      </c>
      <c r="S26" s="177"/>
      <c r="T26" s="764"/>
      <c r="U26" s="764"/>
      <c r="V26" s="764"/>
      <c r="W26" s="760"/>
    </row>
    <row r="27" spans="1:23" x14ac:dyDescent="0.25">
      <c r="B27" s="422" t="s">
        <v>154</v>
      </c>
      <c r="C27" s="248"/>
      <c r="D27" s="420">
        <f>+D15-D18</f>
        <v>132000</v>
      </c>
      <c r="E27" s="248"/>
      <c r="F27" s="248"/>
      <c r="G27" s="248">
        <f>+G15-G18</f>
        <v>0</v>
      </c>
      <c r="H27" s="248"/>
      <c r="I27" s="420">
        <f t="shared" ref="I27:O27" si="10">+I15-I18</f>
        <v>0</v>
      </c>
      <c r="J27" s="248"/>
      <c r="K27" s="248">
        <f t="shared" si="10"/>
        <v>0</v>
      </c>
      <c r="L27" s="421">
        <f t="shared" si="10"/>
        <v>49571513.469999999</v>
      </c>
      <c r="M27" s="248">
        <f t="shared" si="10"/>
        <v>3692138.01</v>
      </c>
      <c r="N27" s="420">
        <f t="shared" si="10"/>
        <v>2520260.79</v>
      </c>
      <c r="O27" s="248">
        <f t="shared" si="10"/>
        <v>2520260.79</v>
      </c>
      <c r="P27" s="421">
        <f>+L27-M27</f>
        <v>45879375.460000001</v>
      </c>
      <c r="Q27" s="420">
        <f>+Q15-Q18</f>
        <v>0</v>
      </c>
      <c r="R27" s="420">
        <f>+R15-R18</f>
        <v>1171877.22</v>
      </c>
      <c r="S27" s="179"/>
      <c r="T27" s="764"/>
      <c r="U27" s="764"/>
      <c r="V27" s="764"/>
      <c r="W27" s="760"/>
    </row>
    <row r="28" spans="1:23" ht="15.75" thickBot="1" x14ac:dyDescent="0.3">
      <c r="B28" s="197" t="s">
        <v>155</v>
      </c>
      <c r="C28" s="195">
        <f>+C18</f>
        <v>0</v>
      </c>
      <c r="D28" s="193">
        <f>SUM(D18:D27)</f>
        <v>132000</v>
      </c>
      <c r="E28" s="195"/>
      <c r="F28" s="195"/>
      <c r="G28" s="195">
        <f>+G18+G27</f>
        <v>0</v>
      </c>
      <c r="H28" s="195"/>
      <c r="I28" s="193">
        <f t="shared" ref="I28:R28" si="11">+I18+I27</f>
        <v>0</v>
      </c>
      <c r="J28" s="195"/>
      <c r="K28" s="195">
        <f t="shared" si="11"/>
        <v>0</v>
      </c>
      <c r="L28" s="193">
        <f t="shared" si="11"/>
        <v>49571513.469999999</v>
      </c>
      <c r="M28" s="195">
        <f t="shared" si="11"/>
        <v>3692138.01</v>
      </c>
      <c r="N28" s="193">
        <f t="shared" si="11"/>
        <v>2520260.79</v>
      </c>
      <c r="O28" s="195">
        <f t="shared" si="11"/>
        <v>2520260.79</v>
      </c>
      <c r="P28" s="193">
        <f t="shared" si="11"/>
        <v>45879375.460000001</v>
      </c>
      <c r="Q28" s="193">
        <f t="shared" si="11"/>
        <v>0</v>
      </c>
      <c r="R28" s="193">
        <f t="shared" si="11"/>
        <v>1171877.22</v>
      </c>
      <c r="S28" s="178"/>
      <c r="T28" s="82"/>
      <c r="U28" s="760"/>
      <c r="V28" s="760"/>
      <c r="W28" s="760"/>
    </row>
    <row r="29" spans="1:23" ht="15.75" thickBot="1" x14ac:dyDescent="0.3">
      <c r="B29" s="179"/>
      <c r="C29" s="179"/>
      <c r="D29" s="74"/>
      <c r="K29" s="179"/>
      <c r="M29" s="179"/>
      <c r="N29" s="179"/>
      <c r="O29" s="179"/>
      <c r="P29" s="179"/>
      <c r="S29" s="179"/>
      <c r="T29" s="179"/>
      <c r="U29" s="760"/>
      <c r="V29" s="760"/>
      <c r="W29" s="760"/>
    </row>
    <row r="30" spans="1:23" ht="45" customHeight="1" x14ac:dyDescent="0.25">
      <c r="A30" s="1613" t="s">
        <v>138</v>
      </c>
      <c r="B30" s="1595" t="s">
        <v>139</v>
      </c>
      <c r="C30" s="1595" t="s">
        <v>156</v>
      </c>
      <c r="D30" s="1595" t="s">
        <v>75</v>
      </c>
      <c r="E30" s="468"/>
      <c r="F30" s="591"/>
      <c r="G30" s="1595" t="s">
        <v>141</v>
      </c>
      <c r="H30" s="1595"/>
      <c r="I30" s="1595"/>
      <c r="J30" s="1595"/>
      <c r="K30" s="1595"/>
      <c r="L30" s="1616" t="s">
        <v>142</v>
      </c>
      <c r="M30" s="1616" t="s">
        <v>143</v>
      </c>
      <c r="N30" s="1616" t="s">
        <v>144</v>
      </c>
      <c r="O30" s="1619" t="s">
        <v>145</v>
      </c>
      <c r="P30" s="179"/>
      <c r="Q30" s="435" t="s">
        <v>146</v>
      </c>
      <c r="R30" s="437" t="s">
        <v>147</v>
      </c>
      <c r="S30" s="179"/>
      <c r="T30" s="179"/>
    </row>
    <row r="31" spans="1:23" x14ac:dyDescent="0.25">
      <c r="A31" s="1614"/>
      <c r="B31" s="1596"/>
      <c r="C31" s="1596"/>
      <c r="D31" s="1596"/>
      <c r="E31" s="469"/>
      <c r="F31" s="589"/>
      <c r="G31" s="1596" t="s">
        <v>232</v>
      </c>
      <c r="H31" s="1596" t="s">
        <v>229</v>
      </c>
      <c r="I31" s="1596" t="s">
        <v>148</v>
      </c>
      <c r="J31" s="944"/>
      <c r="K31" s="1596" t="s">
        <v>149</v>
      </c>
      <c r="L31" s="1617"/>
      <c r="M31" s="1617"/>
      <c r="N31" s="1617"/>
      <c r="O31" s="1620"/>
      <c r="P31" s="179"/>
      <c r="Q31" s="439"/>
      <c r="R31" s="265"/>
      <c r="S31" s="179"/>
      <c r="T31" s="179"/>
    </row>
    <row r="32" spans="1:23" ht="15.75" thickBot="1" x14ac:dyDescent="0.3">
      <c r="A32" s="1615"/>
      <c r="B32" s="1597"/>
      <c r="C32" s="1597"/>
      <c r="D32" s="1597"/>
      <c r="E32" s="470"/>
      <c r="F32" s="590"/>
      <c r="G32" s="1597"/>
      <c r="H32" s="1597"/>
      <c r="I32" s="1597"/>
      <c r="J32" s="945"/>
      <c r="K32" s="1597"/>
      <c r="L32" s="1618"/>
      <c r="M32" s="1618"/>
      <c r="N32" s="1618"/>
      <c r="O32" s="1621"/>
      <c r="P32" s="179"/>
      <c r="Q32" s="436"/>
      <c r="R32" s="438"/>
    </row>
    <row r="33" spans="1:19" x14ac:dyDescent="0.25">
      <c r="A33" s="180" t="s">
        <v>53</v>
      </c>
      <c r="B33" s="181" t="s">
        <v>74</v>
      </c>
      <c r="C33" s="182"/>
      <c r="D33" s="182"/>
      <c r="E33" s="182"/>
      <c r="F33" s="182"/>
      <c r="G33" s="182">
        <f t="shared" ref="G33:K33" si="12">+G8</f>
        <v>0</v>
      </c>
      <c r="H33" s="182">
        <f t="shared" si="12"/>
        <v>0</v>
      </c>
      <c r="I33" s="182">
        <f>+I8</f>
        <v>0</v>
      </c>
      <c r="J33" s="182"/>
      <c r="K33" s="182">
        <f t="shared" si="12"/>
        <v>0</v>
      </c>
      <c r="L33" s="182">
        <f t="shared" ref="L33:L39" si="13">+C33+D33+G33+I33-K33</f>
        <v>0</v>
      </c>
      <c r="M33" s="424">
        <f t="shared" ref="M33:O37" si="14">+M8-M19</f>
        <v>1171877.22</v>
      </c>
      <c r="N33" s="424">
        <f t="shared" si="14"/>
        <v>0</v>
      </c>
      <c r="O33" s="424">
        <f t="shared" si="14"/>
        <v>0</v>
      </c>
      <c r="P33" s="179">
        <f>+O33-241061.45</f>
        <v>-241061.45</v>
      </c>
      <c r="Q33" s="190">
        <f t="shared" ref="Q33:R39" si="15">+Q8-Q19</f>
        <v>0</v>
      </c>
      <c r="R33" s="191">
        <f t="shared" si="15"/>
        <v>1171877.22</v>
      </c>
    </row>
    <row r="34" spans="1:19" x14ac:dyDescent="0.25">
      <c r="A34" s="183" t="s">
        <v>55</v>
      </c>
      <c r="B34" s="184" t="s">
        <v>150</v>
      </c>
      <c r="C34" s="182"/>
      <c r="D34" s="182"/>
      <c r="E34" s="182"/>
      <c r="F34" s="182"/>
      <c r="G34" s="182">
        <f>+G9</f>
        <v>0</v>
      </c>
      <c r="H34" s="182"/>
      <c r="I34" s="182">
        <f>+I9</f>
        <v>0</v>
      </c>
      <c r="J34" s="182"/>
      <c r="K34" s="182">
        <f>+K9</f>
        <v>0</v>
      </c>
      <c r="L34" s="176">
        <f t="shared" si="13"/>
        <v>0</v>
      </c>
      <c r="M34" s="424">
        <f t="shared" si="14"/>
        <v>2019343.05</v>
      </c>
      <c r="N34" s="424">
        <f t="shared" si="14"/>
        <v>2019343.05</v>
      </c>
      <c r="O34" s="424">
        <f t="shared" si="14"/>
        <v>2019343.05</v>
      </c>
      <c r="P34" s="179"/>
      <c r="Q34" s="190">
        <f t="shared" si="15"/>
        <v>0</v>
      </c>
      <c r="R34" s="191">
        <f t="shared" si="15"/>
        <v>0</v>
      </c>
    </row>
    <row r="35" spans="1:19" ht="22.5" x14ac:dyDescent="0.25">
      <c r="A35" s="183" t="s">
        <v>57</v>
      </c>
      <c r="B35" s="184" t="s">
        <v>151</v>
      </c>
      <c r="C35" s="182"/>
      <c r="D35" s="182"/>
      <c r="E35" s="182"/>
      <c r="F35" s="182"/>
      <c r="G35" s="182">
        <f>+G10</f>
        <v>0</v>
      </c>
      <c r="H35" s="182"/>
      <c r="I35" s="182">
        <f>+I10</f>
        <v>0</v>
      </c>
      <c r="J35" s="182"/>
      <c r="K35" s="182">
        <f>+K10</f>
        <v>0</v>
      </c>
      <c r="L35" s="176">
        <f t="shared" si="13"/>
        <v>0</v>
      </c>
      <c r="M35" s="424">
        <f t="shared" si="14"/>
        <v>234346.27</v>
      </c>
      <c r="N35" s="424">
        <f t="shared" si="14"/>
        <v>234346.27</v>
      </c>
      <c r="O35" s="424">
        <f t="shared" si="14"/>
        <v>234346.27</v>
      </c>
      <c r="P35" s="179"/>
      <c r="Q35" s="190">
        <f t="shared" si="15"/>
        <v>0</v>
      </c>
      <c r="R35" s="191">
        <f t="shared" si="15"/>
        <v>0</v>
      </c>
    </row>
    <row r="36" spans="1:19" x14ac:dyDescent="0.25">
      <c r="A36" s="183" t="s">
        <v>59</v>
      </c>
      <c r="B36" s="184" t="s">
        <v>65</v>
      </c>
      <c r="C36" s="182"/>
      <c r="D36" s="182"/>
      <c r="E36" s="182"/>
      <c r="F36" s="182"/>
      <c r="G36" s="182">
        <f>+G11</f>
        <v>0</v>
      </c>
      <c r="H36" s="182"/>
      <c r="I36" s="182">
        <f>+I11</f>
        <v>0</v>
      </c>
      <c r="J36" s="182"/>
      <c r="K36" s="182">
        <f>+K11</f>
        <v>0</v>
      </c>
      <c r="L36" s="176">
        <f t="shared" si="13"/>
        <v>0</v>
      </c>
      <c r="M36" s="424">
        <f t="shared" si="14"/>
        <v>266571.46999999997</v>
      </c>
      <c r="N36" s="424">
        <f t="shared" si="14"/>
        <v>266571.46999999997</v>
      </c>
      <c r="O36" s="424">
        <f t="shared" si="14"/>
        <v>266571.46999999997</v>
      </c>
      <c r="P36" s="179"/>
      <c r="Q36" s="190">
        <f t="shared" si="15"/>
        <v>0</v>
      </c>
      <c r="R36" s="191">
        <f t="shared" si="15"/>
        <v>0</v>
      </c>
    </row>
    <row r="37" spans="1:19" ht="22.5" x14ac:dyDescent="0.25">
      <c r="A37" s="183">
        <v>4.07</v>
      </c>
      <c r="B37" s="184" t="s">
        <v>152</v>
      </c>
      <c r="C37" s="182"/>
      <c r="D37" s="182"/>
      <c r="E37" s="182"/>
      <c r="F37" s="182"/>
      <c r="G37" s="182">
        <f>+G12</f>
        <v>0</v>
      </c>
      <c r="H37" s="182"/>
      <c r="I37" s="182">
        <f>+I12</f>
        <v>0</v>
      </c>
      <c r="J37" s="182"/>
      <c r="K37" s="182">
        <f>+K12</f>
        <v>0</v>
      </c>
      <c r="L37" s="176">
        <f t="shared" si="13"/>
        <v>0</v>
      </c>
      <c r="M37" s="424">
        <f t="shared" si="14"/>
        <v>0</v>
      </c>
      <c r="N37" s="424">
        <f t="shared" si="14"/>
        <v>0</v>
      </c>
      <c r="O37" s="424">
        <f t="shared" si="14"/>
        <v>0</v>
      </c>
      <c r="P37" s="179"/>
      <c r="Q37" s="190">
        <f t="shared" si="15"/>
        <v>0</v>
      </c>
      <c r="R37" s="191">
        <f t="shared" si="15"/>
        <v>0</v>
      </c>
    </row>
    <row r="38" spans="1:19" x14ac:dyDescent="0.25">
      <c r="A38" s="1461">
        <v>4.08</v>
      </c>
      <c r="B38" s="1462" t="s">
        <v>447</v>
      </c>
      <c r="C38" s="182"/>
      <c r="D38" s="182"/>
      <c r="E38" s="182"/>
      <c r="F38" s="182"/>
      <c r="G38" s="182">
        <f t="shared" ref="G38:G39" si="16">+G13</f>
        <v>0</v>
      </c>
      <c r="H38" s="1464"/>
      <c r="I38" s="182">
        <f t="shared" ref="I38:I39" si="17">+I13</f>
        <v>0</v>
      </c>
      <c r="J38" s="182"/>
      <c r="K38" s="182">
        <f t="shared" ref="K38:K39" si="18">+K13</f>
        <v>0</v>
      </c>
      <c r="L38" s="176">
        <f t="shared" si="13"/>
        <v>0</v>
      </c>
      <c r="M38" s="424">
        <f t="shared" ref="M38:O39" si="19">+M13-M24</f>
        <v>0</v>
      </c>
      <c r="N38" s="424">
        <f t="shared" si="19"/>
        <v>0</v>
      </c>
      <c r="O38" s="424">
        <f t="shared" si="19"/>
        <v>0</v>
      </c>
      <c r="P38" s="179"/>
      <c r="Q38" s="190">
        <f t="shared" si="15"/>
        <v>0</v>
      </c>
      <c r="R38" s="191">
        <f t="shared" si="15"/>
        <v>0</v>
      </c>
    </row>
    <row r="39" spans="1:19" ht="23.25" thickBot="1" x14ac:dyDescent="0.3">
      <c r="A39" s="173">
        <v>4.1100000000000003</v>
      </c>
      <c r="B39" s="174" t="s">
        <v>68</v>
      </c>
      <c r="C39" s="182"/>
      <c r="D39" s="182"/>
      <c r="E39" s="182"/>
      <c r="F39" s="182"/>
      <c r="G39" s="182">
        <f t="shared" si="16"/>
        <v>0</v>
      </c>
      <c r="H39" s="175"/>
      <c r="I39" s="182">
        <f t="shared" si="17"/>
        <v>0</v>
      </c>
      <c r="J39" s="182"/>
      <c r="K39" s="182">
        <f t="shared" si="18"/>
        <v>0</v>
      </c>
      <c r="L39" s="176">
        <f t="shared" si="13"/>
        <v>0</v>
      </c>
      <c r="M39" s="424">
        <f t="shared" si="19"/>
        <v>0</v>
      </c>
      <c r="N39" s="424">
        <f t="shared" si="19"/>
        <v>0</v>
      </c>
      <c r="O39" s="424">
        <f t="shared" si="19"/>
        <v>0</v>
      </c>
      <c r="P39" s="179"/>
      <c r="Q39" s="190">
        <f t="shared" si="15"/>
        <v>0</v>
      </c>
      <c r="R39" s="191">
        <f t="shared" si="15"/>
        <v>0</v>
      </c>
    </row>
    <row r="40" spans="1:19" ht="23.25" thickBot="1" x14ac:dyDescent="0.3">
      <c r="A40" s="263" t="s">
        <v>153</v>
      </c>
      <c r="B40" s="264"/>
      <c r="C40" s="187">
        <f t="shared" ref="C40:L40" si="20">SUM(C33:C39)</f>
        <v>0</v>
      </c>
      <c r="D40" s="187">
        <f t="shared" si="20"/>
        <v>0</v>
      </c>
      <c r="E40" s="187"/>
      <c r="F40" s="187"/>
      <c r="G40" s="187">
        <f t="shared" si="20"/>
        <v>0</v>
      </c>
      <c r="H40" s="187"/>
      <c r="I40" s="187">
        <f t="shared" si="20"/>
        <v>0</v>
      </c>
      <c r="J40" s="187"/>
      <c r="K40" s="187">
        <f t="shared" si="20"/>
        <v>0</v>
      </c>
      <c r="L40" s="187">
        <f t="shared" si="20"/>
        <v>0</v>
      </c>
      <c r="M40" s="187">
        <f>SUM(M33:M39)</f>
        <v>3692138.01</v>
      </c>
      <c r="N40" s="187">
        <f>SUM(N33:N39)</f>
        <v>2520260.79</v>
      </c>
      <c r="O40" s="187">
        <f>SUM(O33:O39)</f>
        <v>2520260.79</v>
      </c>
      <c r="P40" s="179"/>
      <c r="Q40" s="189">
        <f>SUM(Q33:Q37)</f>
        <v>0</v>
      </c>
      <c r="R40" s="188">
        <f>SUM(R33:R37)</f>
        <v>1171877.22</v>
      </c>
      <c r="S40" s="179"/>
    </row>
    <row r="41" spans="1:19" x14ac:dyDescent="0.25">
      <c r="G41" s="179"/>
      <c r="H41" s="179"/>
      <c r="L41" s="185"/>
      <c r="N41" s="179"/>
      <c r="O41" s="74"/>
      <c r="P41" s="179"/>
      <c r="R41" s="179"/>
    </row>
    <row r="42" spans="1:19" ht="40.5" customHeight="1" x14ac:dyDescent="0.25">
      <c r="C42" s="179"/>
      <c r="D42" s="179"/>
      <c r="E42" s="179"/>
      <c r="F42" s="179"/>
      <c r="G42" s="179"/>
      <c r="H42" s="179"/>
      <c r="I42" s="887"/>
      <c r="J42" s="887"/>
      <c r="K42" s="831"/>
      <c r="L42" s="247"/>
      <c r="M42" s="179"/>
      <c r="N42" s="179"/>
      <c r="O42" s="179"/>
      <c r="P42" s="179"/>
      <c r="Q42" s="74"/>
      <c r="R42" s="179"/>
    </row>
    <row r="43" spans="1:19" x14ac:dyDescent="0.25">
      <c r="C43" s="179"/>
      <c r="G43" s="74"/>
      <c r="H43" s="74"/>
      <c r="I43" s="887"/>
      <c r="J43" s="887"/>
      <c r="L43" s="248"/>
      <c r="M43" s="179"/>
      <c r="N43" s="179"/>
      <c r="O43" s="179"/>
    </row>
    <row r="44" spans="1:19" x14ac:dyDescent="0.25">
      <c r="C44" s="179"/>
      <c r="D44" s="179"/>
      <c r="E44" s="179"/>
      <c r="F44" s="179"/>
      <c r="I44" s="74"/>
      <c r="J44" s="74"/>
      <c r="K44" s="74"/>
      <c r="L44" s="186"/>
      <c r="M44" s="74"/>
      <c r="O44" s="74"/>
    </row>
    <row r="45" spans="1:19" x14ac:dyDescent="0.25">
      <c r="C45" s="179"/>
      <c r="G45" s="74"/>
      <c r="L45" s="179"/>
      <c r="N45" s="248"/>
      <c r="O45" s="831"/>
    </row>
    <row r="46" spans="1:19" x14ac:dyDescent="0.25">
      <c r="C46" s="179"/>
      <c r="L46" s="186"/>
      <c r="N46" s="248"/>
    </row>
    <row r="47" spans="1:19" x14ac:dyDescent="0.25">
      <c r="L47" s="185"/>
    </row>
    <row r="48" spans="1:19" x14ac:dyDescent="0.25">
      <c r="M48" s="74"/>
      <c r="N48" s="248"/>
    </row>
    <row r="49" spans="11:14" x14ac:dyDescent="0.25">
      <c r="N49" s="74"/>
    </row>
    <row r="50" spans="11:14" x14ac:dyDescent="0.25">
      <c r="K50" s="226"/>
      <c r="L50" s="625"/>
      <c r="M50" s="226"/>
    </row>
    <row r="54" spans="11:14" x14ac:dyDescent="0.25">
      <c r="L54" s="172"/>
    </row>
    <row r="55" spans="11:14" x14ac:dyDescent="0.25">
      <c r="L55" s="172"/>
    </row>
  </sheetData>
  <mergeCells count="36">
    <mergeCell ref="A30:A32"/>
    <mergeCell ref="N30:N32"/>
    <mergeCell ref="O30:O32"/>
    <mergeCell ref="A18:R18"/>
    <mergeCell ref="A26:B26"/>
    <mergeCell ref="H31:H32"/>
    <mergeCell ref="I31:I32"/>
    <mergeCell ref="K31:K32"/>
    <mergeCell ref="L30:L32"/>
    <mergeCell ref="M30:M32"/>
    <mergeCell ref="B30:B32"/>
    <mergeCell ref="C30:C32"/>
    <mergeCell ref="A1:R1"/>
    <mergeCell ref="A2:R2"/>
    <mergeCell ref="A3:R3"/>
    <mergeCell ref="O5:O7"/>
    <mergeCell ref="A5:A7"/>
    <mergeCell ref="B5:B7"/>
    <mergeCell ref="C5:C7"/>
    <mergeCell ref="D5:D7"/>
    <mergeCell ref="G6:G7"/>
    <mergeCell ref="H6:H7"/>
    <mergeCell ref="I6:I7"/>
    <mergeCell ref="K6:K7"/>
    <mergeCell ref="L5:L7"/>
    <mergeCell ref="N5:N7"/>
    <mergeCell ref="G5:K5"/>
    <mergeCell ref="P5:P7"/>
    <mergeCell ref="R5:R7"/>
    <mergeCell ref="Q4:R4"/>
    <mergeCell ref="M5:M7"/>
    <mergeCell ref="D30:D32"/>
    <mergeCell ref="G30:K30"/>
    <mergeCell ref="G31:G32"/>
    <mergeCell ref="Q5:Q7"/>
    <mergeCell ref="E5:E7"/>
  </mergeCells>
  <pageMargins left="0.7" right="0.7" top="0.75" bottom="0.75" header="0.3" footer="0.3"/>
  <pageSetup paperSize="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view="pageBreakPreview" zoomScale="60" workbookViewId="0">
      <selection activeCell="F15" sqref="F15"/>
    </sheetView>
  </sheetViews>
  <sheetFormatPr baseColWidth="10" defaultRowHeight="20.100000000000001" customHeight="1" x14ac:dyDescent="0.25"/>
  <cols>
    <col min="1" max="1" width="79.85546875" style="311" customWidth="1"/>
    <col min="2" max="2" width="59.140625" style="311" customWidth="1"/>
    <col min="3" max="16384" width="11.42578125" style="311"/>
  </cols>
  <sheetData>
    <row r="1" spans="1:2" ht="20.100000000000001" customHeight="1" x14ac:dyDescent="0.25">
      <c r="A1" s="780"/>
      <c r="B1" s="781"/>
    </row>
    <row r="2" spans="1:2" ht="20.100000000000001" customHeight="1" x14ac:dyDescent="0.25">
      <c r="A2" s="783"/>
      <c r="B2" s="784"/>
    </row>
    <row r="3" spans="1:2" ht="29.25" customHeight="1" x14ac:dyDescent="0.25">
      <c r="A3" s="1627" t="str">
        <f>+'[2]BALANCE GENERAL '!A1:I1</f>
        <v>REPÚBLICA BOLIVARIANA DE VENEZUELA</v>
      </c>
      <c r="B3" s="1628"/>
    </row>
    <row r="4" spans="1:2" ht="42" customHeight="1" x14ac:dyDescent="0.25">
      <c r="A4" s="1629" t="str">
        <f>+'[2]BALANCE GENERAL '!A2:I2</f>
        <v>SERVICIO ADMINISTRATIVO DE PROTECCIÓN DEL NIÑO, NIÑA Y ADOLESCENTE DEL ESTADO TRUJILLO</v>
      </c>
      <c r="B4" s="1630"/>
    </row>
    <row r="5" spans="1:2" ht="33.75" customHeight="1" x14ac:dyDescent="0.25">
      <c r="A5" s="1627" t="str">
        <f>+'[3]BALANCE GENERAL '!A3:I3</f>
        <v>DIRECCIÓN DE ADMINISTRACIÓN-UNIDAD DE CONTABILIDAD</v>
      </c>
      <c r="B5" s="1628"/>
    </row>
    <row r="6" spans="1:2" ht="20.100000000000001" customHeight="1" x14ac:dyDescent="0.25">
      <c r="A6" s="785"/>
      <c r="B6" s="786"/>
    </row>
    <row r="7" spans="1:2" ht="24.75" customHeight="1" x14ac:dyDescent="0.25">
      <c r="A7" s="1633" t="str">
        <f>+'[4]BALANCE GENERAL'!A5:I5</f>
        <v>BALANCE   GENERAL</v>
      </c>
      <c r="B7" s="1634"/>
    </row>
    <row r="8" spans="1:2" ht="20.100000000000001" customHeight="1" x14ac:dyDescent="0.25">
      <c r="A8" s="1635" t="s">
        <v>453</v>
      </c>
      <c r="B8" s="1632"/>
    </row>
    <row r="9" spans="1:2" ht="42" customHeight="1" thickBot="1" x14ac:dyDescent="0.3">
      <c r="A9" s="1631" t="s">
        <v>460</v>
      </c>
      <c r="B9" s="1632"/>
    </row>
    <row r="10" spans="1:2" ht="42" customHeight="1" thickBot="1" x14ac:dyDescent="0.3">
      <c r="A10" s="345" t="s">
        <v>190</v>
      </c>
      <c r="B10" s="346" t="s">
        <v>71</v>
      </c>
    </row>
    <row r="11" spans="1:2" ht="54.75" customHeight="1" x14ac:dyDescent="0.25">
      <c r="A11" s="1465" t="s">
        <v>450</v>
      </c>
      <c r="B11" s="1466">
        <v>788.8099999998758</v>
      </c>
    </row>
    <row r="12" spans="1:2" ht="62.25" customHeight="1" x14ac:dyDescent="0.25">
      <c r="A12" s="1467" t="s">
        <v>451</v>
      </c>
      <c r="B12" s="1468">
        <v>9755.02</v>
      </c>
    </row>
    <row r="13" spans="1:2" ht="54.75" customHeight="1" thickBot="1" x14ac:dyDescent="0.3">
      <c r="A13" s="1467" t="s">
        <v>452</v>
      </c>
      <c r="B13" s="1469">
        <v>576.47</v>
      </c>
    </row>
    <row r="14" spans="1:2" ht="43.5" hidden="1" customHeight="1" thickBot="1" x14ac:dyDescent="0.3">
      <c r="A14" s="809"/>
      <c r="B14" s="796"/>
    </row>
    <row r="15" spans="1:2" ht="54.75" customHeight="1" thickBot="1" x14ac:dyDescent="0.3">
      <c r="A15" s="798" t="s">
        <v>292</v>
      </c>
      <c r="B15" s="799">
        <f>SUM(B11:B14)</f>
        <v>11120.299999999876</v>
      </c>
    </row>
    <row r="16" spans="1:2" ht="111" customHeight="1" thickBot="1" x14ac:dyDescent="0.3">
      <c r="A16" s="935"/>
      <c r="B16" s="802"/>
    </row>
    <row r="17" spans="1:2" ht="99.75" customHeight="1" thickBot="1" x14ac:dyDescent="0.3">
      <c r="A17" s="935"/>
      <c r="B17" s="802"/>
    </row>
    <row r="18" spans="1:2" ht="68.25" customHeight="1" thickBot="1" x14ac:dyDescent="0.3">
      <c r="A18" s="935"/>
      <c r="B18" s="802"/>
    </row>
    <row r="19" spans="1:2" ht="63" hidden="1" customHeight="1" thickBot="1" x14ac:dyDescent="0.3">
      <c r="A19" s="809"/>
      <c r="B19" s="802"/>
    </row>
    <row r="20" spans="1:2" ht="52.5" hidden="1" customHeight="1" thickBot="1" x14ac:dyDescent="0.3">
      <c r="B20" s="844"/>
    </row>
    <row r="21" spans="1:2" ht="67.5" hidden="1" customHeight="1" thickBot="1" x14ac:dyDescent="0.3">
      <c r="A21" s="744"/>
      <c r="B21" s="724"/>
    </row>
    <row r="22" spans="1:2" ht="38.25" customHeight="1" thickBot="1" x14ac:dyDescent="0.3">
      <c r="A22" s="489" t="s">
        <v>208</v>
      </c>
      <c r="B22" s="805">
        <f>+(B15)+B16+B17-B18</f>
        <v>11120.299999999876</v>
      </c>
    </row>
    <row r="23" spans="1:2" ht="30" customHeight="1" thickBot="1" x14ac:dyDescent="0.3">
      <c r="A23" s="717"/>
      <c r="B23" s="788"/>
    </row>
    <row r="24" spans="1:2" ht="26.25" customHeight="1" thickBot="1" x14ac:dyDescent="0.3">
      <c r="A24" s="745"/>
      <c r="B24" s="745" t="s">
        <v>293</v>
      </c>
    </row>
    <row r="25" spans="1:2" ht="20.100000000000001" customHeight="1" x14ac:dyDescent="0.25">
      <c r="A25" s="1625"/>
      <c r="B25" s="1625"/>
    </row>
    <row r="26" spans="1:2" ht="75" customHeight="1" thickBot="1" x14ac:dyDescent="0.3">
      <c r="A26" s="1626"/>
      <c r="B26" s="1626"/>
    </row>
    <row r="27" spans="1:2" ht="24.75" customHeight="1" thickBot="1" x14ac:dyDescent="0.3">
      <c r="A27" s="745" t="s">
        <v>273</v>
      </c>
      <c r="B27" s="745" t="s">
        <v>227</v>
      </c>
    </row>
    <row r="28" spans="1:2" ht="24.75" customHeight="1" thickBot="1" x14ac:dyDescent="0.3">
      <c r="A28" s="745" t="s">
        <v>272</v>
      </c>
      <c r="B28" s="745" t="s">
        <v>337</v>
      </c>
    </row>
    <row r="29" spans="1:2" ht="20.100000000000001" customHeight="1" x14ac:dyDescent="0.25">
      <c r="B29" s="443"/>
    </row>
    <row r="30" spans="1:2" s="330" customFormat="1" ht="20.100000000000001" customHeight="1" x14ac:dyDescent="0.25">
      <c r="A30" s="311"/>
      <c r="B30" s="443"/>
    </row>
    <row r="31" spans="1:2" s="330" customFormat="1" ht="20.100000000000001" customHeight="1" x14ac:dyDescent="0.25">
      <c r="A31" s="311"/>
      <c r="B31" s="443"/>
    </row>
    <row r="32" spans="1:2" s="330" customFormat="1" ht="20.100000000000001" customHeight="1" x14ac:dyDescent="0.25">
      <c r="A32" s="311"/>
      <c r="B32" s="311"/>
    </row>
    <row r="33" spans="1:2" s="330" customFormat="1" ht="20.100000000000001" customHeight="1" x14ac:dyDescent="0.25">
      <c r="A33" s="311"/>
      <c r="B33" s="311"/>
    </row>
    <row r="34" spans="1:2" s="330" customFormat="1" ht="20.100000000000001" customHeight="1" x14ac:dyDescent="0.25">
      <c r="A34" s="311"/>
      <c r="B34" s="443"/>
    </row>
    <row r="36" spans="1:2" s="330" customFormat="1" ht="20.100000000000001" customHeight="1" x14ac:dyDescent="0.25">
      <c r="A36" s="311"/>
      <c r="B36" s="311"/>
    </row>
    <row r="38" spans="1:2" s="330" customFormat="1" ht="20.100000000000001" customHeight="1" x14ac:dyDescent="0.25">
      <c r="A38" s="311"/>
      <c r="B38" s="311"/>
    </row>
    <row r="39" spans="1:2" s="330" customFormat="1" ht="20.100000000000001" customHeight="1" x14ac:dyDescent="0.25">
      <c r="A39" s="311"/>
      <c r="B39" s="311"/>
    </row>
    <row r="41" spans="1:2" s="330" customFormat="1" ht="20.100000000000001" customHeight="1" x14ac:dyDescent="0.25">
      <c r="A41" s="311"/>
      <c r="B41" s="311"/>
    </row>
    <row r="43" spans="1:2" s="330" customFormat="1" ht="20.100000000000001" customHeight="1" x14ac:dyDescent="0.25">
      <c r="A43" s="311"/>
      <c r="B43" s="311"/>
    </row>
    <row r="44" spans="1:2" s="330" customFormat="1" ht="20.100000000000001" customHeight="1" x14ac:dyDescent="0.25">
      <c r="A44" s="311"/>
      <c r="B44" s="311"/>
    </row>
  </sheetData>
  <mergeCells count="8">
    <mergeCell ref="A25:A26"/>
    <mergeCell ref="B25:B26"/>
    <mergeCell ref="A3:B3"/>
    <mergeCell ref="A4:B4"/>
    <mergeCell ref="A5:B5"/>
    <mergeCell ref="A9:B9"/>
    <mergeCell ref="A7:B7"/>
    <mergeCell ref="A8:B8"/>
  </mergeCells>
  <printOptions horizontalCentered="1"/>
  <pageMargins left="0.78740157480314965" right="0.59055118110236227" top="0.59055118110236227" bottom="0.39370078740157483" header="0.31496062992125984" footer="0.31496062992125984"/>
  <pageSetup scale="65"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6"/>
  <sheetViews>
    <sheetView topLeftCell="A28" zoomScale="80" zoomScaleNormal="80" zoomScaleSheetLayoutView="100" workbookViewId="0">
      <selection activeCell="A17" sqref="A17"/>
    </sheetView>
  </sheetViews>
  <sheetFormatPr baseColWidth="10" defaultRowHeight="15" x14ac:dyDescent="0.25"/>
  <cols>
    <col min="1" max="1" width="13" style="1048" customWidth="1"/>
    <col min="2" max="2" width="10.42578125" style="1048" customWidth="1"/>
    <col min="3" max="3" width="70.28515625" style="141" customWidth="1"/>
    <col min="4" max="4" width="21.85546875" style="141" customWidth="1"/>
    <col min="5" max="5" width="19.42578125" style="141" customWidth="1"/>
    <col min="6" max="6" width="20.140625" style="141" customWidth="1"/>
    <col min="7" max="7" width="31.140625" style="141" customWidth="1"/>
    <col min="8" max="8" width="19.85546875" style="141" customWidth="1"/>
    <col min="9" max="9" width="20.85546875" style="141" customWidth="1"/>
    <col min="10" max="10" width="20" style="141" customWidth="1"/>
    <col min="11" max="11" width="18" style="141" bestFit="1" customWidth="1"/>
    <col min="12" max="16384" width="11.42578125" style="141"/>
  </cols>
  <sheetData>
    <row r="1" spans="1:15" ht="27" customHeight="1" thickBot="1" x14ac:dyDescent="0.3">
      <c r="A1" s="1636" t="s">
        <v>157</v>
      </c>
      <c r="B1" s="1637"/>
      <c r="C1" s="1637"/>
      <c r="D1" s="1638" t="s">
        <v>1</v>
      </c>
      <c r="E1" s="1639"/>
      <c r="F1" s="1640"/>
      <c r="G1" s="1051"/>
      <c r="L1" s="149"/>
      <c r="M1" s="149"/>
      <c r="O1" s="149"/>
    </row>
    <row r="2" spans="1:15" ht="26.25" customHeight="1" thickBot="1" x14ac:dyDescent="0.3">
      <c r="A2" s="1641" t="s">
        <v>158</v>
      </c>
      <c r="B2" s="1642"/>
      <c r="C2" s="1642"/>
      <c r="D2" s="533" t="s">
        <v>3</v>
      </c>
      <c r="E2" s="534" t="s">
        <v>4</v>
      </c>
      <c r="F2" s="535" t="s">
        <v>5</v>
      </c>
      <c r="G2" s="1051"/>
      <c r="H2" s="144"/>
      <c r="I2" s="144"/>
      <c r="L2" s="149"/>
      <c r="M2" s="149"/>
      <c r="O2" s="149"/>
    </row>
    <row r="3" spans="1:15" ht="15.75" customHeight="1" thickBot="1" x14ac:dyDescent="0.3">
      <c r="A3" s="1643" t="s">
        <v>161</v>
      </c>
      <c r="B3" s="1644"/>
      <c r="C3" s="1644"/>
      <c r="D3" s="533" t="s">
        <v>6</v>
      </c>
      <c r="E3" s="536" t="s">
        <v>373</v>
      </c>
      <c r="F3" s="1470">
        <v>45658</v>
      </c>
      <c r="G3" s="1051"/>
      <c r="H3" s="144"/>
      <c r="I3" s="144"/>
      <c r="J3" s="144"/>
      <c r="L3" s="149"/>
      <c r="M3" s="149"/>
      <c r="O3" s="149"/>
    </row>
    <row r="4" spans="1:15" ht="15" customHeight="1" thickBot="1" x14ac:dyDescent="0.3">
      <c r="A4" s="538" t="s">
        <v>5</v>
      </c>
      <c r="B4" s="1645" t="s">
        <v>7</v>
      </c>
      <c r="C4" s="1648" t="s">
        <v>8</v>
      </c>
      <c r="D4" s="1651" t="s">
        <v>159</v>
      </c>
      <c r="E4" s="1638" t="s">
        <v>9</v>
      </c>
      <c r="F4" s="1640"/>
      <c r="H4" s="144"/>
      <c r="I4" s="144"/>
    </row>
    <row r="5" spans="1:15" ht="15.75" customHeight="1" thickBot="1" x14ac:dyDescent="0.3">
      <c r="A5" s="1471">
        <f>+F3</f>
        <v>45658</v>
      </c>
      <c r="B5" s="1646"/>
      <c r="C5" s="1649"/>
      <c r="D5" s="1652"/>
      <c r="E5" s="1645" t="s">
        <v>10</v>
      </c>
      <c r="F5" s="1654" t="s">
        <v>11</v>
      </c>
      <c r="H5" s="144"/>
      <c r="I5" s="144"/>
      <c r="J5" s="144"/>
    </row>
    <row r="6" spans="1:15" ht="12" customHeight="1" thickBot="1" x14ac:dyDescent="0.3">
      <c r="A6" s="1052" t="s">
        <v>12</v>
      </c>
      <c r="B6" s="1647"/>
      <c r="C6" s="1650"/>
      <c r="D6" s="1653"/>
      <c r="E6" s="1647"/>
      <c r="F6" s="1655"/>
      <c r="H6" s="144"/>
      <c r="I6" s="144"/>
      <c r="J6" s="144"/>
    </row>
    <row r="7" spans="1:15" ht="16.5" customHeight="1" x14ac:dyDescent="0.25">
      <c r="A7" s="1053">
        <f>+A5</f>
        <v>45658</v>
      </c>
      <c r="B7" s="1054"/>
      <c r="C7" s="1055" t="s">
        <v>374</v>
      </c>
      <c r="D7" s="1056"/>
      <c r="E7" s="1056"/>
      <c r="F7" s="1056"/>
      <c r="G7" s="144"/>
      <c r="H7" s="144"/>
      <c r="I7" s="144"/>
      <c r="J7" s="144"/>
    </row>
    <row r="8" spans="1:15" ht="41.25" customHeight="1" x14ac:dyDescent="0.25">
      <c r="A8" s="1057"/>
      <c r="B8" s="1058"/>
      <c r="C8" s="1260" t="s">
        <v>375</v>
      </c>
      <c r="D8" s="1059"/>
      <c r="E8" s="1060"/>
      <c r="F8" s="1060"/>
      <c r="H8" s="144"/>
    </row>
    <row r="9" spans="1:15" ht="18" customHeight="1" x14ac:dyDescent="0.25">
      <c r="A9" s="1061"/>
      <c r="B9" s="1058">
        <v>102</v>
      </c>
      <c r="C9" s="1062" t="s">
        <v>235</v>
      </c>
      <c r="D9" s="891"/>
      <c r="E9" s="1063">
        <f>SUM(D11:D13)</f>
        <v>11120.299999999876</v>
      </c>
      <c r="F9" s="1063"/>
      <c r="G9" s="144"/>
      <c r="H9" s="144"/>
    </row>
    <row r="10" spans="1:15" ht="17.25" customHeight="1" x14ac:dyDescent="0.25">
      <c r="A10" s="1061"/>
      <c r="B10" s="1064"/>
      <c r="C10" s="1065" t="s">
        <v>376</v>
      </c>
      <c r="D10" s="891"/>
      <c r="E10" s="891"/>
      <c r="F10" s="1063"/>
      <c r="G10" s="144"/>
      <c r="H10" s="144"/>
    </row>
    <row r="11" spans="1:15" ht="18.75" customHeight="1" x14ac:dyDescent="0.25">
      <c r="A11" s="1061"/>
      <c r="B11" s="1064"/>
      <c r="C11" s="1066" t="s">
        <v>424</v>
      </c>
      <c r="D11" s="1067">
        <v>9755.02</v>
      </c>
      <c r="E11" s="891"/>
      <c r="F11" s="891"/>
      <c r="G11" s="144"/>
      <c r="H11" s="144"/>
    </row>
    <row r="12" spans="1:15" ht="18.75" customHeight="1" x14ac:dyDescent="0.25">
      <c r="A12" s="1061"/>
      <c r="B12" s="1064"/>
      <c r="C12" s="855" t="s">
        <v>429</v>
      </c>
      <c r="D12" s="1067">
        <v>788.8099999998758</v>
      </c>
      <c r="E12" s="891"/>
      <c r="F12" s="891"/>
      <c r="G12" s="144"/>
      <c r="I12" s="144"/>
    </row>
    <row r="13" spans="1:15" ht="19.5" customHeight="1" x14ac:dyDescent="0.25">
      <c r="A13" s="1061"/>
      <c r="B13" s="1064"/>
      <c r="C13" s="1066" t="s">
        <v>433</v>
      </c>
      <c r="D13" s="1059">
        <v>576.47</v>
      </c>
      <c r="E13" s="891"/>
      <c r="F13" s="891"/>
      <c r="G13" s="144"/>
      <c r="H13" s="879"/>
    </row>
    <row r="14" spans="1:15" ht="18.75" customHeight="1" x14ac:dyDescent="0.25">
      <c r="A14" s="1061"/>
      <c r="B14" s="1058"/>
      <c r="C14" s="1249" t="s">
        <v>454</v>
      </c>
      <c r="D14" s="1068"/>
      <c r="E14" s="891"/>
      <c r="F14" s="1063"/>
      <c r="G14" s="144"/>
      <c r="H14" s="879"/>
    </row>
    <row r="15" spans="1:15" ht="17.25" customHeight="1" x14ac:dyDescent="0.25">
      <c r="A15" s="1061"/>
      <c r="B15" s="1058">
        <v>122</v>
      </c>
      <c r="C15" s="1065" t="s">
        <v>13</v>
      </c>
      <c r="D15" s="891"/>
      <c r="E15" s="1063">
        <f>SUM(D16:D18)</f>
        <v>0</v>
      </c>
      <c r="F15" s="1063"/>
      <c r="G15" s="144"/>
      <c r="H15" s="144"/>
    </row>
    <row r="16" spans="1:15" ht="17.25" customHeight="1" x14ac:dyDescent="0.25">
      <c r="A16" s="1061"/>
      <c r="B16" s="1064"/>
      <c r="C16" s="1066" t="s">
        <v>377</v>
      </c>
      <c r="D16" s="1068">
        <v>0</v>
      </c>
      <c r="E16" s="891"/>
      <c r="F16" s="891"/>
      <c r="G16" s="144"/>
      <c r="H16" s="144"/>
    </row>
    <row r="17" spans="1:8" ht="15.75" customHeight="1" x14ac:dyDescent="0.25">
      <c r="A17" s="1061"/>
      <c r="B17" s="1064"/>
      <c r="C17" s="1066" t="s">
        <v>378</v>
      </c>
      <c r="D17" s="1068">
        <v>0</v>
      </c>
      <c r="E17" s="891"/>
      <c r="F17" s="891"/>
      <c r="G17" s="144"/>
      <c r="H17" s="144"/>
    </row>
    <row r="18" spans="1:8" ht="15.75" customHeight="1" x14ac:dyDescent="0.25">
      <c r="A18" s="1061"/>
      <c r="B18" s="1064"/>
      <c r="C18" s="1066" t="s">
        <v>379</v>
      </c>
      <c r="D18" s="1068">
        <v>0</v>
      </c>
      <c r="E18" s="891"/>
      <c r="F18" s="891"/>
      <c r="G18" s="144"/>
      <c r="H18" s="144"/>
    </row>
    <row r="19" spans="1:8" ht="15" customHeight="1" x14ac:dyDescent="0.25">
      <c r="A19" s="1061"/>
      <c r="B19" s="1064"/>
      <c r="C19" s="1249" t="s">
        <v>455</v>
      </c>
      <c r="D19" s="1069"/>
      <c r="E19" s="891"/>
      <c r="F19" s="891"/>
      <c r="G19" s="144"/>
    </row>
    <row r="20" spans="1:8" ht="15" customHeight="1" x14ac:dyDescent="0.25">
      <c r="A20" s="1061"/>
      <c r="B20" s="1058">
        <v>132</v>
      </c>
      <c r="C20" s="1070" t="s">
        <v>41</v>
      </c>
      <c r="D20" s="891"/>
      <c r="E20" s="1063">
        <f>SUM(D21:D23)</f>
        <v>61484.600000000006</v>
      </c>
      <c r="F20" s="891"/>
      <c r="G20" s="144"/>
    </row>
    <row r="21" spans="1:8" ht="15.75" customHeight="1" x14ac:dyDescent="0.25">
      <c r="A21" s="1061"/>
      <c r="B21" s="1058"/>
      <c r="C21" s="1066" t="s">
        <v>425</v>
      </c>
      <c r="D21" s="1068">
        <v>15281.53</v>
      </c>
      <c r="E21" s="1071"/>
      <c r="F21" s="891"/>
      <c r="G21" s="144"/>
      <c r="H21" s="144"/>
    </row>
    <row r="22" spans="1:8" ht="15" customHeight="1" x14ac:dyDescent="0.25">
      <c r="A22" s="1061"/>
      <c r="B22" s="1064"/>
      <c r="C22" s="1066" t="s">
        <v>427</v>
      </c>
      <c r="D22" s="1068">
        <v>15557.960000000008</v>
      </c>
      <c r="E22" s="891"/>
      <c r="F22" s="891"/>
      <c r="H22" s="144"/>
    </row>
    <row r="23" spans="1:8" ht="15.75" customHeight="1" x14ac:dyDescent="0.25">
      <c r="A23" s="1061"/>
      <c r="B23" s="1058"/>
      <c r="C23" s="1066" t="s">
        <v>426</v>
      </c>
      <c r="D23" s="1068">
        <v>30645.11</v>
      </c>
      <c r="E23" s="891"/>
      <c r="F23" s="1063"/>
    </row>
    <row r="24" spans="1:8" ht="16.5" customHeight="1" x14ac:dyDescent="0.25">
      <c r="A24" s="1061"/>
      <c r="B24" s="1058"/>
      <c r="C24" s="1249" t="s">
        <v>456</v>
      </c>
      <c r="D24" s="1068"/>
      <c r="E24" s="1072"/>
      <c r="F24" s="891"/>
      <c r="G24" s="144"/>
    </row>
    <row r="25" spans="1:8" ht="16.5" customHeight="1" x14ac:dyDescent="0.25">
      <c r="A25" s="1061"/>
      <c r="B25" s="1058">
        <v>212</v>
      </c>
      <c r="C25" s="1065" t="s">
        <v>47</v>
      </c>
      <c r="D25" s="891"/>
      <c r="E25" s="1073">
        <f>+D26+D27</f>
        <v>0</v>
      </c>
      <c r="F25" s="891"/>
      <c r="G25" s="144"/>
    </row>
    <row r="26" spans="1:8" ht="18.75" customHeight="1" x14ac:dyDescent="0.25">
      <c r="A26" s="1061"/>
      <c r="B26" s="1064"/>
      <c r="C26" s="1066" t="s">
        <v>380</v>
      </c>
      <c r="D26" s="1068">
        <v>0</v>
      </c>
      <c r="E26" s="891"/>
      <c r="F26" s="891"/>
      <c r="G26" s="144"/>
    </row>
    <row r="27" spans="1:8" ht="18.75" customHeight="1" x14ac:dyDescent="0.25">
      <c r="A27" s="1061"/>
      <c r="B27" s="1064"/>
      <c r="C27" s="1074" t="s">
        <v>381</v>
      </c>
      <c r="D27" s="1075">
        <v>0</v>
      </c>
      <c r="E27" s="891"/>
      <c r="F27" s="891"/>
    </row>
    <row r="28" spans="1:8" ht="21" customHeight="1" x14ac:dyDescent="0.25">
      <c r="A28" s="1061"/>
      <c r="B28" s="1058"/>
      <c r="C28" s="1066" t="s">
        <v>459</v>
      </c>
      <c r="D28" s="1075"/>
      <c r="E28" s="891"/>
      <c r="F28" s="1063"/>
    </row>
    <row r="29" spans="1:8" ht="20.100000000000001" customHeight="1" x14ac:dyDescent="0.25">
      <c r="A29" s="1061"/>
      <c r="B29" s="1076">
        <v>214</v>
      </c>
      <c r="C29" s="1077" t="s">
        <v>49</v>
      </c>
      <c r="D29" s="1059"/>
      <c r="E29" s="1078">
        <f>+D30+D33</f>
        <v>1993279.07</v>
      </c>
      <c r="F29" s="1059"/>
      <c r="G29" s="144"/>
      <c r="H29" s="144"/>
    </row>
    <row r="30" spans="1:8" ht="20.100000000000001" customHeight="1" x14ac:dyDescent="0.25">
      <c r="A30" s="1079"/>
      <c r="B30" s="1080"/>
      <c r="C30" s="1081" t="s">
        <v>382</v>
      </c>
      <c r="D30" s="1082">
        <f>+D31</f>
        <v>0</v>
      </c>
      <c r="E30" s="1059"/>
      <c r="F30" s="1059"/>
      <c r="G30" s="144"/>
    </row>
    <row r="31" spans="1:8" ht="17.25" customHeight="1" x14ac:dyDescent="0.25">
      <c r="A31" s="1079"/>
      <c r="B31" s="1080"/>
      <c r="C31" s="1083" t="s">
        <v>383</v>
      </c>
      <c r="D31" s="1084">
        <v>0</v>
      </c>
      <c r="E31" s="1085"/>
      <c r="F31" s="1059"/>
      <c r="G31" s="594"/>
    </row>
    <row r="32" spans="1:8" ht="17.25" customHeight="1" x14ac:dyDescent="0.25">
      <c r="A32" s="1079"/>
      <c r="B32" s="1080"/>
      <c r="C32" s="1083" t="s">
        <v>384</v>
      </c>
      <c r="D32" s="1084">
        <v>0</v>
      </c>
      <c r="E32" s="1085"/>
      <c r="F32" s="1059"/>
      <c r="G32" s="144"/>
    </row>
    <row r="33" spans="1:8" s="148" customFormat="1" ht="20.100000000000001" customHeight="1" x14ac:dyDescent="0.25">
      <c r="A33" s="1079"/>
      <c r="B33" s="1080"/>
      <c r="C33" s="1081" t="s">
        <v>385</v>
      </c>
      <c r="D33" s="1082">
        <f>SUM(D34:D35)</f>
        <v>1993279.07</v>
      </c>
      <c r="E33" s="1059"/>
      <c r="F33" s="1059"/>
      <c r="G33" s="595"/>
    </row>
    <row r="34" spans="1:8" s="148" customFormat="1" ht="18.75" customHeight="1" x14ac:dyDescent="0.25">
      <c r="A34" s="1079"/>
      <c r="B34" s="1080"/>
      <c r="C34" s="1083" t="s">
        <v>383</v>
      </c>
      <c r="D34" s="1084">
        <v>1986373.8800000001</v>
      </c>
      <c r="E34" s="1059"/>
      <c r="F34" s="1059"/>
      <c r="G34" s="149"/>
      <c r="H34" s="1472"/>
    </row>
    <row r="35" spans="1:8" s="148" customFormat="1" ht="18.75" customHeight="1" x14ac:dyDescent="0.25">
      <c r="A35" s="1079"/>
      <c r="B35" s="1080"/>
      <c r="C35" s="1083" t="s">
        <v>384</v>
      </c>
      <c r="D35" s="1084">
        <v>6905.1900000000005</v>
      </c>
      <c r="E35" s="1059"/>
      <c r="F35" s="1059"/>
      <c r="G35" s="149"/>
    </row>
    <row r="36" spans="1:8" s="148" customFormat="1" ht="20.100000000000001" customHeight="1" x14ac:dyDescent="0.25">
      <c r="A36" s="1079"/>
      <c r="B36" s="1080"/>
      <c r="C36" s="1258" t="s">
        <v>459</v>
      </c>
      <c r="D36" s="1086"/>
      <c r="E36" s="1059"/>
      <c r="F36" s="1059"/>
    </row>
    <row r="37" spans="1:8" s="148" customFormat="1" ht="18.75" customHeight="1" x14ac:dyDescent="0.25">
      <c r="A37" s="1061"/>
      <c r="B37" s="1058">
        <v>216</v>
      </c>
      <c r="C37" s="1065" t="s">
        <v>181</v>
      </c>
      <c r="D37" s="1086"/>
      <c r="E37" s="1063">
        <f>SUM(D38:D48)</f>
        <v>671048.29999999993</v>
      </c>
      <c r="F37" s="891"/>
      <c r="G37" s="149"/>
      <c r="H37" s="149"/>
    </row>
    <row r="38" spans="1:8" s="148" customFormat="1" ht="20.100000000000001" customHeight="1" x14ac:dyDescent="0.25">
      <c r="A38" s="1061"/>
      <c r="B38" s="1058"/>
      <c r="C38" s="1044" t="s">
        <v>342</v>
      </c>
      <c r="D38" s="1086">
        <v>17075.16</v>
      </c>
      <c r="E38" s="1063"/>
      <c r="F38" s="891"/>
      <c r="G38" s="149"/>
    </row>
    <row r="39" spans="1:8" s="148" customFormat="1" ht="18.75" hidden="1" customHeight="1" x14ac:dyDescent="0.25">
      <c r="A39" s="1061"/>
      <c r="B39" s="1058"/>
      <c r="C39" s="1044" t="str">
        <f>+'[5]216 PA SEPTIEMBRE'!$A$14</f>
        <v>ALIMENTOS NO PERECEDEROS (UEPS)</v>
      </c>
      <c r="D39" s="1086"/>
      <c r="E39" s="1063"/>
      <c r="F39" s="891"/>
    </row>
    <row r="40" spans="1:8" s="148" customFormat="1" ht="30.75" customHeight="1" x14ac:dyDescent="0.25">
      <c r="A40" s="1061"/>
      <c r="B40" s="1058"/>
      <c r="C40" s="1044" t="str">
        <f>+'[6]216 PA DICIEMBRE'!$B$16</f>
        <v>ALIMENTOS Y BEBIDAS PEDECEDEROS Y NO PEDECEDEROS (PEPS)</v>
      </c>
      <c r="D40" s="1086">
        <v>107689.60000000001</v>
      </c>
      <c r="E40" s="1063"/>
      <c r="F40" s="891"/>
      <c r="H40" s="1087"/>
    </row>
    <row r="41" spans="1:8" s="148" customFormat="1" ht="21" customHeight="1" x14ac:dyDescent="0.25">
      <c r="A41" s="1061"/>
      <c r="B41" s="1058"/>
      <c r="C41" s="1044" t="str">
        <f>+'[5]216 PA SEPTIEMBRE'!$A$17</f>
        <v xml:space="preserve">PRODUCTOS FARMACÉUTICOS </v>
      </c>
      <c r="D41" s="1086">
        <v>15787.12</v>
      </c>
      <c r="E41" s="1063"/>
      <c r="F41" s="891"/>
      <c r="G41" s="149"/>
      <c r="H41" s="149"/>
    </row>
    <row r="42" spans="1:8" s="148" customFormat="1" ht="18" customHeight="1" x14ac:dyDescent="0.25">
      <c r="A42" s="1061"/>
      <c r="B42" s="1058"/>
      <c r="C42" s="1044" t="str">
        <f>+'[5]216 PA SEPTIEMBRE'!$A$18</f>
        <v>PRODUCTOS FARMACÉUTICOS (DONACIÓN)</v>
      </c>
      <c r="D42" s="1086">
        <v>6420</v>
      </c>
      <c r="E42" s="1063"/>
      <c r="F42" s="891"/>
    </row>
    <row r="43" spans="1:8" s="148" customFormat="1" ht="20.25" customHeight="1" x14ac:dyDescent="0.25">
      <c r="A43" s="1061"/>
      <c r="B43" s="1058"/>
      <c r="C43" s="1044" t="s">
        <v>183</v>
      </c>
      <c r="D43" s="1086">
        <v>33789.03</v>
      </c>
      <c r="E43" s="1063"/>
      <c r="F43" s="1063"/>
    </row>
    <row r="44" spans="1:8" s="148" customFormat="1" ht="18" customHeight="1" x14ac:dyDescent="0.25">
      <c r="A44" s="1061"/>
      <c r="B44" s="1058"/>
      <c r="C44" s="1044" t="s">
        <v>354</v>
      </c>
      <c r="D44" s="1086">
        <v>24617.66</v>
      </c>
      <c r="E44" s="1063"/>
      <c r="F44" s="1063"/>
    </row>
    <row r="45" spans="1:8" ht="18.75" customHeight="1" x14ac:dyDescent="0.25">
      <c r="A45" s="1061"/>
      <c r="B45" s="1058"/>
      <c r="C45" s="1044" t="s">
        <v>336</v>
      </c>
      <c r="D45" s="1086">
        <v>350</v>
      </c>
      <c r="E45" s="891"/>
      <c r="F45" s="1063"/>
      <c r="H45" s="144"/>
    </row>
    <row r="46" spans="1:8" ht="18.75" customHeight="1" x14ac:dyDescent="0.25">
      <c r="A46" s="1061"/>
      <c r="B46" s="1058"/>
      <c r="C46" s="1473" t="s">
        <v>341</v>
      </c>
      <c r="D46" s="1086">
        <v>243361.4</v>
      </c>
      <c r="E46" s="891"/>
      <c r="F46" s="1063"/>
    </row>
    <row r="47" spans="1:8" ht="18" customHeight="1" x14ac:dyDescent="0.25">
      <c r="A47" s="1061"/>
      <c r="B47" s="1064"/>
      <c r="C47" s="1473" t="s">
        <v>357</v>
      </c>
      <c r="D47" s="1086">
        <v>7140</v>
      </c>
      <c r="E47" s="891"/>
      <c r="F47" s="1063"/>
      <c r="G47" s="144"/>
      <c r="H47" s="144"/>
    </row>
    <row r="48" spans="1:8" ht="18" customHeight="1" x14ac:dyDescent="0.25">
      <c r="A48" s="1061"/>
      <c r="B48" s="1064"/>
      <c r="C48" s="1473" t="s">
        <v>184</v>
      </c>
      <c r="D48" s="1086">
        <v>214818.33</v>
      </c>
      <c r="E48" s="891"/>
      <c r="F48" s="1063"/>
      <c r="G48" s="144"/>
    </row>
    <row r="49" spans="1:8" ht="17.25" customHeight="1" x14ac:dyDescent="0.25">
      <c r="A49" s="1057"/>
      <c r="B49" s="1058"/>
      <c r="C49" s="1066" t="s">
        <v>458</v>
      </c>
      <c r="D49" s="1089"/>
      <c r="E49" s="1090"/>
      <c r="F49" s="1090"/>
      <c r="H49" s="144"/>
    </row>
    <row r="50" spans="1:8" ht="18" customHeight="1" x14ac:dyDescent="0.25">
      <c r="A50" s="1061"/>
      <c r="B50" s="1017">
        <v>133</v>
      </c>
      <c r="C50" s="1065" t="s">
        <v>236</v>
      </c>
      <c r="D50" s="1091"/>
      <c r="E50" s="1063"/>
      <c r="F50" s="1063">
        <v>61484.6</v>
      </c>
      <c r="G50" s="144"/>
      <c r="H50" s="144"/>
    </row>
    <row r="51" spans="1:8" ht="17.25" customHeight="1" x14ac:dyDescent="0.25">
      <c r="A51" s="1061"/>
      <c r="B51" s="1017">
        <v>203</v>
      </c>
      <c r="C51" s="964" t="s">
        <v>46</v>
      </c>
      <c r="D51" s="1091"/>
      <c r="E51" s="891"/>
      <c r="F51" s="1063">
        <v>0</v>
      </c>
      <c r="H51" s="144"/>
    </row>
    <row r="52" spans="1:8" ht="17.25" customHeight="1" thickBot="1" x14ac:dyDescent="0.3">
      <c r="A52" s="1092"/>
      <c r="B52" s="1093">
        <v>299</v>
      </c>
      <c r="C52" s="1094" t="s">
        <v>48</v>
      </c>
      <c r="D52" s="1095"/>
      <c r="E52" s="1096"/>
      <c r="F52" s="1097">
        <v>2674896.0899999989</v>
      </c>
      <c r="G52" s="144"/>
      <c r="H52" s="144"/>
    </row>
    <row r="53" spans="1:8" ht="18.75" customHeight="1" thickBot="1" x14ac:dyDescent="0.3">
      <c r="A53" s="1668" t="s">
        <v>386</v>
      </c>
      <c r="B53" s="1669"/>
      <c r="C53" s="1669"/>
      <c r="D53" s="1670"/>
      <c r="E53" s="1098">
        <f>+E9+E15+E20+E25+E29+E37</f>
        <v>2736932.27</v>
      </c>
      <c r="F53" s="1099">
        <f>F10+F50+F51+F52</f>
        <v>2736380.689999999</v>
      </c>
      <c r="G53" s="144"/>
      <c r="H53" s="144"/>
    </row>
    <row r="54" spans="1:8" ht="19.5" customHeight="1" thickBot="1" x14ac:dyDescent="0.3">
      <c r="A54" s="1100">
        <v>45658</v>
      </c>
      <c r="B54" s="1101"/>
      <c r="C54" s="1101" t="s">
        <v>387</v>
      </c>
      <c r="D54" s="1102"/>
      <c r="E54" s="1102"/>
      <c r="F54" s="1103"/>
      <c r="H54" s="144"/>
    </row>
    <row r="55" spans="1:8" ht="29.25" customHeight="1" thickBot="1" x14ac:dyDescent="0.3">
      <c r="A55" s="1671" t="s">
        <v>388</v>
      </c>
      <c r="B55" s="1672"/>
      <c r="C55" s="1672"/>
      <c r="D55" s="1672"/>
      <c r="E55" s="1672"/>
      <c r="F55" s="1673"/>
      <c r="H55" s="144"/>
    </row>
    <row r="56" spans="1:8" ht="18" customHeight="1" thickBot="1" x14ac:dyDescent="0.3">
      <c r="A56" s="1674" t="s">
        <v>389</v>
      </c>
      <c r="B56" s="1675"/>
      <c r="C56" s="1676"/>
      <c r="D56" s="1674" t="s">
        <v>390</v>
      </c>
      <c r="E56" s="1675"/>
      <c r="F56" s="1676"/>
      <c r="G56" s="144"/>
      <c r="H56" s="144"/>
    </row>
    <row r="57" spans="1:8" ht="17.25" customHeight="1" x14ac:dyDescent="0.25">
      <c r="A57" s="1677" t="s">
        <v>391</v>
      </c>
      <c r="B57" s="1678"/>
      <c r="C57" s="1104">
        <v>11120.3</v>
      </c>
      <c r="D57" s="1679" t="s">
        <v>392</v>
      </c>
      <c r="E57" s="1680"/>
      <c r="F57" s="1105">
        <v>551.58000000000004</v>
      </c>
    </row>
    <row r="58" spans="1:8" ht="27.75" customHeight="1" x14ac:dyDescent="0.25">
      <c r="A58" s="1656" t="s">
        <v>393</v>
      </c>
      <c r="B58" s="1657"/>
      <c r="C58" s="1068" t="s">
        <v>457</v>
      </c>
      <c r="D58" s="1658" t="str">
        <f>+'[7]SALDOS DE LAS CTAS. AL 31-1 (2)'!C60</f>
        <v>103 - GASTOS POR PAGAR</v>
      </c>
      <c r="E58" s="1659"/>
      <c r="F58" s="1106">
        <f>+[8]MAYORES!$N$105</f>
        <v>0</v>
      </c>
      <c r="H58" s="144"/>
    </row>
    <row r="59" spans="1:8" ht="25.5" customHeight="1" x14ac:dyDescent="0.25">
      <c r="A59" s="1660" t="s">
        <v>394</v>
      </c>
      <c r="B59" s="1661"/>
      <c r="C59" s="1068">
        <v>61484.6</v>
      </c>
      <c r="D59" s="1662" t="s">
        <v>395</v>
      </c>
      <c r="E59" s="1663"/>
      <c r="F59" s="1106">
        <v>61484.6</v>
      </c>
    </row>
    <row r="60" spans="1:8" ht="15.75" customHeight="1" thickBot="1" x14ac:dyDescent="0.3">
      <c r="A60" s="1664" t="s">
        <v>396</v>
      </c>
      <c r="B60" s="1665"/>
      <c r="C60" s="1107">
        <f>SUM(C57:C59)</f>
        <v>72604.899999999994</v>
      </c>
      <c r="D60" s="1666"/>
      <c r="E60" s="1667"/>
      <c r="F60" s="1108">
        <f>+F57+F58+F59</f>
        <v>62036.18</v>
      </c>
      <c r="G60" s="144"/>
      <c r="H60" s="144"/>
    </row>
    <row r="61" spans="1:8" ht="18" customHeight="1" thickBot="1" x14ac:dyDescent="0.3">
      <c r="A61" s="1689" t="s">
        <v>397</v>
      </c>
      <c r="B61" s="1690"/>
      <c r="C61" s="1691"/>
      <c r="D61" s="1692"/>
      <c r="E61" s="1693"/>
      <c r="F61" s="1109">
        <f>+C60-F60</f>
        <v>10568.719999999994</v>
      </c>
      <c r="H61" s="144"/>
    </row>
    <row r="62" spans="1:8" ht="24" customHeight="1" thickBot="1" x14ac:dyDescent="0.3">
      <c r="A62" s="1694" t="s">
        <v>398</v>
      </c>
      <c r="B62" s="1695"/>
      <c r="C62" s="1110">
        <f>+C60</f>
        <v>72604.899999999994</v>
      </c>
      <c r="D62" s="1111"/>
      <c r="E62" s="1112"/>
      <c r="F62" s="1113">
        <f>F60+F61</f>
        <v>72604.899999999994</v>
      </c>
      <c r="G62" s="144"/>
    </row>
    <row r="63" spans="1:8" s="148" customFormat="1" ht="5.25" customHeight="1" thickBot="1" x14ac:dyDescent="0.3">
      <c r="A63" s="1047"/>
      <c r="B63" s="1047"/>
      <c r="C63" s="1047"/>
      <c r="D63" s="1047"/>
      <c r="E63" s="544"/>
      <c r="F63" s="544"/>
    </row>
    <row r="64" spans="1:8" ht="18.75" customHeight="1" thickBot="1" x14ac:dyDescent="0.3">
      <c r="A64" s="1684" t="s">
        <v>163</v>
      </c>
      <c r="B64" s="1685"/>
      <c r="C64" s="1686"/>
      <c r="D64" s="1684" t="s">
        <v>84</v>
      </c>
      <c r="E64" s="1685"/>
      <c r="F64" s="1686"/>
    </row>
    <row r="65" spans="1:7" ht="62.25" customHeight="1" thickBot="1" x14ac:dyDescent="0.3">
      <c r="A65" s="1696"/>
      <c r="B65" s="1697"/>
      <c r="C65" s="1698"/>
      <c r="D65" s="1696"/>
      <c r="E65" s="1697"/>
      <c r="F65" s="1698"/>
    </row>
    <row r="66" spans="1:7" s="148" customFormat="1" ht="17.25" customHeight="1" thickBot="1" x14ac:dyDescent="0.3">
      <c r="A66" s="1681" t="s">
        <v>273</v>
      </c>
      <c r="B66" s="1682"/>
      <c r="C66" s="1683"/>
      <c r="D66" s="1684" t="s">
        <v>227</v>
      </c>
      <c r="E66" s="1685"/>
      <c r="F66" s="1686"/>
    </row>
    <row r="67" spans="1:7" ht="17.25" customHeight="1" thickBot="1" x14ac:dyDescent="0.3">
      <c r="A67" s="1684" t="s">
        <v>272</v>
      </c>
      <c r="B67" s="1685"/>
      <c r="C67" s="1686"/>
      <c r="D67" s="1684" t="s">
        <v>337</v>
      </c>
      <c r="E67" s="1685"/>
      <c r="F67" s="1686"/>
    </row>
    <row r="68" spans="1:7" s="145" customFormat="1" ht="15" customHeight="1" x14ac:dyDescent="0.25">
      <c r="A68" s="1687"/>
      <c r="B68" s="1687"/>
      <c r="C68" s="1687"/>
      <c r="D68" s="1688"/>
      <c r="E68" s="1688"/>
      <c r="F68" s="1688"/>
    </row>
    <row r="69" spans="1:7" s="145" customFormat="1" ht="27" customHeight="1" x14ac:dyDescent="0.25">
      <c r="A69" s="1702"/>
      <c r="B69" s="1702"/>
      <c r="C69" s="1702"/>
      <c r="D69" s="1046"/>
      <c r="E69" s="1045"/>
      <c r="F69" s="1045"/>
    </row>
    <row r="70" spans="1:7" s="145" customFormat="1" ht="15.75" customHeight="1" x14ac:dyDescent="0.25">
      <c r="A70" s="1687"/>
      <c r="B70" s="1687"/>
      <c r="C70" s="1687"/>
      <c r="D70" s="1046"/>
      <c r="E70" s="1031"/>
      <c r="F70" s="1032"/>
    </row>
    <row r="71" spans="1:7" s="145" customFormat="1" x14ac:dyDescent="0.25">
      <c r="A71" s="1033"/>
      <c r="B71" s="1688"/>
      <c r="C71" s="1688"/>
      <c r="D71" s="1703"/>
      <c r="E71" s="1688"/>
      <c r="F71" s="1688"/>
    </row>
    <row r="72" spans="1:7" s="145" customFormat="1" ht="16.5" customHeight="1" x14ac:dyDescent="0.25">
      <c r="A72" s="1032"/>
      <c r="B72" s="1688"/>
      <c r="C72" s="1688"/>
      <c r="D72" s="1703"/>
      <c r="E72" s="1688"/>
      <c r="F72" s="1688"/>
    </row>
    <row r="73" spans="1:7" s="145" customFormat="1" ht="15" customHeight="1" x14ac:dyDescent="0.25">
      <c r="A73" s="1033"/>
      <c r="B73" s="1688"/>
      <c r="C73" s="1688"/>
      <c r="D73" s="1703"/>
      <c r="E73" s="1688"/>
      <c r="F73" s="1688"/>
    </row>
    <row r="74" spans="1:7" s="1117" customFormat="1" ht="15.75" customHeight="1" x14ac:dyDescent="0.25">
      <c r="A74" s="1114"/>
      <c r="B74" s="1115"/>
      <c r="C74" s="1116"/>
      <c r="D74" s="133"/>
      <c r="E74" s="133"/>
      <c r="F74" s="133"/>
    </row>
    <row r="75" spans="1:7" s="1117" customFormat="1" ht="18" customHeight="1" x14ac:dyDescent="0.25">
      <c r="A75" s="1118"/>
      <c r="B75" s="1119"/>
      <c r="C75" s="1120"/>
      <c r="D75" s="1121"/>
      <c r="E75" s="1122"/>
      <c r="F75" s="1051"/>
    </row>
    <row r="76" spans="1:7" s="1117" customFormat="1" ht="15.75" customHeight="1" x14ac:dyDescent="0.25">
      <c r="A76" s="1034"/>
      <c r="B76" s="1119"/>
      <c r="C76" s="1123"/>
      <c r="D76" s="1124"/>
      <c r="E76" s="1051"/>
      <c r="F76" s="1051"/>
    </row>
    <row r="77" spans="1:7" s="1117" customFormat="1" ht="15" customHeight="1" x14ac:dyDescent="0.25">
      <c r="A77" s="1034"/>
      <c r="B77" s="1125"/>
      <c r="C77" s="1126"/>
      <c r="D77" s="1124"/>
      <c r="E77" s="1051"/>
      <c r="F77" s="1051"/>
      <c r="G77" s="1127"/>
    </row>
    <row r="78" spans="1:7" s="1117" customFormat="1" ht="23.25" customHeight="1" x14ac:dyDescent="0.25">
      <c r="A78" s="1034"/>
      <c r="B78" s="1125"/>
      <c r="C78" s="1128"/>
      <c r="D78" s="1124"/>
      <c r="E78" s="1051"/>
      <c r="F78" s="1051"/>
    </row>
    <row r="79" spans="1:7" s="1117" customFormat="1" ht="17.25" customHeight="1" x14ac:dyDescent="0.25">
      <c r="A79" s="1129"/>
      <c r="B79" s="1125"/>
      <c r="C79" s="1130"/>
      <c r="D79" s="1124"/>
      <c r="E79" s="1051"/>
      <c r="F79" s="1051"/>
    </row>
    <row r="80" spans="1:7" s="1117" customFormat="1" ht="16.5" customHeight="1" x14ac:dyDescent="0.25">
      <c r="A80" s="1118"/>
      <c r="B80" s="1119"/>
      <c r="C80" s="1123"/>
      <c r="D80" s="1124"/>
      <c r="E80" s="1051"/>
      <c r="F80" s="1051"/>
    </row>
    <row r="81" spans="1:9" s="1117" customFormat="1" ht="15.75" customHeight="1" x14ac:dyDescent="0.2">
      <c r="A81" s="1034"/>
      <c r="B81" s="1125"/>
      <c r="C81" s="1131"/>
      <c r="D81" s="1124"/>
      <c r="E81" s="1051"/>
      <c r="F81" s="1051"/>
    </row>
    <row r="82" spans="1:9" s="1117" customFormat="1" ht="15.75" customHeight="1" x14ac:dyDescent="0.25">
      <c r="A82" s="1034"/>
      <c r="B82" s="1119"/>
      <c r="C82" s="1123"/>
      <c r="D82" s="1124"/>
      <c r="E82" s="1051"/>
      <c r="F82" s="1051"/>
      <c r="G82" s="1132"/>
    </row>
    <row r="83" spans="1:9" s="1117" customFormat="1" ht="15.75" customHeight="1" x14ac:dyDescent="0.2">
      <c r="A83" s="1034"/>
      <c r="B83" s="1125"/>
      <c r="C83" s="1131"/>
      <c r="D83" s="1124"/>
      <c r="E83" s="1051"/>
      <c r="F83" s="1051"/>
    </row>
    <row r="84" spans="1:9" s="1117" customFormat="1" ht="26.25" customHeight="1" x14ac:dyDescent="0.25">
      <c r="A84" s="1034"/>
      <c r="B84" s="1125"/>
      <c r="C84" s="1133"/>
      <c r="D84" s="1124"/>
      <c r="E84" s="1051"/>
      <c r="F84" s="1051"/>
    </row>
    <row r="85" spans="1:9" s="1117" customFormat="1" ht="15.75" customHeight="1" x14ac:dyDescent="0.25">
      <c r="A85" s="1129"/>
      <c r="B85" s="1125"/>
      <c r="C85" s="1130"/>
      <c r="D85" s="1124"/>
      <c r="E85" s="1051"/>
      <c r="F85" s="1051"/>
    </row>
    <row r="86" spans="1:9" s="1117" customFormat="1" ht="17.25" customHeight="1" x14ac:dyDescent="0.25">
      <c r="A86" s="1118"/>
      <c r="B86" s="1119"/>
      <c r="C86" s="1134"/>
      <c r="D86" s="1124"/>
      <c r="E86" s="1051"/>
      <c r="F86" s="1051"/>
    </row>
    <row r="87" spans="1:9" s="1117" customFormat="1" ht="17.25" customHeight="1" x14ac:dyDescent="0.25">
      <c r="A87" s="1034"/>
      <c r="B87" s="1119"/>
      <c r="C87" s="1135"/>
      <c r="D87" s="1124"/>
      <c r="E87" s="1051"/>
      <c r="F87" s="1051"/>
    </row>
    <row r="88" spans="1:9" s="1117" customFormat="1" ht="16.5" customHeight="1" x14ac:dyDescent="0.25">
      <c r="A88" s="1034"/>
      <c r="B88" s="1119"/>
      <c r="C88" s="1134"/>
      <c r="D88" s="1124"/>
      <c r="E88" s="1051"/>
      <c r="F88" s="1051"/>
    </row>
    <row r="89" spans="1:9" s="1117" customFormat="1" ht="24.75" customHeight="1" x14ac:dyDescent="0.25">
      <c r="A89" s="1034"/>
      <c r="B89" s="1125"/>
      <c r="C89" s="1133"/>
      <c r="D89" s="1124"/>
      <c r="E89" s="1051"/>
      <c r="F89" s="1051"/>
    </row>
    <row r="90" spans="1:9" s="1117" customFormat="1" ht="16.5" customHeight="1" x14ac:dyDescent="0.2">
      <c r="A90" s="1129"/>
      <c r="B90" s="1136"/>
      <c r="C90" s="1130"/>
      <c r="D90" s="1137"/>
      <c r="E90" s="1137"/>
      <c r="F90" s="1137"/>
    </row>
    <row r="91" spans="1:9" s="1117" customFormat="1" ht="16.5" customHeight="1" x14ac:dyDescent="0.25">
      <c r="A91" s="1034"/>
      <c r="B91" s="1045"/>
      <c r="C91" s="1134"/>
      <c r="D91" s="1124"/>
      <c r="E91" s="1051"/>
      <c r="F91" s="1124"/>
      <c r="G91" s="1138"/>
      <c r="H91" s="1139"/>
      <c r="I91" s="1139"/>
    </row>
    <row r="92" spans="1:9" s="1117" customFormat="1" ht="15.75" customHeight="1" x14ac:dyDescent="0.2">
      <c r="A92" s="1034"/>
      <c r="B92" s="1045"/>
      <c r="C92" s="1135"/>
      <c r="D92" s="1137"/>
      <c r="E92" s="1051"/>
      <c r="F92" s="1124"/>
      <c r="G92" s="1140"/>
      <c r="H92" s="1139"/>
    </row>
    <row r="93" spans="1:9" s="1117" customFormat="1" ht="17.25" customHeight="1" x14ac:dyDescent="0.25">
      <c r="A93" s="1034"/>
      <c r="B93" s="1045"/>
      <c r="C93" s="1135"/>
      <c r="D93" s="1124"/>
      <c r="E93" s="1051"/>
      <c r="F93" s="1124"/>
    </row>
    <row r="94" spans="1:9" s="1117" customFormat="1" ht="15" customHeight="1" x14ac:dyDescent="0.2">
      <c r="A94" s="1034"/>
      <c r="B94" s="1141"/>
      <c r="C94" s="1135"/>
      <c r="D94" s="1137"/>
      <c r="E94" s="1142"/>
      <c r="F94" s="1143"/>
    </row>
    <row r="95" spans="1:9" s="1117" customFormat="1" ht="15.75" customHeight="1" x14ac:dyDescent="0.2">
      <c r="A95" s="1034"/>
      <c r="B95" s="1141"/>
      <c r="C95" s="1135"/>
      <c r="D95" s="1137"/>
      <c r="E95" s="1142"/>
      <c r="F95" s="1143"/>
    </row>
    <row r="96" spans="1:9" s="1117" customFormat="1" ht="19.5" customHeight="1" x14ac:dyDescent="0.25">
      <c r="A96" s="1034"/>
      <c r="B96" s="1045"/>
      <c r="C96" s="1123"/>
      <c r="D96" s="1124"/>
      <c r="E96" s="1124"/>
      <c r="F96" s="1051"/>
    </row>
    <row r="97" spans="1:8" s="1117" customFormat="1" ht="17.25" customHeight="1" x14ac:dyDescent="0.2">
      <c r="A97" s="1144"/>
      <c r="B97" s="1141"/>
      <c r="C97" s="1126"/>
      <c r="D97" s="1137"/>
      <c r="E97" s="1143"/>
      <c r="F97" s="1143"/>
    </row>
    <row r="98" spans="1:8" s="1117" customFormat="1" ht="18.75" customHeight="1" x14ac:dyDescent="0.2">
      <c r="A98" s="1118"/>
      <c r="B98" s="1141"/>
      <c r="C98" s="1126"/>
      <c r="D98" s="1137"/>
      <c r="E98" s="1143"/>
      <c r="F98" s="1143"/>
    </row>
    <row r="99" spans="1:8" s="1117" customFormat="1" ht="39.75" customHeight="1" x14ac:dyDescent="0.2">
      <c r="A99" s="1034"/>
      <c r="B99" s="1136"/>
      <c r="C99" s="1145"/>
      <c r="D99" s="1137"/>
      <c r="E99" s="1137"/>
      <c r="F99" s="1137"/>
    </row>
    <row r="100" spans="1:8" s="1117" customFormat="1" ht="15.75" customHeight="1" x14ac:dyDescent="0.25">
      <c r="A100" s="1129"/>
      <c r="B100" s="1045"/>
      <c r="C100" s="1130"/>
      <c r="D100" s="1124"/>
      <c r="E100" s="1051"/>
      <c r="F100" s="1051"/>
    </row>
    <row r="101" spans="1:8" s="1117" customFormat="1" ht="15.75" customHeight="1" x14ac:dyDescent="0.25">
      <c r="A101" s="1146"/>
      <c r="B101" s="1045"/>
      <c r="C101" s="1147"/>
      <c r="D101" s="1124"/>
      <c r="E101" s="1051"/>
      <c r="F101" s="1051"/>
    </row>
    <row r="102" spans="1:8" s="1117" customFormat="1" ht="20.25" customHeight="1" x14ac:dyDescent="0.25">
      <c r="A102" s="1146"/>
      <c r="B102" s="1045"/>
      <c r="C102" s="1126"/>
      <c r="D102" s="1124"/>
      <c r="E102" s="1051"/>
      <c r="F102" s="1051"/>
      <c r="G102" s="1127"/>
    </row>
    <row r="103" spans="1:8" s="1117" customFormat="1" ht="15.75" customHeight="1" x14ac:dyDescent="0.25">
      <c r="A103" s="1146"/>
      <c r="B103" s="1045"/>
      <c r="C103" s="1126"/>
      <c r="D103" s="1124"/>
      <c r="E103" s="1051"/>
      <c r="F103" s="1051"/>
      <c r="G103" s="1127"/>
    </row>
    <row r="104" spans="1:8" s="1117" customFormat="1" ht="19.5" customHeight="1" x14ac:dyDescent="0.25">
      <c r="A104" s="1146"/>
      <c r="B104" s="1045"/>
      <c r="C104" s="1126"/>
      <c r="D104" s="1124"/>
      <c r="E104" s="1051"/>
      <c r="F104" s="1051"/>
      <c r="G104" s="1127"/>
      <c r="H104" s="1127"/>
    </row>
    <row r="105" spans="1:8" s="1117" customFormat="1" ht="18.75" customHeight="1" x14ac:dyDescent="0.25">
      <c r="A105" s="1148"/>
      <c r="B105" s="1045"/>
      <c r="C105" s="1126"/>
      <c r="D105" s="1124"/>
      <c r="E105" s="1051"/>
      <c r="F105" s="1051"/>
      <c r="G105" s="1127"/>
    </row>
    <row r="106" spans="1:8" s="1117" customFormat="1" ht="16.5" customHeight="1" x14ac:dyDescent="0.2">
      <c r="A106" s="1149"/>
      <c r="B106" s="1045"/>
      <c r="C106" s="1123"/>
      <c r="D106" s="1124"/>
      <c r="E106" s="1124"/>
      <c r="F106" s="1051"/>
      <c r="G106" s="1127"/>
    </row>
    <row r="107" spans="1:8" s="1117" customFormat="1" ht="15" customHeight="1" x14ac:dyDescent="0.25">
      <c r="A107" s="1118"/>
      <c r="B107" s="1150"/>
      <c r="C107" s="1126"/>
      <c r="D107" s="1124"/>
      <c r="E107" s="1124"/>
      <c r="F107" s="1124"/>
      <c r="G107" s="1127"/>
    </row>
    <row r="108" spans="1:8" s="1117" customFormat="1" ht="18" customHeight="1" x14ac:dyDescent="0.25">
      <c r="A108" s="1034"/>
      <c r="B108" s="1150"/>
      <c r="C108" s="1126"/>
      <c r="D108" s="1124"/>
      <c r="E108" s="1124"/>
      <c r="F108" s="1124"/>
      <c r="G108" s="1139"/>
      <c r="H108" s="1139"/>
    </row>
    <row r="109" spans="1:8" s="1117" customFormat="1" ht="18" customHeight="1" x14ac:dyDescent="0.25">
      <c r="A109" s="1034"/>
      <c r="B109" s="1150"/>
      <c r="C109" s="1151"/>
      <c r="D109" s="1124"/>
      <c r="E109" s="1124"/>
      <c r="F109" s="1124"/>
      <c r="G109" s="1140"/>
      <c r="H109" s="1139"/>
    </row>
    <row r="110" spans="1:8" s="1117" customFormat="1" ht="18" customHeight="1" x14ac:dyDescent="0.25">
      <c r="A110" s="1114"/>
      <c r="B110" s="1045"/>
      <c r="C110" s="1150"/>
      <c r="D110" s="1124"/>
      <c r="E110" s="1051"/>
      <c r="F110" s="1124"/>
      <c r="G110" s="1140"/>
      <c r="H110" s="1139"/>
    </row>
    <row r="111" spans="1:8" s="1117" customFormat="1" ht="16.5" customHeight="1" x14ac:dyDescent="0.25">
      <c r="A111" s="1034"/>
      <c r="B111" s="1045"/>
      <c r="C111" s="1147"/>
      <c r="D111" s="1124"/>
      <c r="E111" s="1051"/>
      <c r="F111" s="1124"/>
      <c r="G111" s="1140"/>
      <c r="H111" s="1140"/>
    </row>
    <row r="112" spans="1:8" s="1117" customFormat="1" ht="16.5" customHeight="1" x14ac:dyDescent="0.25">
      <c r="A112" s="1034"/>
      <c r="B112" s="1045"/>
      <c r="C112" s="1126"/>
      <c r="D112" s="1124"/>
      <c r="E112" s="1124"/>
      <c r="F112" s="1051"/>
      <c r="G112" s="1139"/>
      <c r="H112" s="1139"/>
    </row>
    <row r="113" spans="1:8" s="1117" customFormat="1" ht="15.75" customHeight="1" x14ac:dyDescent="0.25">
      <c r="A113" s="1034"/>
      <c r="B113" s="1045"/>
      <c r="C113" s="1147"/>
      <c r="D113" s="1124"/>
      <c r="E113" s="1124"/>
      <c r="F113" s="1051"/>
    </row>
    <row r="114" spans="1:8" s="1117" customFormat="1" ht="24.75" customHeight="1" x14ac:dyDescent="0.25">
      <c r="A114" s="1034"/>
      <c r="B114" s="1150"/>
      <c r="C114" s="1151"/>
      <c r="D114" s="1124"/>
      <c r="E114" s="1124"/>
      <c r="F114" s="1124"/>
      <c r="G114" s="1127"/>
    </row>
    <row r="115" spans="1:8" s="1117" customFormat="1" ht="16.5" customHeight="1" x14ac:dyDescent="0.2">
      <c r="A115" s="1149"/>
      <c r="B115" s="1115"/>
      <c r="C115" s="1130"/>
      <c r="D115" s="1152"/>
      <c r="E115" s="1153"/>
      <c r="F115" s="1153"/>
    </row>
    <row r="116" spans="1:8" s="1117" customFormat="1" ht="18" customHeight="1" x14ac:dyDescent="0.25">
      <c r="A116" s="1144"/>
      <c r="B116" s="1045"/>
      <c r="C116" s="1147"/>
      <c r="D116" s="1124"/>
      <c r="E116" s="1051"/>
      <c r="F116" s="1051"/>
      <c r="G116" s="1127"/>
      <c r="H116" s="1127"/>
    </row>
    <row r="117" spans="1:8" s="1117" customFormat="1" ht="18" customHeight="1" x14ac:dyDescent="0.25">
      <c r="A117" s="1034"/>
      <c r="B117" s="1150"/>
      <c r="C117" s="1126"/>
      <c r="D117" s="1124"/>
      <c r="E117" s="1051"/>
      <c r="F117" s="1051"/>
    </row>
    <row r="118" spans="1:8" s="1117" customFormat="1" ht="18" customHeight="1" x14ac:dyDescent="0.25">
      <c r="A118" s="1034"/>
      <c r="B118" s="1150"/>
      <c r="C118" s="1154"/>
      <c r="D118" s="1124"/>
      <c r="E118" s="1051"/>
      <c r="F118" s="1051"/>
    </row>
    <row r="119" spans="1:8" s="1117" customFormat="1" ht="17.25" customHeight="1" x14ac:dyDescent="0.25">
      <c r="A119" s="1034"/>
      <c r="B119" s="1045"/>
      <c r="C119" s="1147"/>
      <c r="D119" s="1124"/>
      <c r="E119" s="1051"/>
      <c r="F119" s="1051"/>
      <c r="G119" s="1127"/>
      <c r="H119" s="1127"/>
    </row>
    <row r="120" spans="1:8" s="1117" customFormat="1" ht="18.75" customHeight="1" x14ac:dyDescent="0.25">
      <c r="A120" s="1034"/>
      <c r="B120" s="1150"/>
      <c r="C120" s="1126"/>
      <c r="D120" s="1124"/>
      <c r="E120" s="1051"/>
      <c r="F120" s="1051"/>
    </row>
    <row r="121" spans="1:8" s="1117" customFormat="1" ht="37.5" customHeight="1" x14ac:dyDescent="0.25">
      <c r="A121" s="1034"/>
      <c r="B121" s="1150"/>
      <c r="C121" s="1151"/>
      <c r="D121" s="1124"/>
      <c r="E121" s="1051"/>
      <c r="F121" s="1051"/>
    </row>
    <row r="122" spans="1:8" s="1117" customFormat="1" ht="15.75" customHeight="1" x14ac:dyDescent="0.2">
      <c r="A122" s="1149"/>
      <c r="B122" s="1150"/>
      <c r="C122" s="1130"/>
      <c r="D122" s="1124"/>
      <c r="E122" s="1051"/>
      <c r="F122" s="1051"/>
    </row>
    <row r="123" spans="1:8" s="1117" customFormat="1" ht="16.5" customHeight="1" x14ac:dyDescent="0.25">
      <c r="A123" s="1034"/>
      <c r="B123" s="1045"/>
      <c r="C123" s="1147"/>
      <c r="D123" s="1124"/>
      <c r="E123" s="1051"/>
      <c r="F123" s="1051"/>
    </row>
    <row r="124" spans="1:8" s="1117" customFormat="1" ht="17.25" customHeight="1" x14ac:dyDescent="0.25">
      <c r="A124" s="1034"/>
      <c r="B124" s="1150"/>
      <c r="C124" s="1126"/>
      <c r="D124" s="1124"/>
      <c r="E124" s="1051"/>
      <c r="F124" s="1051"/>
    </row>
    <row r="125" spans="1:8" s="1117" customFormat="1" ht="15.75" customHeight="1" x14ac:dyDescent="0.25">
      <c r="A125" s="1034"/>
      <c r="B125" s="1045"/>
      <c r="C125" s="1147"/>
      <c r="D125" s="1124"/>
      <c r="E125" s="1051"/>
      <c r="F125" s="1051"/>
    </row>
    <row r="126" spans="1:8" s="1117" customFormat="1" ht="17.25" customHeight="1" x14ac:dyDescent="0.25">
      <c r="A126" s="1034"/>
      <c r="B126" s="1115"/>
      <c r="C126" s="1126"/>
      <c r="D126" s="1124"/>
      <c r="E126" s="1051"/>
      <c r="F126" s="1051"/>
    </row>
    <row r="127" spans="1:8" s="145" customFormat="1" ht="38.25" customHeight="1" x14ac:dyDescent="0.2">
      <c r="A127" s="1155"/>
      <c r="B127" s="1115"/>
      <c r="C127" s="1151"/>
      <c r="D127" s="1124"/>
      <c r="E127" s="1051"/>
      <c r="F127" s="1051"/>
    </row>
    <row r="128" spans="1:8" s="145" customFormat="1" ht="24" customHeight="1" x14ac:dyDescent="0.25">
      <c r="A128" s="1699"/>
      <c r="B128" s="1699"/>
      <c r="C128" s="1699"/>
      <c r="D128" s="1699"/>
      <c r="E128" s="1156"/>
      <c r="F128" s="1156"/>
      <c r="G128" s="133"/>
    </row>
    <row r="129" spans="1:6" s="145" customFormat="1" ht="7.5" customHeight="1" x14ac:dyDescent="0.25">
      <c r="A129" s="1047"/>
      <c r="B129" s="1047"/>
      <c r="C129" s="1047"/>
      <c r="D129" s="1047"/>
      <c r="E129" s="544"/>
      <c r="F129" s="544"/>
    </row>
    <row r="130" spans="1:6" s="145" customFormat="1" ht="18" customHeight="1" x14ac:dyDescent="0.25">
      <c r="A130" s="1700"/>
      <c r="B130" s="1700"/>
      <c r="C130" s="1700"/>
      <c r="D130" s="1700"/>
      <c r="E130" s="1700"/>
      <c r="F130" s="1700"/>
    </row>
    <row r="131" spans="1:6" s="145" customFormat="1" ht="57.75" customHeight="1" x14ac:dyDescent="0.25">
      <c r="A131" s="1700"/>
      <c r="B131" s="1700"/>
      <c r="C131" s="1700"/>
      <c r="D131" s="1700"/>
      <c r="E131" s="1700"/>
      <c r="F131" s="1700"/>
    </row>
    <row r="132" spans="1:6" s="145" customFormat="1" ht="18.75" customHeight="1" x14ac:dyDescent="0.25">
      <c r="A132" s="1701"/>
      <c r="B132" s="1701"/>
      <c r="C132" s="1701"/>
      <c r="D132" s="1700"/>
      <c r="E132" s="1700"/>
      <c r="F132" s="1700"/>
    </row>
    <row r="133" spans="1:6" s="145" customFormat="1" ht="18.75" customHeight="1" x14ac:dyDescent="0.25">
      <c r="A133" s="1700"/>
      <c r="B133" s="1700"/>
      <c r="C133" s="1700"/>
      <c r="D133" s="1700"/>
      <c r="E133" s="1700"/>
      <c r="F133" s="1700"/>
    </row>
    <row r="134" spans="1:6" s="145" customFormat="1" ht="18.75" customHeight="1" x14ac:dyDescent="0.25">
      <c r="A134" s="1157"/>
      <c r="B134" s="1157"/>
      <c r="C134" s="1157"/>
      <c r="D134" s="1157"/>
      <c r="E134" s="1157"/>
      <c r="F134" s="1157"/>
    </row>
    <row r="135" spans="1:6" s="145" customFormat="1" ht="18.75" customHeight="1" x14ac:dyDescent="0.25">
      <c r="A135" s="1704"/>
      <c r="B135" s="1704"/>
      <c r="C135" s="1704"/>
      <c r="D135" s="1688"/>
      <c r="E135" s="1688"/>
      <c r="F135" s="1688"/>
    </row>
    <row r="136" spans="1:6" s="145" customFormat="1" ht="28.5" customHeight="1" x14ac:dyDescent="0.25">
      <c r="A136" s="1705"/>
      <c r="B136" s="1705"/>
      <c r="C136" s="1705"/>
      <c r="D136" s="1046"/>
      <c r="E136" s="1045"/>
      <c r="F136" s="1045"/>
    </row>
    <row r="137" spans="1:6" s="145" customFormat="1" ht="23.25" customHeight="1" x14ac:dyDescent="0.25">
      <c r="A137" s="1704"/>
      <c r="B137" s="1704"/>
      <c r="C137" s="1704"/>
      <c r="D137" s="1046"/>
      <c r="E137" s="1031"/>
      <c r="F137" s="1032"/>
    </row>
    <row r="138" spans="1:6" s="145" customFormat="1" ht="16.5" customHeight="1" x14ac:dyDescent="0.25">
      <c r="A138" s="1033"/>
      <c r="B138" s="1688"/>
      <c r="C138" s="1688"/>
      <c r="D138" s="1703"/>
      <c r="E138" s="1688"/>
      <c r="F138" s="1688"/>
    </row>
    <row r="139" spans="1:6" s="145" customFormat="1" ht="17.25" customHeight="1" x14ac:dyDescent="0.25">
      <c r="A139" s="1032"/>
      <c r="B139" s="1688"/>
      <c r="C139" s="1688"/>
      <c r="D139" s="1703"/>
      <c r="E139" s="1688"/>
      <c r="F139" s="1688"/>
    </row>
    <row r="140" spans="1:6" s="145" customFormat="1" ht="16.5" customHeight="1" x14ac:dyDescent="0.25">
      <c r="A140" s="1033"/>
      <c r="B140" s="1688"/>
      <c r="C140" s="1688"/>
      <c r="D140" s="1703"/>
      <c r="E140" s="1688"/>
      <c r="F140" s="1688"/>
    </row>
    <row r="141" spans="1:6" s="145" customFormat="1" ht="18" customHeight="1" x14ac:dyDescent="0.25">
      <c r="A141" s="1129"/>
      <c r="B141" s="865"/>
      <c r="C141" s="1116"/>
      <c r="D141" s="133"/>
      <c r="E141" s="133"/>
      <c r="F141" s="133"/>
    </row>
    <row r="142" spans="1:6" s="145" customFormat="1" ht="21" customHeight="1" x14ac:dyDescent="0.25">
      <c r="A142" s="1114"/>
      <c r="B142" s="1045"/>
      <c r="C142" s="1120"/>
      <c r="D142" s="1121"/>
      <c r="E142" s="1122"/>
      <c r="F142" s="1051"/>
    </row>
    <row r="143" spans="1:6" s="145" customFormat="1" ht="16.5" customHeight="1" x14ac:dyDescent="0.25">
      <c r="A143" s="1030"/>
      <c r="B143" s="1150"/>
      <c r="C143" s="1126"/>
      <c r="D143" s="1124"/>
      <c r="E143" s="1051"/>
      <c r="F143" s="1051"/>
    </row>
    <row r="144" spans="1:6" s="145" customFormat="1" ht="20.25" customHeight="1" x14ac:dyDescent="0.25">
      <c r="A144" s="1030"/>
      <c r="B144" s="1150"/>
      <c r="C144" s="1126"/>
      <c r="D144" s="1124"/>
      <c r="E144" s="1051"/>
      <c r="F144" s="1051"/>
    </row>
    <row r="145" spans="1:6" s="145" customFormat="1" ht="20.25" customHeight="1" x14ac:dyDescent="0.25">
      <c r="A145" s="1030"/>
      <c r="B145" s="1150"/>
      <c r="C145" s="1126"/>
      <c r="D145" s="1124"/>
      <c r="E145" s="1051"/>
      <c r="F145" s="1051"/>
    </row>
    <row r="146" spans="1:6" s="145" customFormat="1" ht="18.75" customHeight="1" x14ac:dyDescent="0.25">
      <c r="A146" s="1030"/>
      <c r="B146" s="1150"/>
      <c r="C146" s="1126"/>
      <c r="D146" s="1124"/>
      <c r="E146" s="1051"/>
      <c r="F146" s="1051"/>
    </row>
    <row r="147" spans="1:6" s="145" customFormat="1" ht="17.100000000000001" customHeight="1" x14ac:dyDescent="0.25">
      <c r="A147" s="1129"/>
      <c r="B147" s="1150"/>
      <c r="C147" s="1126"/>
      <c r="D147" s="1124"/>
      <c r="E147" s="1051"/>
      <c r="F147" s="1051"/>
    </row>
    <row r="148" spans="1:6" s="145" customFormat="1" ht="17.25" customHeight="1" x14ac:dyDescent="0.25">
      <c r="A148" s="1114"/>
      <c r="B148" s="1150"/>
      <c r="C148" s="1126"/>
      <c r="D148" s="1124"/>
      <c r="E148" s="1051"/>
      <c r="F148" s="1051"/>
    </row>
    <row r="149" spans="1:6" s="145" customFormat="1" ht="18" customHeight="1" x14ac:dyDescent="0.25">
      <c r="A149" s="1030"/>
      <c r="B149" s="1045"/>
      <c r="C149" s="1123"/>
      <c r="D149" s="1124"/>
      <c r="E149" s="1051"/>
      <c r="F149" s="1051"/>
    </row>
    <row r="150" spans="1:6" s="145" customFormat="1" ht="17.25" customHeight="1" x14ac:dyDescent="0.25">
      <c r="A150" s="1030"/>
      <c r="B150" s="1150"/>
      <c r="C150" s="1126"/>
      <c r="D150" s="1124"/>
      <c r="E150" s="1051"/>
      <c r="F150" s="1051"/>
    </row>
    <row r="151" spans="1:6" s="145" customFormat="1" ht="17.25" customHeight="1" x14ac:dyDescent="0.25">
      <c r="A151" s="1030"/>
      <c r="B151" s="1150"/>
      <c r="C151" s="1126"/>
      <c r="D151" s="1124"/>
      <c r="E151" s="1051"/>
      <c r="F151" s="1051"/>
    </row>
    <row r="152" spans="1:6" s="145" customFormat="1" ht="17.25" customHeight="1" x14ac:dyDescent="0.25">
      <c r="A152" s="1030"/>
      <c r="B152" s="1150"/>
      <c r="C152" s="1126"/>
      <c r="D152" s="1124"/>
      <c r="E152" s="1051"/>
      <c r="F152" s="1051"/>
    </row>
    <row r="153" spans="1:6" s="145" customFormat="1" ht="17.25" customHeight="1" x14ac:dyDescent="0.25">
      <c r="A153" s="1158"/>
      <c r="B153" s="1150"/>
      <c r="C153" s="1126"/>
      <c r="D153" s="1124"/>
      <c r="E153" s="1051"/>
      <c r="F153" s="1051"/>
    </row>
    <row r="154" spans="1:6" s="145" customFormat="1" ht="18.75" customHeight="1" x14ac:dyDescent="0.25">
      <c r="A154" s="1114"/>
      <c r="B154" s="1150"/>
      <c r="C154" s="1126"/>
      <c r="D154" s="1124"/>
      <c r="E154" s="1051"/>
      <c r="F154" s="1051"/>
    </row>
    <row r="155" spans="1:6" s="145" customFormat="1" ht="17.25" customHeight="1" x14ac:dyDescent="0.25">
      <c r="A155" s="1030"/>
      <c r="B155" s="1150"/>
      <c r="C155" s="1126"/>
      <c r="D155" s="1124"/>
      <c r="E155" s="1051"/>
      <c r="F155" s="1051"/>
    </row>
    <row r="156" spans="1:6" s="145" customFormat="1" ht="21.75" customHeight="1" x14ac:dyDescent="0.25">
      <c r="A156" s="1030"/>
      <c r="B156" s="1159"/>
      <c r="C156" s="1160"/>
      <c r="D156" s="1124"/>
      <c r="E156" s="1051"/>
      <c r="F156" s="1051"/>
    </row>
    <row r="157" spans="1:6" s="145" customFormat="1" ht="14.25" customHeight="1" x14ac:dyDescent="0.25">
      <c r="A157" s="1129"/>
      <c r="B157" s="865"/>
      <c r="C157" s="1161"/>
      <c r="D157" s="133"/>
      <c r="E157" s="133"/>
      <c r="F157" s="133"/>
    </row>
    <row r="158" spans="1:6" s="145" customFormat="1" ht="21.75" customHeight="1" x14ac:dyDescent="0.25">
      <c r="A158" s="1030"/>
      <c r="B158" s="1045"/>
      <c r="C158" s="1123"/>
      <c r="D158" s="1124"/>
      <c r="E158" s="1051"/>
      <c r="F158" s="1051"/>
    </row>
    <row r="159" spans="1:6" s="145" customFormat="1" ht="17.25" customHeight="1" x14ac:dyDescent="0.25">
      <c r="A159" s="1030"/>
      <c r="B159" s="1150"/>
      <c r="C159" s="1126"/>
      <c r="D159" s="1124"/>
      <c r="E159" s="1051"/>
      <c r="F159" s="1051"/>
    </row>
    <row r="160" spans="1:6" s="145" customFormat="1" ht="17.25" customHeight="1" x14ac:dyDescent="0.25">
      <c r="A160" s="1030"/>
      <c r="B160" s="1150"/>
      <c r="C160" s="1126"/>
      <c r="D160" s="1124"/>
      <c r="E160" s="874"/>
      <c r="F160" s="874"/>
    </row>
    <row r="161" spans="1:10" s="145" customFormat="1" ht="20.25" customHeight="1" x14ac:dyDescent="0.25">
      <c r="A161" s="1030"/>
      <c r="B161" s="1150"/>
      <c r="C161" s="1126"/>
      <c r="D161" s="1124"/>
      <c r="E161" s="874"/>
      <c r="F161" s="874"/>
    </row>
    <row r="162" spans="1:10" s="145" customFormat="1" ht="18" customHeight="1" x14ac:dyDescent="0.25">
      <c r="A162" s="1030"/>
      <c r="B162" s="1150"/>
      <c r="C162" s="1126"/>
      <c r="D162" s="1124"/>
      <c r="E162" s="874"/>
      <c r="F162" s="874"/>
    </row>
    <row r="163" spans="1:10" s="145" customFormat="1" ht="15.75" customHeight="1" x14ac:dyDescent="0.25">
      <c r="A163" s="1030"/>
      <c r="B163" s="1150"/>
      <c r="C163" s="1126"/>
      <c r="D163" s="1124"/>
      <c r="E163" s="874"/>
      <c r="F163" s="874"/>
    </row>
    <row r="164" spans="1:10" s="145" customFormat="1" ht="17.25" customHeight="1" x14ac:dyDescent="0.25">
      <c r="A164" s="1030"/>
      <c r="B164" s="1150"/>
      <c r="C164" s="1126"/>
      <c r="D164" s="1124"/>
      <c r="E164" s="874"/>
      <c r="F164" s="874"/>
    </row>
    <row r="165" spans="1:10" s="145" customFormat="1" ht="21.75" customHeight="1" x14ac:dyDescent="0.25">
      <c r="A165" s="875"/>
      <c r="B165" s="1045"/>
      <c r="C165" s="1123"/>
      <c r="E165" s="874"/>
      <c r="F165" s="685"/>
    </row>
    <row r="166" spans="1:10" s="145" customFormat="1" ht="17.25" customHeight="1" x14ac:dyDescent="0.25">
      <c r="A166" s="875"/>
      <c r="B166" s="1150"/>
      <c r="C166" s="1126"/>
      <c r="D166" s="133"/>
      <c r="E166" s="874"/>
      <c r="F166" s="874"/>
    </row>
    <row r="167" spans="1:10" s="145" customFormat="1" ht="17.25" customHeight="1" x14ac:dyDescent="0.25">
      <c r="A167" s="875"/>
      <c r="B167" s="1150"/>
      <c r="C167" s="1126"/>
      <c r="D167" s="133"/>
      <c r="E167" s="874"/>
      <c r="F167" s="874"/>
    </row>
    <row r="168" spans="1:10" s="145" customFormat="1" ht="17.25" customHeight="1" x14ac:dyDescent="0.25">
      <c r="A168" s="875"/>
      <c r="B168" s="1150"/>
      <c r="C168" s="1126"/>
      <c r="D168" s="133"/>
      <c r="E168" s="874"/>
      <c r="F168" s="874"/>
    </row>
    <row r="169" spans="1:10" s="145" customFormat="1" ht="17.25" customHeight="1" x14ac:dyDescent="0.25">
      <c r="A169" s="1158"/>
      <c r="B169" s="1150"/>
      <c r="C169" s="1126"/>
      <c r="D169" s="133"/>
      <c r="E169" s="874"/>
      <c r="F169" s="874"/>
    </row>
    <row r="170" spans="1:10" s="145" customFormat="1" ht="15.75" customHeight="1" x14ac:dyDescent="0.25">
      <c r="A170" s="1114"/>
      <c r="B170" s="1150"/>
      <c r="C170" s="1126"/>
      <c r="D170" s="133"/>
      <c r="E170" s="874"/>
      <c r="F170" s="874"/>
      <c r="I170" s="133"/>
      <c r="J170" s="133"/>
    </row>
    <row r="171" spans="1:10" s="145" customFormat="1" ht="17.25" customHeight="1" x14ac:dyDescent="0.25">
      <c r="A171" s="1030"/>
      <c r="B171" s="1150"/>
      <c r="C171" s="1126"/>
      <c r="D171" s="133"/>
      <c r="E171" s="874"/>
      <c r="F171" s="874"/>
      <c r="I171" s="133"/>
      <c r="J171" s="133"/>
    </row>
    <row r="172" spans="1:10" s="145" customFormat="1" ht="43.5" customHeight="1" x14ac:dyDescent="0.25">
      <c r="A172" s="1030"/>
      <c r="B172" s="1162"/>
      <c r="C172" s="1163"/>
      <c r="E172" s="874"/>
      <c r="F172" s="874"/>
      <c r="I172" s="133"/>
      <c r="J172" s="133"/>
    </row>
    <row r="173" spans="1:10" s="145" customFormat="1" ht="15.75" customHeight="1" x14ac:dyDescent="0.25">
      <c r="A173" s="1129"/>
      <c r="B173" s="865"/>
      <c r="C173" s="828"/>
      <c r="D173" s="1124"/>
      <c r="E173" s="1124"/>
      <c r="F173" s="1124"/>
    </row>
    <row r="174" spans="1:10" s="145" customFormat="1" ht="17.25" customHeight="1" x14ac:dyDescent="0.25">
      <c r="A174" s="1030"/>
      <c r="B174" s="1045"/>
      <c r="C174" s="1123"/>
      <c r="D174" s="1124"/>
      <c r="E174" s="1051"/>
      <c r="F174" s="1051"/>
      <c r="I174" s="133"/>
    </row>
    <row r="175" spans="1:10" s="145" customFormat="1" ht="17.25" customHeight="1" x14ac:dyDescent="0.25">
      <c r="A175" s="1030"/>
      <c r="B175" s="1150"/>
      <c r="C175" s="1126"/>
      <c r="D175" s="1124"/>
      <c r="E175" s="1051"/>
      <c r="F175" s="1051"/>
    </row>
    <row r="176" spans="1:10" s="145" customFormat="1" ht="17.25" customHeight="1" x14ac:dyDescent="0.25">
      <c r="A176" s="1030"/>
      <c r="B176" s="1150"/>
      <c r="C176" s="1126"/>
      <c r="D176" s="1124"/>
      <c r="E176" s="1051"/>
      <c r="F176" s="1051"/>
    </row>
    <row r="177" spans="1:11" s="145" customFormat="1" ht="18" customHeight="1" x14ac:dyDescent="0.25">
      <c r="A177" s="1030"/>
      <c r="B177" s="1150"/>
      <c r="C177" s="1126"/>
      <c r="D177" s="1124"/>
      <c r="E177" s="1051"/>
      <c r="F177" s="1051"/>
    </row>
    <row r="178" spans="1:11" s="145" customFormat="1" ht="18.75" customHeight="1" x14ac:dyDescent="0.25">
      <c r="A178" s="1030"/>
      <c r="B178" s="1150"/>
      <c r="C178" s="1126"/>
      <c r="D178" s="1124"/>
      <c r="E178" s="1051"/>
      <c r="F178" s="1051"/>
      <c r="H178" s="133"/>
      <c r="I178" s="133"/>
      <c r="J178" s="1164"/>
    </row>
    <row r="179" spans="1:11" s="145" customFormat="1" ht="17.25" customHeight="1" x14ac:dyDescent="0.25">
      <c r="A179" s="1030"/>
      <c r="B179" s="1150"/>
      <c r="C179" s="1126"/>
      <c r="D179" s="1124"/>
      <c r="E179" s="1051"/>
      <c r="F179" s="1051"/>
      <c r="G179" s="133"/>
      <c r="H179" s="133"/>
      <c r="I179" s="133"/>
      <c r="J179" s="133"/>
    </row>
    <row r="180" spans="1:11" s="145" customFormat="1" ht="17.25" customHeight="1" x14ac:dyDescent="0.25">
      <c r="A180" s="1030"/>
      <c r="B180" s="1150"/>
      <c r="C180" s="1126"/>
      <c r="D180" s="1124"/>
      <c r="E180" s="1051"/>
      <c r="F180" s="1051"/>
    </row>
    <row r="181" spans="1:11" s="145" customFormat="1" ht="21.75" customHeight="1" x14ac:dyDescent="0.25">
      <c r="A181" s="875"/>
      <c r="B181" s="1045"/>
      <c r="C181" s="1123"/>
      <c r="D181" s="1124"/>
      <c r="E181" s="1051"/>
      <c r="F181" s="1051"/>
    </row>
    <row r="182" spans="1:11" s="145" customFormat="1" ht="17.25" customHeight="1" x14ac:dyDescent="0.25">
      <c r="A182" s="875"/>
      <c r="B182" s="1150"/>
      <c r="C182" s="1126"/>
      <c r="D182" s="1124"/>
      <c r="E182" s="1051"/>
      <c r="F182" s="1051"/>
    </row>
    <row r="183" spans="1:11" s="145" customFormat="1" ht="17.25" customHeight="1" x14ac:dyDescent="0.25">
      <c r="A183" s="875"/>
      <c r="B183" s="1150"/>
      <c r="C183" s="1126"/>
      <c r="D183" s="1124"/>
      <c r="E183" s="1051"/>
      <c r="F183" s="1051"/>
      <c r="K183" s="133"/>
    </row>
    <row r="184" spans="1:11" s="145" customFormat="1" ht="17.25" customHeight="1" x14ac:dyDescent="0.25">
      <c r="A184" s="875"/>
      <c r="B184" s="1150"/>
      <c r="C184" s="1126"/>
      <c r="D184" s="1124"/>
      <c r="E184" s="1051"/>
      <c r="F184" s="1051"/>
    </row>
    <row r="185" spans="1:11" s="145" customFormat="1" ht="17.25" customHeight="1" x14ac:dyDescent="0.25">
      <c r="A185" s="1158"/>
      <c r="B185" s="1150"/>
      <c r="C185" s="1126"/>
      <c r="D185" s="1124"/>
      <c r="E185" s="1051"/>
      <c r="F185" s="1051"/>
      <c r="K185" s="133"/>
    </row>
    <row r="186" spans="1:11" s="145" customFormat="1" ht="32.25" customHeight="1" x14ac:dyDescent="0.25">
      <c r="A186" s="875"/>
      <c r="B186" s="1150"/>
      <c r="C186" s="1163"/>
      <c r="D186" s="1124"/>
      <c r="E186" s="1051"/>
      <c r="F186" s="1051"/>
    </row>
    <row r="187" spans="1:11" s="145" customFormat="1" ht="17.25" customHeight="1" x14ac:dyDescent="0.25">
      <c r="A187" s="1158"/>
      <c r="B187" s="1150"/>
      <c r="C187" s="828"/>
      <c r="D187" s="1124"/>
      <c r="E187" s="1051"/>
      <c r="F187" s="1051"/>
    </row>
    <row r="188" spans="1:11" s="145" customFormat="1" ht="17.25" customHeight="1" x14ac:dyDescent="0.25">
      <c r="A188" s="875"/>
      <c r="B188" s="1165"/>
      <c r="C188" s="1166"/>
      <c r="D188" s="1124"/>
      <c r="E188" s="1051"/>
      <c r="F188" s="1051"/>
    </row>
    <row r="189" spans="1:11" s="145" customFormat="1" ht="17.25" customHeight="1" x14ac:dyDescent="0.25">
      <c r="A189" s="875"/>
      <c r="B189" s="1165"/>
      <c r="C189" s="1167"/>
      <c r="D189" s="1124"/>
      <c r="E189" s="1051"/>
      <c r="F189" s="1051"/>
    </row>
    <row r="190" spans="1:11" s="145" customFormat="1" ht="17.25" customHeight="1" x14ac:dyDescent="0.25">
      <c r="A190" s="875"/>
      <c r="B190" s="1165"/>
      <c r="C190" s="1167"/>
      <c r="D190" s="1124"/>
      <c r="E190" s="1051"/>
      <c r="F190" s="1051"/>
    </row>
    <row r="191" spans="1:11" s="145" customFormat="1" ht="17.25" customHeight="1" x14ac:dyDescent="0.25">
      <c r="A191" s="875"/>
      <c r="B191" s="1165"/>
      <c r="C191" s="1167"/>
      <c r="D191" s="1124"/>
      <c r="E191" s="1051"/>
      <c r="F191" s="1051"/>
    </row>
    <row r="192" spans="1:11" s="145" customFormat="1" ht="17.25" customHeight="1" x14ac:dyDescent="0.25">
      <c r="A192" s="875"/>
      <c r="B192" s="1165"/>
      <c r="C192" s="1167"/>
      <c r="D192" s="1124"/>
      <c r="E192" s="1051"/>
      <c r="F192" s="1051"/>
    </row>
    <row r="193" spans="1:10" s="145" customFormat="1" ht="17.25" customHeight="1" x14ac:dyDescent="0.25">
      <c r="A193" s="875"/>
      <c r="B193" s="1045"/>
      <c r="C193" s="1147"/>
      <c r="D193" s="1124"/>
      <c r="E193" s="1051"/>
      <c r="F193" s="1051"/>
      <c r="G193" s="133"/>
    </row>
    <row r="194" spans="1:10" s="145" customFormat="1" ht="30.75" customHeight="1" x14ac:dyDescent="0.25">
      <c r="A194" s="875"/>
      <c r="B194" s="1165"/>
      <c r="C194" s="1163"/>
      <c r="D194" s="1124"/>
      <c r="E194" s="1051"/>
      <c r="F194" s="1051"/>
    </row>
    <row r="195" spans="1:10" s="145" customFormat="1" ht="17.25" customHeight="1" x14ac:dyDescent="0.25">
      <c r="A195" s="1158"/>
      <c r="B195" s="1168"/>
      <c r="C195" s="1169"/>
      <c r="D195" s="1124"/>
      <c r="E195" s="1051"/>
      <c r="F195" s="1051"/>
    </row>
    <row r="196" spans="1:10" s="145" customFormat="1" ht="17.25" customHeight="1" x14ac:dyDescent="0.25">
      <c r="A196" s="875"/>
      <c r="B196" s="1045"/>
      <c r="C196" s="1147"/>
      <c r="D196" s="1124"/>
      <c r="E196" s="1051"/>
      <c r="F196" s="1051"/>
    </row>
    <row r="197" spans="1:10" s="145" customFormat="1" ht="17.25" customHeight="1" x14ac:dyDescent="0.25">
      <c r="A197" s="875"/>
      <c r="B197" s="1165"/>
      <c r="C197" s="1166"/>
      <c r="D197" s="1124"/>
      <c r="E197" s="1051"/>
      <c r="F197" s="1051"/>
      <c r="G197" s="133"/>
    </row>
    <row r="198" spans="1:10" s="145" customFormat="1" ht="17.25" customHeight="1" x14ac:dyDescent="0.25">
      <c r="A198" s="875"/>
      <c r="B198" s="1165"/>
      <c r="C198" s="1167"/>
      <c r="D198" s="1124"/>
      <c r="E198" s="1051"/>
      <c r="F198" s="1051"/>
    </row>
    <row r="199" spans="1:10" s="145" customFormat="1" ht="17.25" customHeight="1" x14ac:dyDescent="0.25">
      <c r="A199" s="875"/>
      <c r="B199" s="1165"/>
      <c r="C199" s="1167"/>
      <c r="D199" s="1124"/>
      <c r="E199" s="1051"/>
      <c r="F199" s="1051"/>
    </row>
    <row r="200" spans="1:10" s="145" customFormat="1" ht="17.25" customHeight="1" x14ac:dyDescent="0.25">
      <c r="A200" s="875"/>
      <c r="B200" s="1165"/>
      <c r="C200" s="1167"/>
      <c r="D200" s="1124"/>
      <c r="E200" s="1051"/>
      <c r="F200" s="1051"/>
    </row>
    <row r="201" spans="1:10" s="145" customFormat="1" ht="28.5" customHeight="1" x14ac:dyDescent="0.25">
      <c r="A201" s="875"/>
      <c r="B201" s="1165"/>
      <c r="C201" s="1163"/>
      <c r="D201" s="1124"/>
      <c r="E201" s="1051"/>
      <c r="F201" s="1051"/>
    </row>
    <row r="202" spans="1:10" s="145" customFormat="1" ht="17.25" customHeight="1" x14ac:dyDescent="0.25">
      <c r="A202" s="1158"/>
      <c r="B202" s="1150"/>
      <c r="C202" s="1169"/>
      <c r="D202" s="1124"/>
      <c r="E202" s="1051"/>
      <c r="F202" s="1051"/>
    </row>
    <row r="203" spans="1:10" s="145" customFormat="1" ht="17.25" customHeight="1" x14ac:dyDescent="0.25">
      <c r="A203" s="875"/>
      <c r="B203" s="1119"/>
      <c r="C203" s="1170"/>
      <c r="D203" s="1124"/>
      <c r="E203" s="1051"/>
      <c r="F203" s="1051"/>
    </row>
    <row r="204" spans="1:10" s="145" customFormat="1" ht="17.25" customHeight="1" x14ac:dyDescent="0.25">
      <c r="A204" s="875"/>
      <c r="B204" s="865"/>
      <c r="C204" s="827"/>
      <c r="D204" s="1124"/>
      <c r="E204" s="1051"/>
      <c r="F204" s="1051"/>
    </row>
    <row r="205" spans="1:10" s="145" customFormat="1" ht="17.25" customHeight="1" x14ac:dyDescent="0.25">
      <c r="A205" s="875"/>
      <c r="B205" s="1119"/>
      <c r="C205" s="1170"/>
      <c r="D205" s="1124"/>
      <c r="E205" s="1051"/>
      <c r="F205" s="1051"/>
    </row>
    <row r="206" spans="1:10" s="145" customFormat="1" ht="33" customHeight="1" x14ac:dyDescent="0.25">
      <c r="A206" s="875"/>
      <c r="B206" s="1119"/>
      <c r="C206" s="1163"/>
      <c r="D206" s="1124"/>
      <c r="E206" s="1051"/>
      <c r="F206" s="1051"/>
    </row>
    <row r="207" spans="1:10" s="145" customFormat="1" ht="17.100000000000001" hidden="1" customHeight="1" x14ac:dyDescent="0.25">
      <c r="A207" s="1129"/>
      <c r="B207" s="1150"/>
      <c r="C207" s="1045"/>
      <c r="D207" s="133"/>
      <c r="E207" s="874"/>
      <c r="F207" s="874"/>
      <c r="J207" s="133"/>
    </row>
    <row r="208" spans="1:10" s="145" customFormat="1" ht="17.100000000000001" hidden="1" customHeight="1" x14ac:dyDescent="0.25">
      <c r="A208" s="1171"/>
      <c r="B208" s="1045"/>
      <c r="C208" s="1172"/>
      <c r="D208" s="133"/>
      <c r="E208" s="685"/>
      <c r="F208" s="685"/>
      <c r="J208" s="133"/>
    </row>
    <row r="209" spans="1:10" s="145" customFormat="1" ht="17.100000000000001" hidden="1" customHeight="1" x14ac:dyDescent="0.25">
      <c r="A209" s="1171"/>
      <c r="B209" s="1045"/>
      <c r="C209" s="1173"/>
      <c r="D209" s="133"/>
      <c r="E209" s="685"/>
      <c r="F209" s="685"/>
      <c r="J209" s="133"/>
    </row>
    <row r="210" spans="1:10" s="145" customFormat="1" ht="17.100000000000001" hidden="1" customHeight="1" x14ac:dyDescent="0.25">
      <c r="A210" s="1171"/>
      <c r="B210" s="1045"/>
      <c r="C210" s="1173"/>
      <c r="D210" s="133"/>
      <c r="E210" s="685"/>
      <c r="F210" s="685"/>
      <c r="J210" s="133"/>
    </row>
    <row r="211" spans="1:10" s="145" customFormat="1" ht="17.100000000000001" hidden="1" customHeight="1" x14ac:dyDescent="0.25">
      <c r="A211" s="1171"/>
      <c r="B211" s="1045"/>
      <c r="C211" s="1173"/>
      <c r="D211" s="133"/>
      <c r="E211" s="685"/>
      <c r="F211" s="685"/>
      <c r="G211" s="133"/>
      <c r="H211" s="133"/>
      <c r="I211" s="1174"/>
      <c r="J211" s="133"/>
    </row>
    <row r="212" spans="1:10" s="145" customFormat="1" ht="17.25" hidden="1" customHeight="1" x14ac:dyDescent="0.25">
      <c r="A212" s="1171"/>
      <c r="B212" s="1045"/>
      <c r="C212" s="1173"/>
      <c r="D212" s="133"/>
      <c r="E212" s="874"/>
      <c r="F212" s="685"/>
    </row>
    <row r="213" spans="1:10" s="145" customFormat="1" ht="17.100000000000001" hidden="1" customHeight="1" x14ac:dyDescent="0.25">
      <c r="A213" s="1171"/>
      <c r="B213" s="1045"/>
      <c r="C213" s="1172"/>
      <c r="D213" s="133"/>
      <c r="E213" s="874"/>
      <c r="F213" s="685"/>
      <c r="I213" s="133"/>
    </row>
    <row r="214" spans="1:10" s="145" customFormat="1" ht="27.75" hidden="1" customHeight="1" thickBot="1" x14ac:dyDescent="0.3">
      <c r="A214" s="1171"/>
      <c r="B214" s="1045"/>
      <c r="C214" s="1175"/>
      <c r="D214" s="133"/>
      <c r="E214" s="874"/>
      <c r="F214" s="685"/>
      <c r="H214" s="133"/>
      <c r="I214" s="133"/>
    </row>
    <row r="215" spans="1:10" s="145" customFormat="1" ht="23.25" customHeight="1" x14ac:dyDescent="0.25">
      <c r="A215" s="1699"/>
      <c r="B215" s="1699"/>
      <c r="C215" s="1699"/>
      <c r="D215" s="1699"/>
      <c r="E215" s="1156"/>
      <c r="F215" s="1156"/>
      <c r="G215" s="133"/>
      <c r="I215" s="133"/>
    </row>
    <row r="216" spans="1:10" s="145" customFormat="1" ht="8.25" customHeight="1" x14ac:dyDescent="0.25">
      <c r="A216" s="1047"/>
      <c r="B216" s="1047"/>
      <c r="C216" s="1047"/>
      <c r="D216" s="1047"/>
      <c r="E216" s="544"/>
      <c r="F216" s="544"/>
      <c r="I216" s="133"/>
    </row>
    <row r="217" spans="1:10" s="145" customFormat="1" ht="24" customHeight="1" x14ac:dyDescent="0.25">
      <c r="A217" s="1708"/>
      <c r="B217" s="1708"/>
      <c r="C217" s="1708"/>
      <c r="D217" s="1708"/>
      <c r="E217" s="1708"/>
      <c r="F217" s="1708"/>
    </row>
    <row r="218" spans="1:10" s="145" customFormat="1" ht="65.25" customHeight="1" x14ac:dyDescent="0.25">
      <c r="A218" s="1700"/>
      <c r="B218" s="1700"/>
      <c r="C218" s="1700"/>
      <c r="D218" s="1700"/>
      <c r="E218" s="1700"/>
      <c r="F218" s="1700"/>
    </row>
    <row r="219" spans="1:10" s="145" customFormat="1" ht="16.5" customHeight="1" x14ac:dyDescent="0.25">
      <c r="A219" s="1700"/>
      <c r="B219" s="1700"/>
      <c r="C219" s="1700"/>
      <c r="D219" s="1700"/>
      <c r="E219" s="1700"/>
      <c r="F219" s="1700"/>
    </row>
    <row r="220" spans="1:10" s="145" customFormat="1" ht="17.25" customHeight="1" x14ac:dyDescent="0.25">
      <c r="A220" s="1700"/>
      <c r="B220" s="1700"/>
      <c r="C220" s="1700"/>
      <c r="D220" s="1700"/>
      <c r="E220" s="1700"/>
      <c r="F220" s="1700"/>
    </row>
    <row r="221" spans="1:10" s="145" customFormat="1" ht="27.75" customHeight="1" x14ac:dyDescent="0.25">
      <c r="A221" s="1706"/>
      <c r="B221" s="1706"/>
      <c r="C221" s="1706"/>
      <c r="D221" s="1688"/>
      <c r="E221" s="1688"/>
      <c r="F221" s="1688"/>
    </row>
    <row r="222" spans="1:10" s="145" customFormat="1" ht="27.75" customHeight="1" x14ac:dyDescent="0.25">
      <c r="A222" s="1707"/>
      <c r="B222" s="1707"/>
      <c r="C222" s="1707"/>
      <c r="D222" s="1046"/>
      <c r="E222" s="1045"/>
      <c r="F222" s="1045"/>
    </row>
    <row r="223" spans="1:10" s="145" customFormat="1" ht="27.75" customHeight="1" x14ac:dyDescent="0.25">
      <c r="A223" s="1687"/>
      <c r="B223" s="1687"/>
      <c r="C223" s="1687"/>
      <c r="D223" s="1046"/>
      <c r="E223" s="1031"/>
      <c r="F223" s="1032"/>
    </row>
    <row r="224" spans="1:10" s="145" customFormat="1" ht="21" customHeight="1" x14ac:dyDescent="0.25">
      <c r="A224" s="1033"/>
      <c r="B224" s="1688"/>
      <c r="C224" s="1688"/>
      <c r="D224" s="1703"/>
      <c r="E224" s="1688"/>
      <c r="F224" s="1688"/>
    </row>
    <row r="225" spans="1:9" s="145" customFormat="1" ht="21" customHeight="1" x14ac:dyDescent="0.25">
      <c r="A225" s="1032"/>
      <c r="B225" s="1688"/>
      <c r="C225" s="1688"/>
      <c r="D225" s="1703"/>
      <c r="E225" s="1688"/>
      <c r="F225" s="1688"/>
    </row>
    <row r="226" spans="1:9" s="145" customFormat="1" ht="21" customHeight="1" x14ac:dyDescent="0.25">
      <c r="A226" s="1033"/>
      <c r="B226" s="1688"/>
      <c r="C226" s="1688"/>
      <c r="D226" s="1703"/>
      <c r="E226" s="1688"/>
      <c r="F226" s="1688"/>
    </row>
    <row r="227" spans="1:9" s="145" customFormat="1" ht="21.75" hidden="1" customHeight="1" x14ac:dyDescent="0.25">
      <c r="A227" s="1144"/>
      <c r="B227" s="1150"/>
      <c r="C227" s="828"/>
      <c r="D227" s="1124"/>
      <c r="E227" s="1051"/>
      <c r="F227" s="1051"/>
    </row>
    <row r="228" spans="1:9" s="145" customFormat="1" ht="17.25" hidden="1" customHeight="1" x14ac:dyDescent="0.25">
      <c r="A228" s="1144"/>
      <c r="B228" s="1045"/>
      <c r="C228" s="1147"/>
      <c r="D228" s="1124"/>
      <c r="E228" s="1051"/>
      <c r="F228" s="1051"/>
      <c r="H228" s="133"/>
    </row>
    <row r="229" spans="1:9" s="145" customFormat="1" ht="16.5" hidden="1" customHeight="1" x14ac:dyDescent="0.25">
      <c r="A229" s="1034"/>
      <c r="B229" s="1165"/>
      <c r="C229" s="1166"/>
      <c r="D229" s="133"/>
      <c r="E229" s="685"/>
      <c r="F229" s="685"/>
      <c r="G229" s="133"/>
      <c r="H229" s="133"/>
      <c r="I229" s="133"/>
    </row>
    <row r="230" spans="1:9" s="145" customFormat="1" ht="16.5" hidden="1" customHeight="1" x14ac:dyDescent="0.25">
      <c r="A230" s="1034"/>
      <c r="B230" s="1165"/>
      <c r="C230" s="1166"/>
      <c r="D230" s="133"/>
      <c r="E230" s="685"/>
      <c r="F230" s="685"/>
      <c r="G230" s="133"/>
      <c r="H230" s="133"/>
      <c r="I230" s="133"/>
    </row>
    <row r="231" spans="1:9" s="145" customFormat="1" ht="16.5" hidden="1" customHeight="1" x14ac:dyDescent="0.25">
      <c r="A231" s="1034"/>
      <c r="B231" s="1165"/>
      <c r="C231" s="1166"/>
      <c r="D231" s="133"/>
      <c r="E231" s="685"/>
      <c r="F231" s="685"/>
      <c r="G231" s="133"/>
      <c r="H231" s="133"/>
      <c r="I231" s="133"/>
    </row>
    <row r="232" spans="1:9" s="145" customFormat="1" ht="15.75" hidden="1" customHeight="1" x14ac:dyDescent="0.25">
      <c r="A232" s="1034"/>
      <c r="B232" s="1176"/>
      <c r="C232" s="1173"/>
      <c r="D232" s="133"/>
      <c r="E232" s="874"/>
      <c r="F232" s="874"/>
      <c r="G232" s="133"/>
      <c r="H232" s="133"/>
      <c r="I232" s="133"/>
    </row>
    <row r="233" spans="1:9" s="145" customFormat="1" ht="15.75" hidden="1" customHeight="1" x14ac:dyDescent="0.25">
      <c r="A233" s="1034"/>
      <c r="B233" s="1176"/>
      <c r="C233" s="1173"/>
      <c r="D233" s="133"/>
      <c r="E233" s="874"/>
      <c r="F233" s="874"/>
      <c r="G233" s="133"/>
      <c r="H233" s="133"/>
    </row>
    <row r="234" spans="1:9" s="145" customFormat="1" ht="29.25" hidden="1" customHeight="1" x14ac:dyDescent="0.25">
      <c r="A234" s="1034"/>
      <c r="B234" s="1119"/>
      <c r="C234" s="1128"/>
      <c r="D234" s="133"/>
      <c r="E234" s="874"/>
      <c r="F234" s="685"/>
    </row>
    <row r="235" spans="1:9" s="145" customFormat="1" ht="16.5" customHeight="1" x14ac:dyDescent="0.25">
      <c r="A235" s="1144"/>
      <c r="B235" s="1177"/>
      <c r="C235" s="1178"/>
      <c r="D235" s="1143"/>
      <c r="E235" s="1142"/>
      <c r="F235" s="1142"/>
    </row>
    <row r="236" spans="1:9" s="145" customFormat="1" ht="15.75" customHeight="1" x14ac:dyDescent="0.25">
      <c r="A236" s="1034"/>
      <c r="B236" s="1045"/>
      <c r="C236" s="1123"/>
      <c r="D236" s="1124"/>
      <c r="E236" s="1051"/>
      <c r="F236" s="1051"/>
    </row>
    <row r="237" spans="1:9" s="145" customFormat="1" ht="15" customHeight="1" x14ac:dyDescent="0.25">
      <c r="A237" s="1034"/>
      <c r="B237" s="1126"/>
      <c r="C237" s="1154"/>
      <c r="D237" s="133"/>
      <c r="E237" s="874"/>
      <c r="F237" s="874"/>
    </row>
    <row r="238" spans="1:9" s="145" customFormat="1" ht="15" customHeight="1" x14ac:dyDescent="0.25">
      <c r="A238" s="1034"/>
      <c r="B238" s="1045"/>
      <c r="C238" s="1123"/>
      <c r="D238" s="133"/>
      <c r="E238" s="874"/>
      <c r="F238" s="685"/>
    </row>
    <row r="239" spans="1:9" s="145" customFormat="1" ht="15" customHeight="1" x14ac:dyDescent="0.25">
      <c r="A239" s="1034"/>
      <c r="B239" s="1126"/>
      <c r="C239" s="1154"/>
      <c r="D239" s="133"/>
      <c r="E239" s="874"/>
      <c r="F239" s="874"/>
    </row>
    <row r="240" spans="1:9" s="145" customFormat="1" ht="39" customHeight="1" x14ac:dyDescent="0.25">
      <c r="A240" s="1034"/>
      <c r="C240" s="1179"/>
    </row>
    <row r="241" spans="1:3" s="145" customFormat="1" ht="15" customHeight="1" x14ac:dyDescent="0.25">
      <c r="A241" s="1034"/>
      <c r="C241" s="1178"/>
    </row>
    <row r="242" spans="1:3" s="145" customFormat="1" ht="17.25" customHeight="1" x14ac:dyDescent="0.25">
      <c r="A242" s="1034"/>
      <c r="B242" s="828"/>
      <c r="C242" s="1123"/>
    </row>
    <row r="243" spans="1:3" s="145" customFormat="1" ht="17.25" customHeight="1" x14ac:dyDescent="0.25">
      <c r="A243" s="1034"/>
      <c r="B243" s="828"/>
      <c r="C243" s="1180"/>
    </row>
    <row r="244" spans="1:3" s="145" customFormat="1" ht="17.25" customHeight="1" x14ac:dyDescent="0.25">
      <c r="A244" s="1034"/>
      <c r="B244" s="828"/>
      <c r="C244" s="1123"/>
    </row>
    <row r="245" spans="1:3" s="145" customFormat="1" ht="17.25" customHeight="1" x14ac:dyDescent="0.25">
      <c r="A245" s="1034"/>
      <c r="B245" s="865"/>
      <c r="C245" s="1154"/>
    </row>
    <row r="246" spans="1:3" s="145" customFormat="1" ht="27" customHeight="1" x14ac:dyDescent="0.25">
      <c r="A246" s="1034"/>
      <c r="B246" s="865"/>
      <c r="C246" s="873"/>
    </row>
    <row r="247" spans="1:3" s="145" customFormat="1" ht="17.25" customHeight="1" x14ac:dyDescent="0.25">
      <c r="A247" s="1034"/>
      <c r="C247" s="1178"/>
    </row>
    <row r="248" spans="1:3" s="145" customFormat="1" ht="17.25" customHeight="1" x14ac:dyDescent="0.25">
      <c r="A248" s="1034"/>
      <c r="B248" s="828"/>
      <c r="C248" s="1123"/>
    </row>
    <row r="249" spans="1:3" s="145" customFormat="1" ht="17.25" customHeight="1" x14ac:dyDescent="0.25">
      <c r="A249" s="1034"/>
      <c r="B249" s="1119"/>
      <c r="C249" s="1154"/>
    </row>
    <row r="250" spans="1:3" s="145" customFormat="1" ht="17.25" customHeight="1" x14ac:dyDescent="0.25">
      <c r="A250" s="1034"/>
      <c r="B250" s="828"/>
      <c r="C250" s="1123"/>
    </row>
    <row r="251" spans="1:3" s="145" customFormat="1" ht="17.25" customHeight="1" x14ac:dyDescent="0.25">
      <c r="A251" s="1034"/>
      <c r="B251" s="828"/>
      <c r="C251" s="1154"/>
    </row>
    <row r="252" spans="1:3" s="145" customFormat="1" ht="28.5" customHeight="1" x14ac:dyDescent="0.25">
      <c r="A252" s="1034"/>
      <c r="B252" s="1119"/>
      <c r="C252" s="1181"/>
    </row>
    <row r="253" spans="1:3" s="145" customFormat="1" ht="17.25" customHeight="1" x14ac:dyDescent="0.25">
      <c r="A253" s="1034"/>
      <c r="C253" s="1178"/>
    </row>
    <row r="254" spans="1:3" s="145" customFormat="1" ht="17.25" customHeight="1" x14ac:dyDescent="0.25">
      <c r="A254" s="1034"/>
      <c r="B254" s="828"/>
      <c r="C254" s="1123"/>
    </row>
    <row r="255" spans="1:3" s="145" customFormat="1" ht="17.25" customHeight="1" x14ac:dyDescent="0.25">
      <c r="A255" s="1034"/>
      <c r="B255" s="828"/>
      <c r="C255" s="1154"/>
    </row>
    <row r="256" spans="1:3" s="145" customFormat="1" ht="17.25" customHeight="1" x14ac:dyDescent="0.25">
      <c r="A256" s="1034"/>
      <c r="B256" s="828"/>
      <c r="C256" s="1123"/>
    </row>
    <row r="257" spans="1:7" s="145" customFormat="1" ht="17.25" customHeight="1" x14ac:dyDescent="0.25">
      <c r="A257" s="1034"/>
      <c r="B257" s="1119"/>
      <c r="C257" s="1154"/>
    </row>
    <row r="258" spans="1:7" s="145" customFormat="1" ht="31.5" customHeight="1" x14ac:dyDescent="0.25">
      <c r="A258" s="1034"/>
      <c r="C258" s="1181"/>
    </row>
    <row r="259" spans="1:7" s="145" customFormat="1" ht="17.25" customHeight="1" x14ac:dyDescent="0.25">
      <c r="A259" s="1034"/>
      <c r="C259" s="1178"/>
    </row>
    <row r="260" spans="1:7" s="145" customFormat="1" ht="17.25" customHeight="1" x14ac:dyDescent="0.25">
      <c r="A260" s="1034"/>
      <c r="B260" s="828"/>
      <c r="C260" s="864"/>
    </row>
    <row r="261" spans="1:7" s="145" customFormat="1" ht="17.25" customHeight="1" x14ac:dyDescent="0.25">
      <c r="A261" s="1034"/>
      <c r="B261" s="828"/>
      <c r="C261" s="1154"/>
    </row>
    <row r="262" spans="1:7" s="145" customFormat="1" ht="17.25" customHeight="1" x14ac:dyDescent="0.25">
      <c r="A262" s="1034"/>
      <c r="B262" s="828"/>
      <c r="C262" s="864"/>
    </row>
    <row r="263" spans="1:7" s="145" customFormat="1" ht="17.25" customHeight="1" x14ac:dyDescent="0.25">
      <c r="A263" s="1034"/>
      <c r="C263" s="827"/>
    </row>
    <row r="264" spans="1:7" s="145" customFormat="1" ht="28.5" customHeight="1" x14ac:dyDescent="0.25">
      <c r="A264" s="1034"/>
      <c r="C264" s="1181"/>
    </row>
    <row r="265" spans="1:7" s="145" customFormat="1" ht="16.5" customHeight="1" x14ac:dyDescent="0.25">
      <c r="A265" s="1144"/>
      <c r="B265" s="1177"/>
      <c r="C265" s="1178"/>
      <c r="D265" s="1182"/>
      <c r="E265" s="1142"/>
      <c r="F265" s="1142"/>
      <c r="G265" s="1183"/>
    </row>
    <row r="266" spans="1:7" s="145" customFormat="1" ht="16.5" customHeight="1" x14ac:dyDescent="0.25">
      <c r="A266" s="1034"/>
      <c r="B266" s="1045"/>
      <c r="C266" s="1123"/>
      <c r="D266" s="1124"/>
      <c r="E266" s="1051"/>
      <c r="F266" s="1051"/>
    </row>
    <row r="267" spans="1:7" s="145" customFormat="1" ht="16.5" customHeight="1" x14ac:dyDescent="0.25">
      <c r="A267" s="1034"/>
      <c r="B267" s="1150"/>
      <c r="C267" s="1154"/>
      <c r="D267" s="1124"/>
      <c r="E267" s="1051"/>
      <c r="F267" s="1051"/>
    </row>
    <row r="268" spans="1:7" s="145" customFormat="1" ht="14.25" customHeight="1" x14ac:dyDescent="0.25">
      <c r="A268" s="1144"/>
      <c r="B268" s="1150"/>
      <c r="C268" s="1154"/>
      <c r="D268" s="1124"/>
      <c r="E268" s="1051"/>
      <c r="F268" s="1051"/>
    </row>
    <row r="269" spans="1:7" s="145" customFormat="1" ht="17.25" customHeight="1" x14ac:dyDescent="0.25">
      <c r="A269" s="1144"/>
      <c r="B269" s="1150"/>
      <c r="C269" s="1154"/>
      <c r="D269" s="133"/>
      <c r="E269" s="1184"/>
      <c r="F269" s="1051"/>
    </row>
    <row r="270" spans="1:7" s="145" customFormat="1" ht="18" customHeight="1" x14ac:dyDescent="0.25">
      <c r="A270" s="1034"/>
      <c r="B270" s="1150"/>
      <c r="C270" s="1154"/>
      <c r="D270" s="1185"/>
      <c r="E270" s="1184"/>
      <c r="F270" s="1051"/>
    </row>
    <row r="271" spans="1:7" s="145" customFormat="1" ht="15" customHeight="1" x14ac:dyDescent="0.25">
      <c r="A271" s="1034"/>
      <c r="B271" s="1045"/>
      <c r="C271" s="1123"/>
      <c r="D271" s="1186"/>
      <c r="E271" s="1187"/>
      <c r="F271" s="1184"/>
    </row>
    <row r="272" spans="1:7" s="145" customFormat="1" ht="16.5" customHeight="1" x14ac:dyDescent="0.25">
      <c r="A272" s="1034"/>
      <c r="B272" s="1126"/>
      <c r="C272" s="1154"/>
      <c r="D272" s="133"/>
      <c r="E272" s="1188"/>
      <c r="F272" s="1184"/>
    </row>
    <row r="273" spans="1:8" s="145" customFormat="1" ht="12.75" customHeight="1" x14ac:dyDescent="0.25">
      <c r="A273" s="1144"/>
      <c r="B273" s="827"/>
      <c r="C273" s="1154"/>
      <c r="D273" s="133"/>
      <c r="E273" s="1184"/>
      <c r="F273" s="1187"/>
    </row>
    <row r="274" spans="1:8" s="145" customFormat="1" ht="17.25" customHeight="1" x14ac:dyDescent="0.25">
      <c r="A274" s="1189"/>
      <c r="B274" s="827"/>
      <c r="C274" s="1154"/>
      <c r="D274" s="133"/>
      <c r="E274" s="1184"/>
      <c r="F274" s="1187"/>
      <c r="H274" s="133"/>
    </row>
    <row r="275" spans="1:8" s="145" customFormat="1" ht="18" customHeight="1" x14ac:dyDescent="0.25">
      <c r="A275" s="1190"/>
      <c r="B275" s="827"/>
      <c r="C275" s="1154"/>
      <c r="D275" s="133"/>
      <c r="E275" s="1184"/>
      <c r="F275" s="1187"/>
    </row>
    <row r="276" spans="1:8" s="145" customFormat="1" ht="17.25" customHeight="1" x14ac:dyDescent="0.25">
      <c r="A276" s="1191"/>
      <c r="B276" s="827"/>
      <c r="C276" s="1154"/>
      <c r="D276" s="133"/>
      <c r="E276" s="1184"/>
      <c r="F276" s="1187"/>
    </row>
    <row r="277" spans="1:8" s="145" customFormat="1" ht="18.75" customHeight="1" x14ac:dyDescent="0.25">
      <c r="A277" s="1192"/>
      <c r="B277" s="827"/>
      <c r="C277" s="1154"/>
      <c r="D277" s="133"/>
      <c r="E277" s="1184"/>
      <c r="F277" s="1187"/>
    </row>
    <row r="278" spans="1:8" s="145" customFormat="1" ht="15.75" customHeight="1" x14ac:dyDescent="0.25">
      <c r="A278" s="1192"/>
      <c r="B278" s="827"/>
      <c r="C278" s="1154"/>
      <c r="D278" s="133"/>
      <c r="E278" s="1184"/>
      <c r="F278" s="1187"/>
    </row>
    <row r="279" spans="1:8" s="145" customFormat="1" ht="15.75" customHeight="1" x14ac:dyDescent="0.25">
      <c r="A279" s="1192"/>
      <c r="B279" s="827"/>
      <c r="C279" s="1154"/>
      <c r="D279" s="133"/>
      <c r="E279" s="1187"/>
      <c r="F279" s="1187"/>
    </row>
    <row r="280" spans="1:8" s="145" customFormat="1" ht="15.75" customHeight="1" x14ac:dyDescent="0.25">
      <c r="A280" s="1192"/>
      <c r="B280" s="827"/>
      <c r="C280" s="1154"/>
      <c r="D280" s="133"/>
      <c r="E280" s="1193"/>
      <c r="F280" s="1187"/>
    </row>
    <row r="281" spans="1:8" s="145" customFormat="1" ht="15.75" customHeight="1" x14ac:dyDescent="0.25">
      <c r="A281" s="1192"/>
      <c r="B281" s="827"/>
      <c r="C281" s="1154"/>
      <c r="D281" s="133"/>
      <c r="E281" s="1187"/>
      <c r="F281" s="1187"/>
    </row>
    <row r="282" spans="1:8" s="145" customFormat="1" ht="21" customHeight="1" x14ac:dyDescent="0.25">
      <c r="A282" s="1192"/>
      <c r="B282" s="827"/>
      <c r="C282" s="1154"/>
      <c r="D282" s="133"/>
      <c r="E282" s="1187"/>
      <c r="F282" s="1187"/>
    </row>
    <row r="283" spans="1:8" s="145" customFormat="1" ht="15.75" customHeight="1" x14ac:dyDescent="0.25">
      <c r="A283" s="1194"/>
      <c r="B283" s="827"/>
      <c r="C283" s="1154"/>
      <c r="D283" s="133"/>
      <c r="E283" s="1187"/>
      <c r="F283" s="1187"/>
    </row>
    <row r="284" spans="1:8" s="145" customFormat="1" ht="47.25" customHeight="1" x14ac:dyDescent="0.25">
      <c r="A284" s="1144"/>
      <c r="B284" s="827"/>
      <c r="C284" s="830"/>
      <c r="D284" s="1195"/>
      <c r="E284" s="1196"/>
      <c r="F284" s="1196"/>
    </row>
    <row r="285" spans="1:8" s="145" customFormat="1" ht="22.5" customHeight="1" x14ac:dyDescent="0.25">
      <c r="A285" s="1144"/>
      <c r="B285" s="1126"/>
      <c r="C285" s="1045"/>
      <c r="D285" s="1124"/>
      <c r="E285" s="1197"/>
      <c r="F285" s="1197"/>
    </row>
    <row r="286" spans="1:8" s="145" customFormat="1" ht="18.75" customHeight="1" x14ac:dyDescent="0.25">
      <c r="A286" s="1144"/>
      <c r="B286" s="1045"/>
      <c r="C286" s="1123"/>
      <c r="D286" s="1186"/>
      <c r="E286" s="1184"/>
      <c r="F286" s="1198"/>
    </row>
    <row r="287" spans="1:8" s="145" customFormat="1" ht="15.75" customHeight="1" x14ac:dyDescent="0.25">
      <c r="A287" s="1144"/>
      <c r="B287" s="827"/>
      <c r="C287" s="1154"/>
      <c r="D287" s="133"/>
      <c r="E287" s="1199"/>
      <c r="F287" s="1200"/>
      <c r="H287" s="133"/>
    </row>
    <row r="288" spans="1:8" s="145" customFormat="1" ht="15.75" customHeight="1" x14ac:dyDescent="0.25">
      <c r="A288" s="1201"/>
      <c r="B288" s="827"/>
      <c r="C288" s="1154"/>
      <c r="D288" s="133"/>
      <c r="E288" s="1198"/>
      <c r="F288" s="1200"/>
    </row>
    <row r="289" spans="1:9" s="145" customFormat="1" ht="20.25" customHeight="1" x14ac:dyDescent="0.25">
      <c r="A289" s="1201"/>
      <c r="B289" s="827"/>
      <c r="C289" s="1154"/>
      <c r="D289" s="133"/>
      <c r="E289" s="1198"/>
      <c r="F289" s="1200"/>
    </row>
    <row r="290" spans="1:9" s="145" customFormat="1" ht="15" customHeight="1" x14ac:dyDescent="0.25">
      <c r="A290" s="1201"/>
      <c r="B290" s="827"/>
      <c r="C290" s="1154"/>
      <c r="D290" s="133"/>
      <c r="E290" s="1198"/>
      <c r="F290" s="1200"/>
    </row>
    <row r="291" spans="1:9" s="145" customFormat="1" ht="15.75" customHeight="1" x14ac:dyDescent="0.25">
      <c r="A291" s="1030"/>
      <c r="B291" s="827"/>
      <c r="C291" s="1154"/>
      <c r="D291" s="133"/>
      <c r="E291" s="1198"/>
      <c r="F291" s="1200"/>
    </row>
    <row r="292" spans="1:9" s="145" customFormat="1" ht="15" customHeight="1" x14ac:dyDescent="0.25">
      <c r="A292" s="1144"/>
      <c r="B292" s="827"/>
      <c r="C292" s="1154"/>
      <c r="D292" s="133"/>
      <c r="E292" s="1198"/>
      <c r="F292" s="1200"/>
      <c r="G292" s="133"/>
      <c r="H292" s="133"/>
      <c r="I292" s="133"/>
    </row>
    <row r="293" spans="1:9" s="145" customFormat="1" ht="18" customHeight="1" x14ac:dyDescent="0.25">
      <c r="A293" s="1202"/>
      <c r="B293" s="827"/>
      <c r="C293" s="1154"/>
      <c r="D293" s="133"/>
      <c r="E293" s="1198"/>
      <c r="F293" s="1200"/>
      <c r="G293" s="133"/>
      <c r="H293" s="133"/>
      <c r="I293" s="133"/>
    </row>
    <row r="294" spans="1:9" s="145" customFormat="1" ht="16.5" customHeight="1" x14ac:dyDescent="0.25">
      <c r="A294" s="1202"/>
      <c r="B294" s="827"/>
      <c r="C294" s="1154"/>
      <c r="D294" s="133"/>
      <c r="E294" s="1200"/>
      <c r="F294" s="1200"/>
      <c r="H294" s="133"/>
    </row>
    <row r="295" spans="1:9" s="145" customFormat="1" ht="17.25" customHeight="1" x14ac:dyDescent="0.25">
      <c r="A295" s="1202"/>
      <c r="B295" s="827"/>
      <c r="C295" s="1154"/>
      <c r="D295" s="133"/>
      <c r="E295" s="1198"/>
      <c r="F295" s="1200"/>
      <c r="H295" s="133"/>
    </row>
    <row r="296" spans="1:9" s="145" customFormat="1" ht="17.25" customHeight="1" x14ac:dyDescent="0.25">
      <c r="A296" s="1202"/>
      <c r="B296" s="827"/>
      <c r="C296" s="1154"/>
      <c r="D296" s="133"/>
      <c r="E296" s="1200"/>
      <c r="F296" s="1200"/>
    </row>
    <row r="297" spans="1:9" s="145" customFormat="1" ht="12.95" customHeight="1" x14ac:dyDescent="0.25">
      <c r="A297" s="1203"/>
      <c r="B297" s="827"/>
      <c r="C297" s="1154"/>
      <c r="D297" s="133"/>
      <c r="E297" s="1204"/>
      <c r="F297" s="1200"/>
    </row>
    <row r="298" spans="1:9" s="145" customFormat="1" ht="12.95" customHeight="1" x14ac:dyDescent="0.25">
      <c r="A298" s="1205"/>
      <c r="B298" s="827"/>
      <c r="C298" s="1154"/>
      <c r="D298" s="133"/>
      <c r="E298" s="1200"/>
      <c r="F298" s="1200"/>
    </row>
    <row r="299" spans="1:9" s="145" customFormat="1" ht="12.95" customHeight="1" x14ac:dyDescent="0.25">
      <c r="A299" s="1191"/>
      <c r="B299" s="827"/>
      <c r="C299" s="1154"/>
      <c r="D299" s="133"/>
      <c r="E299" s="1200"/>
      <c r="F299" s="1200"/>
    </row>
    <row r="300" spans="1:9" s="145" customFormat="1" ht="12.95" customHeight="1" x14ac:dyDescent="0.25">
      <c r="A300" s="1191"/>
      <c r="B300" s="827"/>
      <c r="C300" s="1154"/>
      <c r="D300" s="133"/>
      <c r="E300" s="1200"/>
      <c r="F300" s="1200"/>
    </row>
    <row r="301" spans="1:9" s="145" customFormat="1" ht="12.95" customHeight="1" x14ac:dyDescent="0.25">
      <c r="A301" s="1191"/>
      <c r="B301" s="827"/>
      <c r="C301" s="1154"/>
      <c r="D301" s="133"/>
      <c r="E301" s="1200"/>
      <c r="F301" s="1200"/>
    </row>
    <row r="302" spans="1:9" s="145" customFormat="1" ht="12.95" customHeight="1" x14ac:dyDescent="0.25">
      <c r="A302" s="1191"/>
      <c r="B302" s="827"/>
      <c r="C302" s="1154"/>
      <c r="D302" s="133"/>
      <c r="E302" s="1200"/>
      <c r="F302" s="1200"/>
    </row>
    <row r="303" spans="1:9" s="145" customFormat="1" ht="18.75" customHeight="1" x14ac:dyDescent="0.25">
      <c r="A303" s="1191"/>
      <c r="B303" s="1045"/>
      <c r="C303" s="1123"/>
      <c r="D303" s="1124"/>
      <c r="E303" s="1197"/>
      <c r="F303" s="1051"/>
    </row>
    <row r="304" spans="1:9" s="145" customFormat="1" ht="18" customHeight="1" x14ac:dyDescent="0.25">
      <c r="A304" s="1191"/>
      <c r="B304" s="865"/>
      <c r="C304" s="1154"/>
      <c r="D304" s="1124"/>
      <c r="E304" s="1197"/>
      <c r="F304" s="1197"/>
    </row>
    <row r="305" spans="1:7" s="145" customFormat="1" ht="18" customHeight="1" x14ac:dyDescent="0.25">
      <c r="A305" s="1191"/>
      <c r="B305" s="865"/>
      <c r="C305" s="1154"/>
      <c r="D305" s="1124"/>
      <c r="E305" s="1197"/>
      <c r="F305" s="1197"/>
    </row>
    <row r="306" spans="1:7" s="145" customFormat="1" ht="18" customHeight="1" x14ac:dyDescent="0.25">
      <c r="A306" s="1191"/>
      <c r="B306" s="865"/>
      <c r="C306" s="1154"/>
      <c r="D306" s="133"/>
      <c r="E306" s="1198"/>
      <c r="F306" s="1200"/>
    </row>
    <row r="307" spans="1:7" s="145" customFormat="1" ht="21.75" customHeight="1" x14ac:dyDescent="0.25">
      <c r="A307" s="1191"/>
      <c r="B307" s="865"/>
      <c r="C307" s="1154"/>
      <c r="D307" s="133"/>
      <c r="E307" s="1198"/>
      <c r="F307" s="1200"/>
      <c r="G307" s="133"/>
    </row>
    <row r="308" spans="1:7" s="145" customFormat="1" ht="45" customHeight="1" x14ac:dyDescent="0.25">
      <c r="A308" s="1191"/>
      <c r="B308" s="827"/>
      <c r="C308" s="1175"/>
      <c r="D308" s="1206"/>
      <c r="E308" s="1196"/>
      <c r="F308" s="1196"/>
    </row>
    <row r="309" spans="1:7" s="145" customFormat="1" ht="24" customHeight="1" x14ac:dyDescent="0.25">
      <c r="A309" s="1709"/>
      <c r="B309" s="1709"/>
      <c r="C309" s="1709"/>
      <c r="D309" s="1709"/>
      <c r="E309" s="544"/>
      <c r="F309" s="544"/>
      <c r="G309" s="133"/>
    </row>
    <row r="310" spans="1:7" s="145" customFormat="1" ht="11.25" customHeight="1" x14ac:dyDescent="0.25">
      <c r="A310" s="1047"/>
      <c r="B310" s="1047"/>
      <c r="C310" s="1047"/>
      <c r="D310" s="1047"/>
      <c r="E310" s="544"/>
      <c r="F310" s="544"/>
    </row>
    <row r="311" spans="1:7" s="145" customFormat="1" ht="37.5" customHeight="1" x14ac:dyDescent="0.25">
      <c r="A311" s="1710"/>
      <c r="B311" s="1710"/>
      <c r="C311" s="1710"/>
      <c r="D311" s="1710"/>
      <c r="E311" s="1710"/>
      <c r="F311" s="1710"/>
    </row>
    <row r="312" spans="1:7" s="145" customFormat="1" ht="87.75" customHeight="1" x14ac:dyDescent="0.25">
      <c r="A312" s="1700"/>
      <c r="B312" s="1700"/>
      <c r="C312" s="1700"/>
      <c r="D312" s="1700"/>
      <c r="E312" s="1700"/>
      <c r="F312" s="1700"/>
    </row>
    <row r="313" spans="1:7" s="145" customFormat="1" ht="21.75" customHeight="1" x14ac:dyDescent="0.25">
      <c r="A313" s="1701"/>
      <c r="B313" s="1701"/>
      <c r="C313" s="1701"/>
      <c r="D313" s="1700"/>
      <c r="E313" s="1700"/>
      <c r="F313" s="1700"/>
    </row>
    <row r="314" spans="1:7" s="145" customFormat="1" ht="21.75" customHeight="1" x14ac:dyDescent="0.25">
      <c r="A314" s="1700"/>
      <c r="B314" s="1700"/>
      <c r="C314" s="1700"/>
      <c r="D314" s="1700"/>
      <c r="E314" s="1700"/>
      <c r="F314" s="1700"/>
    </row>
    <row r="315" spans="1:7" s="145" customFormat="1" ht="20.25" customHeight="1" x14ac:dyDescent="0.25">
      <c r="A315" s="1706"/>
      <c r="B315" s="1706"/>
      <c r="C315" s="1706"/>
      <c r="D315" s="1688"/>
      <c r="E315" s="1688"/>
      <c r="F315" s="1688"/>
    </row>
    <row r="316" spans="1:7" s="145" customFormat="1" ht="24" customHeight="1" x14ac:dyDescent="0.25">
      <c r="A316" s="1707"/>
      <c r="B316" s="1707"/>
      <c r="C316" s="1707"/>
      <c r="D316" s="1046"/>
      <c r="E316" s="1045"/>
      <c r="F316" s="1045"/>
    </row>
    <row r="317" spans="1:7" s="145" customFormat="1" ht="17.25" customHeight="1" x14ac:dyDescent="0.25">
      <c r="A317" s="1706"/>
      <c r="B317" s="1706"/>
      <c r="C317" s="1706"/>
      <c r="D317" s="1046"/>
      <c r="E317" s="1031"/>
      <c r="F317" s="1032"/>
    </row>
    <row r="318" spans="1:7" s="145" customFormat="1" ht="19.5" customHeight="1" x14ac:dyDescent="0.25">
      <c r="A318" s="1033"/>
      <c r="B318" s="1688"/>
      <c r="C318" s="1688"/>
      <c r="D318" s="1703"/>
      <c r="E318" s="1688"/>
      <c r="F318" s="1688"/>
    </row>
    <row r="319" spans="1:7" s="145" customFormat="1" ht="16.5" customHeight="1" x14ac:dyDescent="0.25">
      <c r="A319" s="1032"/>
      <c r="B319" s="1688"/>
      <c r="C319" s="1688"/>
      <c r="D319" s="1703"/>
      <c r="E319" s="1688"/>
      <c r="F319" s="1688"/>
    </row>
    <row r="320" spans="1:7" s="145" customFormat="1" ht="17.25" customHeight="1" x14ac:dyDescent="0.25">
      <c r="A320" s="1033"/>
      <c r="B320" s="1688"/>
      <c r="C320" s="1688"/>
      <c r="D320" s="1703"/>
      <c r="E320" s="1688"/>
      <c r="F320" s="1688"/>
    </row>
    <row r="321" spans="1:6" s="145" customFormat="1" ht="16.5" customHeight="1" x14ac:dyDescent="0.25">
      <c r="A321" s="1144"/>
      <c r="B321" s="1207"/>
      <c r="C321" s="828"/>
      <c r="D321" s="1208"/>
      <c r="E321" s="1209"/>
      <c r="F321" s="1209"/>
    </row>
    <row r="322" spans="1:6" s="145" customFormat="1" ht="17.25" customHeight="1" x14ac:dyDescent="0.25">
      <c r="A322" s="1144"/>
      <c r="B322" s="828"/>
      <c r="C322" s="1123"/>
      <c r="D322" s="1208"/>
      <c r="E322" s="1051"/>
      <c r="F322" s="1197"/>
    </row>
    <row r="323" spans="1:6" s="145" customFormat="1" ht="17.25" customHeight="1" x14ac:dyDescent="0.25">
      <c r="A323" s="1144"/>
      <c r="B323" s="828"/>
      <c r="C323" s="1123"/>
      <c r="D323" s="1208"/>
      <c r="E323" s="1197"/>
      <c r="F323" s="1051"/>
    </row>
    <row r="324" spans="1:6" s="145" customFormat="1" ht="17.25" customHeight="1" x14ac:dyDescent="0.25">
      <c r="A324" s="1144"/>
      <c r="B324" s="1207"/>
      <c r="C324" s="827"/>
      <c r="D324" s="1208"/>
      <c r="E324" s="1209"/>
      <c r="F324" s="1209"/>
    </row>
    <row r="325" spans="1:6" s="145" customFormat="1" ht="15.75" customHeight="1" x14ac:dyDescent="0.25">
      <c r="A325" s="1144"/>
      <c r="B325" s="1207"/>
      <c r="C325" s="828"/>
      <c r="D325" s="1208"/>
      <c r="E325" s="1209"/>
      <c r="F325" s="1209"/>
    </row>
    <row r="326" spans="1:6" s="145" customFormat="1" ht="31.5" customHeight="1" x14ac:dyDescent="0.25">
      <c r="A326" s="1144"/>
      <c r="B326" s="1125"/>
      <c r="C326" s="1128"/>
      <c r="D326" s="1124"/>
      <c r="E326" s="1051"/>
      <c r="F326" s="1051"/>
    </row>
    <row r="327" spans="1:6" s="145" customFormat="1" ht="17.25" customHeight="1" x14ac:dyDescent="0.25">
      <c r="A327" s="1144"/>
      <c r="B327" s="865"/>
      <c r="C327" s="1210"/>
      <c r="D327" s="1124"/>
      <c r="E327" s="1051"/>
      <c r="F327" s="1051"/>
    </row>
    <row r="328" spans="1:6" s="145" customFormat="1" ht="16.5" customHeight="1" x14ac:dyDescent="0.25">
      <c r="A328" s="1030"/>
      <c r="B328" s="865"/>
      <c r="C328" s="1211"/>
      <c r="D328" s="1124"/>
      <c r="E328" s="1051"/>
      <c r="F328" s="1051"/>
    </row>
    <row r="329" spans="1:6" s="145" customFormat="1" ht="19.5" customHeight="1" x14ac:dyDescent="0.25">
      <c r="A329" s="1030"/>
      <c r="B329" s="865"/>
      <c r="C329" s="1211"/>
      <c r="D329" s="1124"/>
      <c r="E329" s="1051"/>
      <c r="F329" s="1051"/>
    </row>
    <row r="330" spans="1:6" s="145" customFormat="1" ht="29.25" customHeight="1" x14ac:dyDescent="0.25">
      <c r="A330" s="1030"/>
      <c r="B330" s="865"/>
      <c r="C330" s="1212"/>
      <c r="D330" s="1124"/>
      <c r="E330" s="1051"/>
      <c r="F330" s="1051"/>
    </row>
    <row r="331" spans="1:6" s="145" customFormat="1" ht="24" customHeight="1" x14ac:dyDescent="0.25">
      <c r="A331" s="1030"/>
      <c r="B331" s="865"/>
      <c r="C331" s="1213"/>
      <c r="D331" s="1124"/>
      <c r="E331" s="1051"/>
      <c r="F331" s="1051"/>
    </row>
    <row r="332" spans="1:6" s="145" customFormat="1" ht="18.75" customHeight="1" x14ac:dyDescent="0.25">
      <c r="A332" s="1030"/>
      <c r="B332" s="865"/>
      <c r="C332" s="1214"/>
      <c r="D332" s="1124"/>
      <c r="E332" s="1051"/>
      <c r="F332" s="1051"/>
    </row>
    <row r="333" spans="1:6" s="145" customFormat="1" ht="17.25" customHeight="1" x14ac:dyDescent="0.25">
      <c r="A333" s="1030"/>
      <c r="B333" s="865"/>
      <c r="C333" s="1215"/>
      <c r="E333" s="874"/>
      <c r="F333" s="874"/>
    </row>
    <row r="334" spans="1:6" s="145" customFormat="1" ht="16.5" customHeight="1" x14ac:dyDescent="0.25">
      <c r="A334" s="1030"/>
      <c r="B334" s="865"/>
      <c r="C334" s="1215"/>
      <c r="E334" s="874"/>
      <c r="F334" s="874"/>
    </row>
    <row r="335" spans="1:6" s="145" customFormat="1" ht="17.25" customHeight="1" x14ac:dyDescent="0.25">
      <c r="A335" s="1114"/>
      <c r="B335" s="865"/>
      <c r="C335" s="1215"/>
      <c r="E335" s="874"/>
      <c r="F335" s="874"/>
    </row>
    <row r="336" spans="1:6" s="145" customFormat="1" ht="27.75" customHeight="1" x14ac:dyDescent="0.25">
      <c r="A336" s="1030"/>
      <c r="B336" s="865"/>
      <c r="C336" s="1213"/>
      <c r="E336" s="874"/>
      <c r="F336" s="874"/>
    </row>
    <row r="337" spans="1:7" s="145" customFormat="1" ht="15" customHeight="1" x14ac:dyDescent="0.25">
      <c r="A337" s="1216"/>
      <c r="B337" s="865"/>
      <c r="C337" s="1217"/>
      <c r="E337" s="874"/>
      <c r="F337" s="874"/>
    </row>
    <row r="338" spans="1:7" s="145" customFormat="1" ht="28.5" customHeight="1" x14ac:dyDescent="0.25">
      <c r="A338" s="1114"/>
      <c r="B338" s="865"/>
      <c r="C338" s="1218"/>
      <c r="E338" s="874"/>
      <c r="F338" s="874"/>
    </row>
    <row r="339" spans="1:7" s="145" customFormat="1" ht="20.25" customHeight="1" x14ac:dyDescent="0.25">
      <c r="A339" s="1219"/>
      <c r="B339" s="828"/>
      <c r="C339" s="1123"/>
      <c r="E339" s="685"/>
      <c r="F339" s="874"/>
    </row>
    <row r="340" spans="1:7" s="145" customFormat="1" ht="20.25" customHeight="1" x14ac:dyDescent="0.25">
      <c r="A340" s="1030"/>
      <c r="B340" s="828"/>
      <c r="C340" s="1123"/>
      <c r="E340" s="874"/>
      <c r="F340" s="685"/>
      <c r="G340" s="133"/>
    </row>
    <row r="341" spans="1:7" s="145" customFormat="1" ht="20.25" customHeight="1" x14ac:dyDescent="0.25">
      <c r="A341" s="1030"/>
      <c r="B341" s="875"/>
      <c r="C341" s="1168"/>
      <c r="E341" s="874"/>
      <c r="F341" s="874"/>
    </row>
    <row r="342" spans="1:7" s="145" customFormat="1" ht="15.75" customHeight="1" x14ac:dyDescent="0.25">
      <c r="A342" s="1220"/>
    </row>
    <row r="343" spans="1:7" s="145" customFormat="1" ht="15.75" customHeight="1" x14ac:dyDescent="0.25">
      <c r="A343" s="1220"/>
      <c r="G343" s="133"/>
    </row>
    <row r="344" spans="1:7" s="145" customFormat="1" ht="17.25" customHeight="1" x14ac:dyDescent="0.25">
      <c r="A344" s="1220"/>
    </row>
    <row r="345" spans="1:7" s="145" customFormat="1" ht="15" customHeight="1" x14ac:dyDescent="0.25">
      <c r="A345" s="1220"/>
    </row>
    <row r="346" spans="1:7" s="145" customFormat="1" ht="16.5" customHeight="1" x14ac:dyDescent="0.25">
      <c r="A346" s="1220"/>
    </row>
    <row r="347" spans="1:7" s="145" customFormat="1" ht="15.75" customHeight="1" x14ac:dyDescent="0.25">
      <c r="A347" s="1220"/>
    </row>
    <row r="348" spans="1:7" s="145" customFormat="1" ht="17.25" customHeight="1" x14ac:dyDescent="0.25">
      <c r="A348" s="1220"/>
    </row>
    <row r="349" spans="1:7" s="145" customFormat="1" ht="17.25" customHeight="1" x14ac:dyDescent="0.25">
      <c r="A349" s="1220"/>
    </row>
    <row r="350" spans="1:7" s="145" customFormat="1" ht="17.25" customHeight="1" x14ac:dyDescent="0.25">
      <c r="A350" s="1220"/>
    </row>
    <row r="351" spans="1:7" s="145" customFormat="1" ht="15.75" customHeight="1" x14ac:dyDescent="0.25">
      <c r="A351" s="1220"/>
    </row>
    <row r="352" spans="1:7" s="145" customFormat="1" ht="16.5" customHeight="1" x14ac:dyDescent="0.25">
      <c r="A352" s="1220"/>
    </row>
    <row r="353" spans="1:6" s="145" customFormat="1" ht="13.5" customHeight="1" x14ac:dyDescent="0.25">
      <c r="A353" s="1220"/>
    </row>
    <row r="354" spans="1:6" s="145" customFormat="1" ht="16.5" customHeight="1" x14ac:dyDescent="0.25">
      <c r="A354" s="1220"/>
    </row>
    <row r="355" spans="1:6" s="145" customFormat="1" ht="15" customHeight="1" x14ac:dyDescent="0.25">
      <c r="A355" s="1191"/>
    </row>
    <row r="356" spans="1:6" s="145" customFormat="1" ht="16.5" customHeight="1" x14ac:dyDescent="0.25">
      <c r="A356" s="1191"/>
    </row>
    <row r="357" spans="1:6" s="145" customFormat="1" ht="15.75" customHeight="1" x14ac:dyDescent="0.25">
      <c r="A357" s="1191"/>
    </row>
    <row r="358" spans="1:6" s="145" customFormat="1" ht="15" customHeight="1" x14ac:dyDescent="0.25">
      <c r="A358" s="1191"/>
    </row>
    <row r="359" spans="1:6" s="145" customFormat="1" ht="17.25" customHeight="1" x14ac:dyDescent="0.25">
      <c r="A359" s="1191"/>
    </row>
    <row r="360" spans="1:6" s="145" customFormat="1" ht="16.5" customHeight="1" x14ac:dyDescent="0.25">
      <c r="A360" s="1144"/>
      <c r="B360" s="1177"/>
      <c r="C360" s="1178"/>
      <c r="D360" s="1143"/>
      <c r="E360" s="1142"/>
      <c r="F360" s="1142"/>
    </row>
    <row r="361" spans="1:6" s="145" customFormat="1" ht="21" customHeight="1" x14ac:dyDescent="0.25">
      <c r="A361" s="1221"/>
      <c r="B361" s="1045"/>
      <c r="C361" s="1123"/>
      <c r="D361" s="1124"/>
      <c r="E361" s="1051"/>
      <c r="F361" s="1051"/>
    </row>
    <row r="362" spans="1:6" s="145" customFormat="1" ht="16.5" customHeight="1" x14ac:dyDescent="0.25">
      <c r="A362" s="1144"/>
      <c r="B362" s="1126"/>
      <c r="C362" s="1154"/>
      <c r="D362" s="133"/>
      <c r="E362" s="874"/>
      <c r="F362" s="874"/>
    </row>
    <row r="363" spans="1:6" s="145" customFormat="1" ht="15.75" customHeight="1" x14ac:dyDescent="0.25"/>
    <row r="364" spans="1:6" s="145" customFormat="1" ht="15" customHeight="1" x14ac:dyDescent="0.25"/>
    <row r="365" spans="1:6" s="145" customFormat="1" ht="15.75" customHeight="1" x14ac:dyDescent="0.25"/>
    <row r="366" spans="1:6" s="145" customFormat="1" ht="12.95" customHeight="1" x14ac:dyDescent="0.25"/>
    <row r="367" spans="1:6" s="145" customFormat="1" ht="12.95" customHeight="1" x14ac:dyDescent="0.25"/>
    <row r="368" spans="1:6" s="145" customFormat="1" ht="12.95" customHeight="1" x14ac:dyDescent="0.25"/>
    <row r="369" spans="1:7" s="145" customFormat="1" ht="12.95" customHeight="1" x14ac:dyDescent="0.25"/>
    <row r="370" spans="1:7" s="145" customFormat="1" ht="12.95" customHeight="1" x14ac:dyDescent="0.25">
      <c r="G370" s="133"/>
    </row>
    <row r="371" spans="1:7" s="145" customFormat="1" ht="12.95" customHeight="1" x14ac:dyDescent="0.25">
      <c r="G371" s="133"/>
    </row>
    <row r="372" spans="1:7" s="145" customFormat="1" ht="16.5" customHeight="1" x14ac:dyDescent="0.25">
      <c r="G372" s="133"/>
    </row>
    <row r="373" spans="1:7" s="145" customFormat="1" ht="17.25" customHeight="1" x14ac:dyDescent="0.25">
      <c r="G373" s="133"/>
    </row>
    <row r="374" spans="1:7" s="145" customFormat="1" ht="22.5" customHeight="1" x14ac:dyDescent="0.25">
      <c r="A374" s="1709"/>
      <c r="B374" s="1709"/>
      <c r="C374" s="1709"/>
      <c r="D374" s="1709"/>
      <c r="E374" s="544"/>
      <c r="F374" s="544"/>
      <c r="G374" s="133"/>
    </row>
    <row r="375" spans="1:7" s="145" customFormat="1" ht="11.25" customHeight="1" x14ac:dyDescent="0.25">
      <c r="A375" s="1047"/>
      <c r="B375" s="1047"/>
      <c r="C375" s="1047"/>
      <c r="D375" s="1047"/>
      <c r="E375" s="544"/>
      <c r="F375" s="544"/>
    </row>
    <row r="376" spans="1:7" s="145" customFormat="1" ht="21.75" customHeight="1" x14ac:dyDescent="0.25">
      <c r="A376" s="1710"/>
      <c r="B376" s="1710"/>
      <c r="C376" s="1710"/>
      <c r="D376" s="1710"/>
      <c r="E376" s="1710"/>
      <c r="F376" s="1710"/>
      <c r="G376" s="133"/>
    </row>
    <row r="377" spans="1:7" s="145" customFormat="1" ht="89.25" customHeight="1" x14ac:dyDescent="0.25">
      <c r="A377" s="1700"/>
      <c r="B377" s="1700"/>
      <c r="C377" s="1700"/>
      <c r="D377" s="1700"/>
      <c r="E377" s="1700"/>
      <c r="F377" s="1700"/>
      <c r="G377" s="133"/>
    </row>
    <row r="378" spans="1:7" s="145" customFormat="1" ht="21" customHeight="1" x14ac:dyDescent="0.25">
      <c r="A378" s="1701"/>
      <c r="B378" s="1701"/>
      <c r="C378" s="1701"/>
      <c r="D378" s="1700"/>
      <c r="E378" s="1700"/>
      <c r="F378" s="1700"/>
    </row>
    <row r="379" spans="1:7" s="145" customFormat="1" ht="20.25" customHeight="1" x14ac:dyDescent="0.25">
      <c r="A379" s="1700"/>
      <c r="B379" s="1700"/>
      <c r="C379" s="1700"/>
      <c r="D379" s="1700"/>
      <c r="E379" s="1700"/>
      <c r="F379" s="1700"/>
    </row>
    <row r="380" spans="1:7" s="145" customFormat="1" ht="12.95" customHeight="1" x14ac:dyDescent="0.25"/>
    <row r="381" spans="1:7" s="145" customFormat="1" ht="12.95" customHeight="1" x14ac:dyDescent="0.25">
      <c r="G381" s="133"/>
    </row>
    <row r="382" spans="1:7" s="145" customFormat="1" ht="12.95" customHeight="1" x14ac:dyDescent="0.25"/>
    <row r="383" spans="1:7" s="145" customFormat="1" ht="12.95" customHeight="1" x14ac:dyDescent="0.25"/>
    <row r="384" spans="1:7" s="145" customFormat="1" ht="12.95" customHeight="1" x14ac:dyDescent="0.25"/>
    <row r="385" s="145" customFormat="1" ht="12.95" customHeight="1" x14ac:dyDescent="0.25"/>
    <row r="386" s="145" customFormat="1" ht="12.95" customHeight="1" x14ac:dyDescent="0.25"/>
    <row r="387" s="145" customFormat="1" ht="12.95" customHeight="1" x14ac:dyDescent="0.25"/>
    <row r="388" s="145" customFormat="1" ht="12.95" customHeight="1" x14ac:dyDescent="0.25"/>
    <row r="389" s="145" customFormat="1" ht="12.95" customHeight="1" x14ac:dyDescent="0.25"/>
    <row r="390" s="145" customFormat="1" ht="12.95" customHeight="1" x14ac:dyDescent="0.25"/>
    <row r="391" s="145" customFormat="1" ht="12.95" customHeight="1" x14ac:dyDescent="0.25"/>
    <row r="392" s="145" customFormat="1" ht="12.95" customHeight="1" x14ac:dyDescent="0.25"/>
    <row r="393" s="145" customFormat="1" ht="12.95" customHeight="1" x14ac:dyDescent="0.25"/>
    <row r="394" s="145" customFormat="1" ht="12.95" customHeight="1" x14ac:dyDescent="0.25"/>
    <row r="395" s="145" customFormat="1" ht="12.95" customHeight="1" x14ac:dyDescent="0.25"/>
    <row r="396" s="145" customFormat="1" ht="12.95" customHeight="1" x14ac:dyDescent="0.25"/>
    <row r="397" s="145" customFormat="1" ht="12.95" customHeight="1" x14ac:dyDescent="0.25"/>
    <row r="398" s="145" customFormat="1" ht="12.95" customHeight="1" x14ac:dyDescent="0.25"/>
    <row r="399" s="145" customFormat="1" ht="12.95" customHeight="1" x14ac:dyDescent="0.25"/>
    <row r="400" s="145" customFormat="1" ht="12.95" customHeight="1" x14ac:dyDescent="0.25"/>
    <row r="401" spans="1:7" s="145" customFormat="1" ht="12.95" customHeight="1" x14ac:dyDescent="0.25"/>
    <row r="402" spans="1:7" s="145" customFormat="1" ht="12.95" customHeight="1" x14ac:dyDescent="0.25"/>
    <row r="403" spans="1:7" s="145" customFormat="1" ht="12.95" customHeight="1" x14ac:dyDescent="0.25"/>
    <row r="404" spans="1:7" s="145" customFormat="1" ht="12.95" customHeight="1" x14ac:dyDescent="0.25"/>
    <row r="405" spans="1:7" s="145" customFormat="1" ht="12.95" customHeight="1" x14ac:dyDescent="0.25"/>
    <row r="406" spans="1:7" s="145" customFormat="1" ht="12.95" customHeight="1" x14ac:dyDescent="0.25"/>
    <row r="407" spans="1:7" s="145" customFormat="1" ht="12.95" customHeight="1" x14ac:dyDescent="0.25"/>
    <row r="408" spans="1:7" s="145" customFormat="1" ht="12.95" customHeight="1" x14ac:dyDescent="0.25"/>
    <row r="409" spans="1:7" s="145" customFormat="1" ht="12.95" customHeight="1" x14ac:dyDescent="0.25"/>
    <row r="410" spans="1:7" s="145" customFormat="1" ht="16.5" customHeight="1" x14ac:dyDescent="0.25">
      <c r="G410" s="133"/>
    </row>
    <row r="411" spans="1:7" s="145" customFormat="1" ht="16.5" customHeight="1" x14ac:dyDescent="0.25"/>
    <row r="412" spans="1:7" s="145" customFormat="1" ht="26.25" customHeight="1" x14ac:dyDescent="0.25"/>
    <row r="413" spans="1:7" s="145" customFormat="1" ht="17.25" customHeight="1" x14ac:dyDescent="0.25"/>
    <row r="414" spans="1:7" s="145" customFormat="1" ht="16.5" customHeight="1" x14ac:dyDescent="0.25"/>
    <row r="415" spans="1:7" s="145" customFormat="1" ht="15" customHeight="1" x14ac:dyDescent="0.25"/>
    <row r="416" spans="1:7" s="145" customFormat="1" ht="20.25" x14ac:dyDescent="0.25">
      <c r="A416" s="1047"/>
      <c r="B416" s="1047"/>
      <c r="C416" s="1047"/>
      <c r="D416" s="1047"/>
      <c r="E416" s="544"/>
      <c r="F416" s="544"/>
    </row>
    <row r="417" spans="1:6" s="145" customFormat="1" ht="21" customHeight="1" x14ac:dyDescent="0.25">
      <c r="A417" s="1047"/>
      <c r="B417" s="1047"/>
      <c r="C417" s="1047"/>
      <c r="D417" s="1047"/>
      <c r="E417" s="544"/>
      <c r="F417" s="544"/>
    </row>
    <row r="418" spans="1:6" s="145" customFormat="1" ht="20.25" x14ac:dyDescent="0.25">
      <c r="A418" s="1047"/>
      <c r="B418" s="1047"/>
      <c r="C418" s="1047"/>
      <c r="D418" s="1047"/>
      <c r="E418" s="544"/>
      <c r="F418" s="544"/>
    </row>
    <row r="419" spans="1:6" s="145" customFormat="1" ht="20.25" x14ac:dyDescent="0.25">
      <c r="A419" s="1047"/>
      <c r="B419" s="1047"/>
      <c r="C419" s="1047"/>
      <c r="D419" s="1047"/>
      <c r="E419" s="544"/>
      <c r="F419" s="544"/>
    </row>
    <row r="420" spans="1:6" s="145" customFormat="1" ht="20.25" x14ac:dyDescent="0.25">
      <c r="A420" s="1047"/>
      <c r="B420" s="1047"/>
      <c r="C420" s="1047"/>
      <c r="D420" s="1047"/>
      <c r="E420" s="544"/>
      <c r="F420" s="544"/>
    </row>
    <row r="421" spans="1:6" s="145" customFormat="1" ht="20.25" x14ac:dyDescent="0.25">
      <c r="A421" s="1047"/>
      <c r="B421" s="1047"/>
      <c r="C421" s="1047"/>
      <c r="D421" s="1047"/>
      <c r="E421" s="544"/>
      <c r="F421" s="544"/>
    </row>
    <row r="422" spans="1:6" s="145" customFormat="1" ht="20.25" x14ac:dyDescent="0.25">
      <c r="A422" s="1047"/>
      <c r="B422" s="1047"/>
      <c r="C422" s="1047"/>
      <c r="D422" s="1047"/>
      <c r="E422" s="544"/>
      <c r="F422" s="544"/>
    </row>
    <row r="423" spans="1:6" s="145" customFormat="1" ht="20.25" x14ac:dyDescent="0.25">
      <c r="A423" s="1047"/>
      <c r="B423" s="1047"/>
      <c r="C423" s="1047"/>
      <c r="D423" s="1047"/>
      <c r="E423" s="544"/>
      <c r="F423" s="544"/>
    </row>
    <row r="424" spans="1:6" s="145" customFormat="1" ht="20.25" x14ac:dyDescent="0.25">
      <c r="A424" s="1047"/>
      <c r="B424" s="1047"/>
      <c r="C424" s="1047"/>
      <c r="D424" s="1047"/>
      <c r="E424" s="544"/>
      <c r="F424" s="544"/>
    </row>
    <row r="425" spans="1:6" s="145" customFormat="1" x14ac:dyDescent="0.25">
      <c r="A425" s="875"/>
      <c r="B425" s="875"/>
    </row>
    <row r="426" spans="1:6" s="145" customFormat="1" x14ac:dyDescent="0.25">
      <c r="A426" s="875"/>
      <c r="B426" s="875"/>
    </row>
    <row r="427" spans="1:6" s="145" customFormat="1" x14ac:dyDescent="0.25">
      <c r="A427" s="875"/>
      <c r="B427" s="875"/>
    </row>
    <row r="428" spans="1:6" s="145" customFormat="1" x14ac:dyDescent="0.25">
      <c r="A428" s="875"/>
      <c r="B428" s="875"/>
    </row>
    <row r="429" spans="1:6" s="145" customFormat="1" x14ac:dyDescent="0.25">
      <c r="A429" s="875"/>
      <c r="B429" s="875"/>
    </row>
    <row r="430" spans="1:6" s="145" customFormat="1" x14ac:dyDescent="0.25">
      <c r="A430" s="875"/>
      <c r="B430" s="875"/>
    </row>
    <row r="431" spans="1:6" s="145" customFormat="1" x14ac:dyDescent="0.25">
      <c r="A431" s="875"/>
      <c r="B431" s="875"/>
    </row>
    <row r="432" spans="1:6" s="145" customFormat="1" x14ac:dyDescent="0.25">
      <c r="A432" s="875"/>
      <c r="B432" s="875"/>
    </row>
    <row r="433" spans="1:2" s="145" customFormat="1" x14ac:dyDescent="0.25">
      <c r="A433" s="875"/>
      <c r="B433" s="875"/>
    </row>
    <row r="434" spans="1:2" s="145" customFormat="1" x14ac:dyDescent="0.25">
      <c r="A434" s="875"/>
      <c r="B434" s="875"/>
    </row>
    <row r="435" spans="1:2" s="145" customFormat="1" x14ac:dyDescent="0.25">
      <c r="A435" s="875"/>
      <c r="B435" s="875"/>
    </row>
    <row r="436" spans="1:2" s="145" customFormat="1" x14ac:dyDescent="0.25">
      <c r="A436" s="875"/>
      <c r="B436" s="875"/>
    </row>
  </sheetData>
  <sheetProtection formatCells="0" formatColumns="0" formatRows="0" insertColumns="0" insertRows="0" insertHyperlinks="0" deleteColumns="0" deleteRows="0" sort="0" autoFilter="0" pivotTables="0"/>
  <mergeCells count="109">
    <mergeCell ref="A379:C379"/>
    <mergeCell ref="D379:F379"/>
    <mergeCell ref="A374:D374"/>
    <mergeCell ref="A376:C376"/>
    <mergeCell ref="D376:F376"/>
    <mergeCell ref="A377:C377"/>
    <mergeCell ref="D377:F377"/>
    <mergeCell ref="A378:C378"/>
    <mergeCell ref="D378:F378"/>
    <mergeCell ref="B318:B320"/>
    <mergeCell ref="C318:C320"/>
    <mergeCell ref="D318:D320"/>
    <mergeCell ref="E318:F318"/>
    <mergeCell ref="E319:E320"/>
    <mergeCell ref="F319:F320"/>
    <mergeCell ref="A314:C314"/>
    <mergeCell ref="D314:F314"/>
    <mergeCell ref="A315:C315"/>
    <mergeCell ref="D315:F315"/>
    <mergeCell ref="A316:C316"/>
    <mergeCell ref="A317:C317"/>
    <mergeCell ref="A309:D309"/>
    <mergeCell ref="A311:C311"/>
    <mergeCell ref="D311:F311"/>
    <mergeCell ref="A312:C312"/>
    <mergeCell ref="D312:F312"/>
    <mergeCell ref="A313:C313"/>
    <mergeCell ref="D313:F313"/>
    <mergeCell ref="B224:B226"/>
    <mergeCell ref="C224:C226"/>
    <mergeCell ref="D224:D226"/>
    <mergeCell ref="E224:F224"/>
    <mergeCell ref="E225:E226"/>
    <mergeCell ref="F225:F226"/>
    <mergeCell ref="A220:C220"/>
    <mergeCell ref="D220:F220"/>
    <mergeCell ref="A221:C221"/>
    <mergeCell ref="D221:F221"/>
    <mergeCell ref="A222:C222"/>
    <mergeCell ref="A223:C223"/>
    <mergeCell ref="A215:D215"/>
    <mergeCell ref="A217:C217"/>
    <mergeCell ref="D217:F217"/>
    <mergeCell ref="A218:C218"/>
    <mergeCell ref="D218:F218"/>
    <mergeCell ref="A219:C219"/>
    <mergeCell ref="D219:F219"/>
    <mergeCell ref="B138:B140"/>
    <mergeCell ref="C138:C140"/>
    <mergeCell ref="D138:D140"/>
    <mergeCell ref="E138:F138"/>
    <mergeCell ref="E139:E140"/>
    <mergeCell ref="F139:F140"/>
    <mergeCell ref="A133:C133"/>
    <mergeCell ref="D133:F133"/>
    <mergeCell ref="A135:C135"/>
    <mergeCell ref="D135:F135"/>
    <mergeCell ref="A136:C136"/>
    <mergeCell ref="A137:C137"/>
    <mergeCell ref="A128:D128"/>
    <mergeCell ref="A130:C130"/>
    <mergeCell ref="D130:F130"/>
    <mergeCell ref="A131:C131"/>
    <mergeCell ref="D131:F131"/>
    <mergeCell ref="A132:C132"/>
    <mergeCell ref="D132:F132"/>
    <mergeCell ref="A69:C69"/>
    <mergeCell ref="A70:C70"/>
    <mergeCell ref="B71:B73"/>
    <mergeCell ref="C71:C73"/>
    <mergeCell ref="D71:D73"/>
    <mergeCell ref="E71:F71"/>
    <mergeCell ref="E72:E73"/>
    <mergeCell ref="F72:F73"/>
    <mergeCell ref="A66:C66"/>
    <mergeCell ref="D66:F66"/>
    <mergeCell ref="A67:C67"/>
    <mergeCell ref="D67:F67"/>
    <mergeCell ref="A68:C68"/>
    <mergeCell ref="D68:F68"/>
    <mergeCell ref="A61:C61"/>
    <mergeCell ref="D61:E61"/>
    <mergeCell ref="A62:B62"/>
    <mergeCell ref="A64:C64"/>
    <mergeCell ref="D64:F64"/>
    <mergeCell ref="A65:C65"/>
    <mergeCell ref="D65:F65"/>
    <mergeCell ref="A58:B58"/>
    <mergeCell ref="D58:E58"/>
    <mergeCell ref="A59:B59"/>
    <mergeCell ref="D59:E59"/>
    <mergeCell ref="A60:B60"/>
    <mergeCell ref="D60:E60"/>
    <mergeCell ref="A53:D53"/>
    <mergeCell ref="A55:F55"/>
    <mergeCell ref="A56:C56"/>
    <mergeCell ref="D56:F56"/>
    <mergeCell ref="A57:B57"/>
    <mergeCell ref="D57:E57"/>
    <mergeCell ref="A1:C1"/>
    <mergeCell ref="D1:F1"/>
    <mergeCell ref="A2:C2"/>
    <mergeCell ref="A3:C3"/>
    <mergeCell ref="B4:B6"/>
    <mergeCell ref="C4:C6"/>
    <mergeCell ref="D4:D6"/>
    <mergeCell ref="E4:F4"/>
    <mergeCell ref="E5:E6"/>
    <mergeCell ref="F5:F6"/>
  </mergeCells>
  <printOptions horizontalCentered="1"/>
  <pageMargins left="0.19685039370078741" right="0.19685039370078741" top="0.39370078740157483" bottom="2.5590551181102366" header="0.55118110236220474" footer="0.31496062992125984"/>
  <pageSetup paperSize="5" scale="62" fitToWidth="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P484"/>
  <sheetViews>
    <sheetView topLeftCell="A40" zoomScale="80" zoomScaleNormal="80" zoomScaleSheetLayoutView="100" workbookViewId="0">
      <selection activeCell="G53" sqref="G53"/>
    </sheetView>
  </sheetViews>
  <sheetFormatPr baseColWidth="10" defaultRowHeight="15" x14ac:dyDescent="0.25"/>
  <cols>
    <col min="1" max="1" width="11.5703125" style="340" customWidth="1"/>
    <col min="2" max="2" width="10.140625" style="340" customWidth="1"/>
    <col min="3" max="3" width="80.7109375" style="141" customWidth="1"/>
    <col min="4" max="4" width="25.5703125" style="141" customWidth="1"/>
    <col min="5" max="5" width="23.140625" style="141" customWidth="1"/>
    <col min="6" max="6" width="24.28515625" style="141" customWidth="1"/>
    <col min="7" max="7" width="21.140625" style="141" customWidth="1"/>
    <col min="8" max="8" width="20.140625" style="141" customWidth="1"/>
    <col min="9" max="9" width="18.140625" style="141" customWidth="1"/>
    <col min="10" max="10" width="30" style="141" customWidth="1"/>
    <col min="11" max="11" width="22.5703125" style="141" customWidth="1"/>
    <col min="12" max="12" width="11.42578125" style="141" customWidth="1"/>
    <col min="13" max="13" width="12.140625" style="141" customWidth="1"/>
    <col min="14" max="14" width="28.28515625" style="141" customWidth="1"/>
    <col min="15" max="15" width="20.140625" style="141" customWidth="1"/>
    <col min="16" max="16" width="14.7109375" style="141" bestFit="1" customWidth="1"/>
    <col min="17" max="16384" width="11.42578125" style="141"/>
  </cols>
  <sheetData>
    <row r="1" spans="1:7" ht="20.25" customHeight="1" thickBot="1" x14ac:dyDescent="0.3">
      <c r="A1" s="1636" t="s">
        <v>157</v>
      </c>
      <c r="B1" s="1637"/>
      <c r="C1" s="1637"/>
      <c r="D1" s="1638" t="s">
        <v>1</v>
      </c>
      <c r="E1" s="1639"/>
      <c r="F1" s="1640"/>
    </row>
    <row r="2" spans="1:7" ht="18.75" customHeight="1" thickBot="1" x14ac:dyDescent="0.3">
      <c r="A2" s="1729" t="s">
        <v>158</v>
      </c>
      <c r="B2" s="1730"/>
      <c r="C2" s="1730"/>
      <c r="D2" s="533" t="s">
        <v>3</v>
      </c>
      <c r="E2" s="534" t="s">
        <v>298</v>
      </c>
      <c r="F2" s="535" t="s">
        <v>5</v>
      </c>
    </row>
    <row r="3" spans="1:7" ht="15" customHeight="1" thickBot="1" x14ac:dyDescent="0.3">
      <c r="A3" s="1643" t="s">
        <v>161</v>
      </c>
      <c r="B3" s="1644"/>
      <c r="C3" s="1644"/>
      <c r="D3" s="533" t="s">
        <v>6</v>
      </c>
      <c r="E3" s="536" t="s">
        <v>418</v>
      </c>
      <c r="F3" s="1470">
        <v>45688</v>
      </c>
    </row>
    <row r="4" spans="1:7" ht="13.5" customHeight="1" thickBot="1" x14ac:dyDescent="0.3">
      <c r="A4" s="538" t="s">
        <v>5</v>
      </c>
      <c r="B4" s="1645" t="s">
        <v>296</v>
      </c>
      <c r="C4" s="1733" t="s">
        <v>289</v>
      </c>
      <c r="D4" s="1735" t="s">
        <v>159</v>
      </c>
      <c r="E4" s="1638" t="s">
        <v>9</v>
      </c>
      <c r="F4" s="1640"/>
    </row>
    <row r="5" spans="1:7" ht="15" customHeight="1" thickBot="1" x14ac:dyDescent="0.3">
      <c r="A5" s="1474">
        <f>+F3</f>
        <v>45688</v>
      </c>
      <c r="B5" s="1646"/>
      <c r="C5" s="1649"/>
      <c r="D5" s="1736"/>
      <c r="E5" s="1645" t="s">
        <v>10</v>
      </c>
      <c r="F5" s="1654" t="s">
        <v>11</v>
      </c>
    </row>
    <row r="6" spans="1:7" ht="15" customHeight="1" thickBot="1" x14ac:dyDescent="0.3">
      <c r="A6" s="866" t="s">
        <v>297</v>
      </c>
      <c r="B6" s="1738"/>
      <c r="C6" s="1734"/>
      <c r="D6" s="1737"/>
      <c r="E6" s="1738"/>
      <c r="F6" s="1748"/>
    </row>
    <row r="7" spans="1:7" s="148" customFormat="1" ht="15.75" customHeight="1" x14ac:dyDescent="0.25">
      <c r="A7" s="1475">
        <f>+A5</f>
        <v>45688</v>
      </c>
      <c r="B7" s="810"/>
      <c r="C7" s="1014">
        <v>1</v>
      </c>
      <c r="D7" s="1271"/>
      <c r="E7" s="1247"/>
      <c r="F7" s="1246"/>
      <c r="G7" s="149"/>
    </row>
    <row r="8" spans="1:7" s="148" customFormat="1" ht="20.100000000000001" customHeight="1" x14ac:dyDescent="0.25">
      <c r="A8" s="1476"/>
      <c r="B8" s="1041">
        <v>299</v>
      </c>
      <c r="C8" s="1262" t="s">
        <v>48</v>
      </c>
      <c r="D8" s="1272"/>
      <c r="E8" s="1265">
        <f>+D10</f>
        <v>576.47</v>
      </c>
      <c r="F8" s="1579"/>
      <c r="G8" s="149"/>
    </row>
    <row r="9" spans="1:7" s="148" customFormat="1" ht="20.100000000000001" customHeight="1" x14ac:dyDescent="0.25">
      <c r="A9" s="1476"/>
      <c r="B9" s="1041">
        <v>102</v>
      </c>
      <c r="C9" s="1263" t="s">
        <v>235</v>
      </c>
      <c r="D9" s="1272"/>
      <c r="E9" s="1265"/>
      <c r="F9" s="1271">
        <f>+D10</f>
        <v>576.47</v>
      </c>
      <c r="G9" s="149"/>
    </row>
    <row r="10" spans="1:7" s="148" customFormat="1" ht="20.100000000000001" customHeight="1" x14ac:dyDescent="0.25">
      <c r="A10" s="1476"/>
      <c r="B10" s="1222"/>
      <c r="C10" s="1264" t="s">
        <v>428</v>
      </c>
      <c r="D10" s="1261">
        <v>576.47</v>
      </c>
      <c r="E10" s="1267"/>
      <c r="F10" s="1278"/>
      <c r="G10" s="149"/>
    </row>
    <row r="11" spans="1:7" s="148" customFormat="1" ht="36" customHeight="1" x14ac:dyDescent="0.25">
      <c r="A11" s="1476"/>
      <c r="B11" s="1222"/>
      <c r="C11" s="1243" t="s">
        <v>461</v>
      </c>
      <c r="D11" s="1261"/>
      <c r="E11" s="1245"/>
      <c r="F11" s="1036"/>
      <c r="G11" s="149"/>
    </row>
    <row r="12" spans="1:7" s="148" customFormat="1" ht="15.75" customHeight="1" x14ac:dyDescent="0.25">
      <c r="A12" s="1477">
        <f>+A7</f>
        <v>45688</v>
      </c>
      <c r="B12" s="810"/>
      <c r="C12" s="1014">
        <v>2</v>
      </c>
      <c r="D12" s="1006"/>
      <c r="E12" s="1245"/>
      <c r="F12" s="1036"/>
      <c r="G12" s="149"/>
    </row>
    <row r="13" spans="1:7" s="148" customFormat="1" ht="20.100000000000001" customHeight="1" x14ac:dyDescent="0.25">
      <c r="A13" s="1478"/>
      <c r="B13" s="1041">
        <v>122</v>
      </c>
      <c r="C13" s="1263" t="s">
        <v>13</v>
      </c>
      <c r="D13" s="1261"/>
      <c r="E13" s="1266">
        <f>+D14</f>
        <v>576.47</v>
      </c>
      <c r="F13" s="1271"/>
      <c r="G13" s="149"/>
    </row>
    <row r="14" spans="1:7" s="148" customFormat="1" ht="20.100000000000001" customHeight="1" x14ac:dyDescent="0.25">
      <c r="A14" s="1478"/>
      <c r="B14" s="1222"/>
      <c r="C14" s="1264" t="s">
        <v>75</v>
      </c>
      <c r="D14" s="1268">
        <v>576.47</v>
      </c>
      <c r="E14" s="1274"/>
      <c r="F14" s="1265"/>
      <c r="G14" s="149"/>
    </row>
    <row r="15" spans="1:7" s="148" customFormat="1" ht="20.100000000000001" customHeight="1" x14ac:dyDescent="0.25">
      <c r="A15" s="1478"/>
      <c r="B15" s="1041">
        <v>301</v>
      </c>
      <c r="C15" s="1263" t="s">
        <v>14</v>
      </c>
      <c r="D15" s="1268"/>
      <c r="E15" s="1275"/>
      <c r="F15" s="1276">
        <f>+D16</f>
        <v>576.47</v>
      </c>
      <c r="G15" s="149"/>
    </row>
    <row r="16" spans="1:7" s="148" customFormat="1" ht="20.100000000000001" customHeight="1" x14ac:dyDescent="0.25">
      <c r="A16" s="1478"/>
      <c r="B16" s="1222"/>
      <c r="C16" s="1264" t="s">
        <v>75</v>
      </c>
      <c r="D16" s="1269">
        <f>+D14</f>
        <v>576.47</v>
      </c>
      <c r="E16" s="1265"/>
      <c r="F16" s="1277"/>
      <c r="G16" s="149"/>
    </row>
    <row r="17" spans="1:11" s="148" customFormat="1" ht="45" customHeight="1" x14ac:dyDescent="0.25">
      <c r="A17" s="1479"/>
      <c r="B17" s="1222"/>
      <c r="C17" s="1243" t="s">
        <v>466</v>
      </c>
      <c r="D17" s="1269"/>
      <c r="E17" s="1265"/>
      <c r="F17" s="1271"/>
      <c r="G17" s="149"/>
    </row>
    <row r="18" spans="1:11" s="148" customFormat="1" ht="17.25" customHeight="1" x14ac:dyDescent="0.25">
      <c r="A18" s="1477">
        <f>+A12</f>
        <v>45688</v>
      </c>
      <c r="B18" s="1041"/>
      <c r="C18" s="1014">
        <v>3</v>
      </c>
      <c r="D18" s="1269"/>
      <c r="E18" s="1006"/>
      <c r="F18" s="1009"/>
      <c r="G18" s="149"/>
    </row>
    <row r="19" spans="1:11" s="148" customFormat="1" ht="20.100000000000001" customHeight="1" x14ac:dyDescent="0.25">
      <c r="A19" s="1480"/>
      <c r="B19" s="1041">
        <v>102</v>
      </c>
      <c r="C19" s="1263" t="s">
        <v>235</v>
      </c>
      <c r="D19" s="1268"/>
      <c r="E19" s="1271">
        <f>+D20</f>
        <v>576.47</v>
      </c>
      <c r="F19" s="1278"/>
      <c r="G19" s="149"/>
    </row>
    <row r="20" spans="1:11" s="148" customFormat="1" ht="20.100000000000001" customHeight="1" x14ac:dyDescent="0.25">
      <c r="A20" s="1480"/>
      <c r="B20" s="1041"/>
      <c r="C20" s="1264" t="s">
        <v>462</v>
      </c>
      <c r="D20" s="1269">
        <v>576.47</v>
      </c>
      <c r="E20" s="1279"/>
      <c r="F20" s="1265"/>
      <c r="G20" s="149"/>
    </row>
    <row r="21" spans="1:11" s="148" customFormat="1" ht="20.100000000000001" customHeight="1" x14ac:dyDescent="0.25">
      <c r="A21" s="1481"/>
      <c r="B21" s="1041">
        <v>122</v>
      </c>
      <c r="C21" s="1263" t="s">
        <v>13</v>
      </c>
      <c r="D21" s="1270"/>
      <c r="E21" s="1275"/>
      <c r="F21" s="1271">
        <f>+D20</f>
        <v>576.47</v>
      </c>
      <c r="G21" s="149"/>
      <c r="I21" s="149"/>
    </row>
    <row r="22" spans="1:11" s="148" customFormat="1" ht="48" customHeight="1" x14ac:dyDescent="0.25">
      <c r="A22" s="1479"/>
      <c r="B22" s="1222"/>
      <c r="C22" s="1243" t="s">
        <v>467</v>
      </c>
      <c r="D22" s="1273"/>
      <c r="E22" s="1006"/>
      <c r="F22" s="1007"/>
      <c r="G22" s="149"/>
    </row>
    <row r="23" spans="1:11" s="148" customFormat="1" ht="18.75" customHeight="1" x14ac:dyDescent="0.25">
      <c r="A23" s="1477">
        <f>+A18</f>
        <v>45688</v>
      </c>
      <c r="B23" s="854"/>
      <c r="C23" s="957">
        <v>4</v>
      </c>
      <c r="D23" s="1273"/>
      <c r="E23" s="1010"/>
      <c r="F23" s="1011"/>
      <c r="G23" s="149"/>
      <c r="J23" s="149"/>
    </row>
    <row r="24" spans="1:11" s="148" customFormat="1" ht="20.100000000000001" customHeight="1" x14ac:dyDescent="0.25">
      <c r="A24" s="1478"/>
      <c r="B24" s="1041">
        <v>122</v>
      </c>
      <c r="C24" s="1263" t="s">
        <v>13</v>
      </c>
      <c r="D24" s="1037"/>
      <c r="E24" s="1266">
        <f>SUM(D25:D28)</f>
        <v>49570937</v>
      </c>
      <c r="F24" s="1007"/>
      <c r="G24" s="149"/>
    </row>
    <row r="25" spans="1:11" s="148" customFormat="1" ht="20.100000000000001" customHeight="1" x14ac:dyDescent="0.25">
      <c r="A25" s="1478"/>
      <c r="B25" s="1041"/>
      <c r="C25" s="1264" t="s">
        <v>237</v>
      </c>
      <c r="D25" s="1269">
        <v>18951121</v>
      </c>
      <c r="E25" s="1006"/>
      <c r="F25" s="1008"/>
      <c r="G25" s="149"/>
      <c r="J25" s="149"/>
    </row>
    <row r="26" spans="1:11" s="148" customFormat="1" ht="20.100000000000001" customHeight="1" x14ac:dyDescent="0.25">
      <c r="A26" s="1480"/>
      <c r="B26" s="1041"/>
      <c r="C26" s="1264" t="s">
        <v>399</v>
      </c>
      <c r="D26" s="1269">
        <v>27114816</v>
      </c>
      <c r="E26" s="1012"/>
      <c r="F26" s="1006"/>
      <c r="G26" s="149">
        <f>+D26-27114816</f>
        <v>0</v>
      </c>
      <c r="H26" s="149"/>
      <c r="J26" s="149"/>
    </row>
    <row r="27" spans="1:11" s="148" customFormat="1" ht="20.100000000000001" customHeight="1" x14ac:dyDescent="0.25">
      <c r="A27" s="1481"/>
      <c r="B27" s="1284"/>
      <c r="C27" s="1264" t="s">
        <v>449</v>
      </c>
      <c r="D27" s="1269">
        <v>3373000</v>
      </c>
      <c r="E27" s="1012"/>
      <c r="F27" s="1006"/>
      <c r="G27" s="149">
        <f>+D27-3373000</f>
        <v>0</v>
      </c>
      <c r="J27" s="149"/>
    </row>
    <row r="28" spans="1:11" s="148" customFormat="1" ht="20.100000000000001" customHeight="1" x14ac:dyDescent="0.25">
      <c r="A28" s="1479"/>
      <c r="B28" s="1284"/>
      <c r="C28" s="1264" t="s">
        <v>75</v>
      </c>
      <c r="D28" s="1269">
        <v>132000</v>
      </c>
      <c r="E28" s="1035"/>
      <c r="F28" s="1006"/>
      <c r="G28" s="149"/>
      <c r="H28" s="149"/>
      <c r="J28" s="149"/>
    </row>
    <row r="29" spans="1:11" s="148" customFormat="1" ht="20.100000000000001" customHeight="1" x14ac:dyDescent="0.25">
      <c r="A29" s="1480"/>
      <c r="B29" s="1041">
        <v>301</v>
      </c>
      <c r="C29" s="1280" t="s">
        <v>14</v>
      </c>
      <c r="D29" s="1269"/>
      <c r="E29" s="1035"/>
      <c r="F29" s="1265">
        <f>SUM(D30:D31)</f>
        <v>49570937</v>
      </c>
      <c r="G29" s="149"/>
      <c r="H29" s="149"/>
      <c r="J29" s="149"/>
    </row>
    <row r="30" spans="1:11" s="148" customFormat="1" ht="20.100000000000001" customHeight="1" x14ac:dyDescent="0.25">
      <c r="A30" s="1480"/>
      <c r="B30" s="1285"/>
      <c r="C30" s="1281" t="s">
        <v>353</v>
      </c>
      <c r="D30" s="1269">
        <f>SUM(D25:D27)</f>
        <v>49438937</v>
      </c>
      <c r="E30" s="1012"/>
      <c r="F30" s="1006"/>
      <c r="G30" s="149"/>
      <c r="H30" s="149"/>
      <c r="J30" s="149"/>
      <c r="K30" s="149"/>
    </row>
    <row r="31" spans="1:11" s="148" customFormat="1" ht="20.100000000000001" customHeight="1" x14ac:dyDescent="0.25">
      <c r="A31" s="1480"/>
      <c r="B31" s="1285"/>
      <c r="C31" s="1282" t="s">
        <v>75</v>
      </c>
      <c r="D31" s="1269">
        <f>+D28</f>
        <v>132000</v>
      </c>
      <c r="E31" s="1012"/>
      <c r="F31" s="1006"/>
      <c r="G31" s="149"/>
      <c r="H31" s="149">
        <f>27114816/12</f>
        <v>2259568</v>
      </c>
      <c r="I31" s="149"/>
      <c r="K31" s="149"/>
    </row>
    <row r="32" spans="1:11" s="148" customFormat="1" ht="50.25" customHeight="1" x14ac:dyDescent="0.2">
      <c r="A32" s="1480"/>
      <c r="B32" s="1286"/>
      <c r="C32" s="1088" t="s">
        <v>565</v>
      </c>
      <c r="D32" s="1005"/>
      <c r="E32" s="1012"/>
      <c r="F32" s="1006"/>
      <c r="G32" s="149"/>
      <c r="I32" s="149"/>
    </row>
    <row r="33" spans="1:11" s="148" customFormat="1" ht="18" customHeight="1" x14ac:dyDescent="0.25">
      <c r="A33" s="1477">
        <f>+A23</f>
        <v>45688</v>
      </c>
      <c r="B33" s="1284"/>
      <c r="C33" s="893">
        <v>5</v>
      </c>
      <c r="D33" s="1005"/>
      <c r="E33" s="1012"/>
      <c r="F33" s="1006"/>
      <c r="G33" s="149"/>
      <c r="I33" s="149"/>
    </row>
    <row r="34" spans="1:11" s="148" customFormat="1" ht="20.100000000000001" customHeight="1" x14ac:dyDescent="0.25">
      <c r="A34" s="1479"/>
      <c r="B34" s="1017">
        <v>102</v>
      </c>
      <c r="C34" s="1283" t="s">
        <v>235</v>
      </c>
      <c r="D34" s="1005"/>
      <c r="E34" s="1266">
        <f>SUM(D35:D37)</f>
        <v>2552051.33</v>
      </c>
      <c r="F34" s="1006"/>
      <c r="G34" s="149"/>
      <c r="H34" s="149"/>
      <c r="I34" s="149"/>
    </row>
    <row r="35" spans="1:11" s="148" customFormat="1" ht="20.100000000000001" customHeight="1" x14ac:dyDescent="0.25">
      <c r="A35" s="1476"/>
      <c r="B35" s="1041"/>
      <c r="C35" s="1264" t="s">
        <v>431</v>
      </c>
      <c r="D35" s="1269">
        <f>2259568+281083.33</f>
        <v>2540651.33</v>
      </c>
      <c r="E35" s="1035"/>
      <c r="F35" s="1038"/>
      <c r="G35" s="149"/>
    </row>
    <row r="36" spans="1:11" s="148" customFormat="1" ht="20.100000000000001" customHeight="1" x14ac:dyDescent="0.25">
      <c r="A36" s="1476"/>
      <c r="B36" s="1041"/>
      <c r="C36" s="1264" t="s">
        <v>432</v>
      </c>
      <c r="D36" s="1269">
        <v>0</v>
      </c>
      <c r="E36" s="1012"/>
      <c r="F36" s="1038"/>
      <c r="G36" s="149"/>
      <c r="K36" s="149"/>
    </row>
    <row r="37" spans="1:11" s="148" customFormat="1" ht="20.100000000000001" customHeight="1" x14ac:dyDescent="0.25">
      <c r="A37" s="1476"/>
      <c r="B37" s="1041"/>
      <c r="C37" s="1264" t="s">
        <v>434</v>
      </c>
      <c r="D37" s="1269">
        <v>11400</v>
      </c>
      <c r="E37" s="1012"/>
      <c r="F37" s="1007"/>
      <c r="G37" s="149"/>
      <c r="K37" s="149"/>
    </row>
    <row r="38" spans="1:11" s="148" customFormat="1" ht="20.100000000000001" customHeight="1" x14ac:dyDescent="0.25">
      <c r="A38" s="1476"/>
      <c r="B38" s="1041">
        <v>122</v>
      </c>
      <c r="C38" s="1263" t="s">
        <v>13</v>
      </c>
      <c r="D38" s="1269"/>
      <c r="E38" s="1012"/>
      <c r="F38" s="1265">
        <f>SUM(D39:D40)</f>
        <v>2552051.33</v>
      </c>
      <c r="G38" s="149"/>
      <c r="K38" s="149"/>
    </row>
    <row r="39" spans="1:11" s="148" customFormat="1" ht="20.100000000000001" customHeight="1" x14ac:dyDescent="0.25">
      <c r="A39" s="1476"/>
      <c r="B39" s="1222"/>
      <c r="C39" s="1264" t="s">
        <v>353</v>
      </c>
      <c r="D39" s="1269">
        <f>SUM(D35:D36)</f>
        <v>2540651.33</v>
      </c>
      <c r="E39" s="1035"/>
      <c r="F39" s="1006"/>
      <c r="G39" s="149"/>
    </row>
    <row r="40" spans="1:11" s="148" customFormat="1" ht="20.100000000000001" customHeight="1" x14ac:dyDescent="0.25">
      <c r="A40" s="1482"/>
      <c r="B40" s="1222"/>
      <c r="C40" s="1264" t="s">
        <v>75</v>
      </c>
      <c r="D40" s="1269">
        <f>SUM(D37)</f>
        <v>11400</v>
      </c>
      <c r="E40" s="1012"/>
      <c r="F40" s="1006"/>
      <c r="G40" s="149"/>
    </row>
    <row r="41" spans="1:11" s="148" customFormat="1" ht="24.75" customHeight="1" x14ac:dyDescent="0.25">
      <c r="A41" s="1483"/>
      <c r="B41" s="1222"/>
      <c r="C41" s="1250" t="s">
        <v>564</v>
      </c>
      <c r="D41" s="1005"/>
      <c r="E41" s="1013"/>
      <c r="F41" s="983"/>
      <c r="H41" s="865"/>
      <c r="I41" s="911"/>
    </row>
    <row r="42" spans="1:11" s="148" customFormat="1" ht="15.75" customHeight="1" x14ac:dyDescent="0.25">
      <c r="A42" s="1477">
        <f>+A33</f>
        <v>45688</v>
      </c>
      <c r="B42" s="1041"/>
      <c r="C42" s="893">
        <v>6</v>
      </c>
      <c r="D42" s="1005"/>
      <c r="E42" s="988"/>
      <c r="F42" s="983"/>
      <c r="H42" s="865"/>
      <c r="I42" s="911"/>
    </row>
    <row r="43" spans="1:11" s="148" customFormat="1" ht="20.100000000000001" customHeight="1" x14ac:dyDescent="0.25">
      <c r="A43" s="1483"/>
      <c r="B43" s="853">
        <v>299</v>
      </c>
      <c r="C43" s="1288" t="s">
        <v>48</v>
      </c>
      <c r="D43" s="996"/>
      <c r="E43" s="1290">
        <f>SUM(D45:D46)</f>
        <v>9992.25</v>
      </c>
      <c r="F43" s="1291"/>
      <c r="H43" s="865"/>
      <c r="I43" s="911"/>
    </row>
    <row r="44" spans="1:11" s="148" customFormat="1" ht="20.100000000000001" customHeight="1" x14ac:dyDescent="0.25">
      <c r="A44" s="1483"/>
      <c r="B44" s="1041">
        <v>102</v>
      </c>
      <c r="C44" s="1289" t="s">
        <v>235</v>
      </c>
      <c r="D44" s="996"/>
      <c r="E44" s="1290"/>
      <c r="F44" s="1291">
        <f>SUM(D45:D46)</f>
        <v>9992.25</v>
      </c>
      <c r="H44" s="865"/>
      <c r="I44" s="911"/>
    </row>
    <row r="45" spans="1:11" s="148" customFormat="1" ht="20.100000000000001" customHeight="1" x14ac:dyDescent="0.25">
      <c r="A45" s="1483"/>
      <c r="B45" s="1487"/>
      <c r="C45" s="965" t="s">
        <v>468</v>
      </c>
      <c r="D45" s="996">
        <v>9755.02</v>
      </c>
      <c r="E45" s="1290"/>
      <c r="F45" s="1291"/>
      <c r="H45" s="865"/>
      <c r="I45" s="911"/>
    </row>
    <row r="46" spans="1:11" s="148" customFormat="1" ht="20.100000000000001" customHeight="1" x14ac:dyDescent="0.25">
      <c r="A46" s="1476"/>
      <c r="B46" s="1287"/>
      <c r="C46" s="965" t="s">
        <v>421</v>
      </c>
      <c r="D46" s="1268">
        <v>237.23</v>
      </c>
      <c r="E46" s="988"/>
      <c r="F46" s="983"/>
      <c r="H46" s="865"/>
      <c r="I46" s="911"/>
    </row>
    <row r="47" spans="1:11" s="148" customFormat="1" ht="48.75" customHeight="1" x14ac:dyDescent="0.25">
      <c r="A47" s="1483"/>
      <c r="B47" s="1231"/>
      <c r="C47" s="1296" t="s">
        <v>469</v>
      </c>
      <c r="D47" s="996"/>
      <c r="E47" s="988"/>
      <c r="F47" s="983"/>
      <c r="H47" s="865"/>
      <c r="I47" s="911"/>
    </row>
    <row r="48" spans="1:11" s="148" customFormat="1" ht="15.75" customHeight="1" x14ac:dyDescent="0.25">
      <c r="A48" s="1477">
        <f>+A42</f>
        <v>45688</v>
      </c>
      <c r="B48" s="970"/>
      <c r="C48" s="810">
        <v>7</v>
      </c>
      <c r="D48" s="971"/>
      <c r="E48" s="960"/>
      <c r="F48" s="971"/>
      <c r="H48" s="865"/>
      <c r="I48" s="911"/>
    </row>
    <row r="49" spans="1:16" s="148" customFormat="1" ht="20.100000000000001" customHeight="1" x14ac:dyDescent="0.25">
      <c r="A49" s="1479"/>
      <c r="B49" s="1292">
        <v>102</v>
      </c>
      <c r="C49" s="1283" t="s">
        <v>235</v>
      </c>
      <c r="D49" s="971"/>
      <c r="E49" s="1294">
        <f>+D50</f>
        <v>24.89</v>
      </c>
      <c r="F49" s="1295"/>
      <c r="H49" s="865"/>
      <c r="I49" s="911"/>
    </row>
    <row r="50" spans="1:16" s="148" customFormat="1" ht="20.100000000000001" customHeight="1" x14ac:dyDescent="0.25">
      <c r="A50" s="1479"/>
      <c r="B50" s="970"/>
      <c r="C50" s="1282" t="s">
        <v>432</v>
      </c>
      <c r="D50" s="1261">
        <v>24.89</v>
      </c>
      <c r="E50" s="1456"/>
      <c r="F50" s="1291"/>
      <c r="H50" s="865"/>
      <c r="I50" s="911"/>
    </row>
    <row r="51" spans="1:16" s="148" customFormat="1" ht="20.100000000000001" customHeight="1" x14ac:dyDescent="0.25">
      <c r="A51" s="1479"/>
      <c r="B51" s="1292">
        <v>102</v>
      </c>
      <c r="C51" s="1283" t="s">
        <v>235</v>
      </c>
      <c r="D51" s="1261"/>
      <c r="E51" s="720"/>
      <c r="F51" s="1291">
        <f>+D52</f>
        <v>24.89</v>
      </c>
      <c r="H51" s="865"/>
      <c r="I51" s="911"/>
    </row>
    <row r="52" spans="1:16" s="148" customFormat="1" ht="20.100000000000001" customHeight="1" x14ac:dyDescent="0.25">
      <c r="A52" s="1479"/>
      <c r="B52" s="970"/>
      <c r="C52" s="1282" t="s">
        <v>430</v>
      </c>
      <c r="D52" s="1261">
        <f>+D50</f>
        <v>24.89</v>
      </c>
      <c r="E52" s="960"/>
      <c r="F52" s="971"/>
      <c r="H52" s="865"/>
      <c r="I52" s="911"/>
    </row>
    <row r="53" spans="1:16" s="148" customFormat="1" ht="37.5" customHeight="1" x14ac:dyDescent="0.25">
      <c r="A53" s="1479"/>
      <c r="B53" s="970"/>
      <c r="C53" s="1293" t="s">
        <v>470</v>
      </c>
      <c r="D53" s="971"/>
      <c r="E53" s="960"/>
      <c r="F53" s="971"/>
      <c r="H53" s="865"/>
      <c r="I53" s="911"/>
    </row>
    <row r="54" spans="1:16" s="148" customFormat="1" ht="18" customHeight="1" x14ac:dyDescent="0.25">
      <c r="A54" s="1477">
        <f>+A48</f>
        <v>45688</v>
      </c>
      <c r="B54" s="970"/>
      <c r="C54" s="893">
        <v>8</v>
      </c>
      <c r="D54" s="971"/>
      <c r="E54" s="960"/>
      <c r="F54" s="971"/>
      <c r="H54" s="865"/>
      <c r="I54" s="911"/>
    </row>
    <row r="55" spans="1:16" s="148" customFormat="1" ht="20.100000000000001" customHeight="1" x14ac:dyDescent="0.25">
      <c r="A55" s="1484"/>
      <c r="B55" s="1292">
        <v>102</v>
      </c>
      <c r="C55" s="1283" t="s">
        <v>235</v>
      </c>
      <c r="D55" s="720"/>
      <c r="E55" s="1290">
        <f>SUM(D56:D56)</f>
        <v>112.49</v>
      </c>
      <c r="F55" s="1291"/>
      <c r="H55" s="865"/>
      <c r="I55" s="911"/>
    </row>
    <row r="56" spans="1:16" s="148" customFormat="1" ht="20.100000000000001" customHeight="1" x14ac:dyDescent="0.25">
      <c r="A56" s="1484"/>
      <c r="B56" s="962"/>
      <c r="C56" s="1297" t="s">
        <v>435</v>
      </c>
      <c r="D56" s="1268">
        <v>112.49</v>
      </c>
      <c r="E56" s="1290"/>
      <c r="F56" s="1291"/>
      <c r="H56" s="865"/>
      <c r="I56" s="911"/>
    </row>
    <row r="57" spans="1:16" s="148" customFormat="1" ht="20.100000000000001" customHeight="1" x14ac:dyDescent="0.25">
      <c r="A57" s="1484"/>
      <c r="B57" s="1292">
        <v>102</v>
      </c>
      <c r="C57" s="1283" t="s">
        <v>235</v>
      </c>
      <c r="D57" s="1268"/>
      <c r="E57" s="1290"/>
      <c r="F57" s="1291">
        <f>+D58</f>
        <v>112.49</v>
      </c>
      <c r="H57" s="865"/>
      <c r="I57" s="911"/>
    </row>
    <row r="58" spans="1:16" s="148" customFormat="1" ht="20.100000000000001" customHeight="1" x14ac:dyDescent="0.25">
      <c r="A58" s="1484"/>
      <c r="B58" s="962"/>
      <c r="C58" s="1282" t="s">
        <v>430</v>
      </c>
      <c r="D58" s="1268">
        <f>SUM(D56:D56)</f>
        <v>112.49</v>
      </c>
      <c r="E58" s="988"/>
      <c r="F58" s="983"/>
      <c r="H58" s="865"/>
      <c r="I58" s="911"/>
    </row>
    <row r="59" spans="1:16" s="148" customFormat="1" ht="36" customHeight="1" thickBot="1" x14ac:dyDescent="0.3">
      <c r="A59" s="1484"/>
      <c r="B59" s="962"/>
      <c r="C59" s="1293" t="s">
        <v>493</v>
      </c>
      <c r="D59" s="1223"/>
      <c r="E59" s="988"/>
      <c r="F59" s="983"/>
      <c r="H59" s="865"/>
      <c r="I59" s="911"/>
    </row>
    <row r="60" spans="1:16" s="566" customFormat="1" ht="15.75" hidden="1" customHeight="1" x14ac:dyDescent="0.25">
      <c r="A60" s="834"/>
      <c r="B60" s="854"/>
      <c r="C60" s="965"/>
      <c r="D60" s="995"/>
      <c r="E60" s="989"/>
      <c r="F60" s="990"/>
      <c r="H60" s="149"/>
      <c r="I60" s="144"/>
      <c r="J60" s="144"/>
      <c r="K60" s="141"/>
      <c r="L60" s="148"/>
      <c r="M60" s="149">
        <v>61.01</v>
      </c>
      <c r="N60" s="148"/>
      <c r="O60" s="148"/>
      <c r="P60" s="144" t="e">
        <f>+#REF!-#REF!</f>
        <v>#REF!</v>
      </c>
    </row>
    <row r="61" spans="1:16" s="566" customFormat="1" ht="18.75" hidden="1" customHeight="1" thickBot="1" x14ac:dyDescent="0.3">
      <c r="A61" s="833"/>
      <c r="B61" s="854"/>
      <c r="C61" s="965"/>
      <c r="D61" s="995"/>
      <c r="E61" s="989"/>
      <c r="F61" s="990"/>
      <c r="H61" s="149"/>
      <c r="I61" s="144"/>
      <c r="J61" s="144"/>
      <c r="K61" s="144"/>
      <c r="L61" s="141"/>
      <c r="M61" s="149">
        <v>0</v>
      </c>
      <c r="N61" s="148"/>
      <c r="O61" s="148"/>
    </row>
    <row r="62" spans="1:16" ht="22.5" customHeight="1" thickBot="1" x14ac:dyDescent="0.3">
      <c r="A62" s="1711" t="s">
        <v>160</v>
      </c>
      <c r="B62" s="1712"/>
      <c r="C62" s="1712"/>
      <c r="D62" s="1755"/>
      <c r="E62" s="912">
        <f>SUM(E7:E61)</f>
        <v>52134847.369999997</v>
      </c>
      <c r="F62" s="913">
        <f>SUM(F7:F61)</f>
        <v>52134847.369999997</v>
      </c>
      <c r="G62" s="144"/>
      <c r="J62" s="144"/>
      <c r="K62" s="144"/>
    </row>
    <row r="63" spans="1:16" ht="4.5" customHeight="1" thickBot="1" x14ac:dyDescent="0.3">
      <c r="A63" s="617"/>
      <c r="B63" s="610"/>
      <c r="C63" s="610"/>
      <c r="D63" s="610"/>
      <c r="E63" s="544"/>
      <c r="F63" s="618"/>
    </row>
    <row r="64" spans="1:16" ht="19.5" customHeight="1" thickBot="1" x14ac:dyDescent="0.3">
      <c r="A64" s="1719" t="s">
        <v>163</v>
      </c>
      <c r="B64" s="1720"/>
      <c r="C64" s="1721"/>
      <c r="D64" s="1719" t="s">
        <v>84</v>
      </c>
      <c r="E64" s="1720"/>
      <c r="F64" s="1721"/>
    </row>
    <row r="65" spans="1:8" ht="59.25" customHeight="1" thickBot="1" x14ac:dyDescent="0.3">
      <c r="A65" s="1716"/>
      <c r="B65" s="1717"/>
      <c r="C65" s="1718"/>
      <c r="D65" s="1716"/>
      <c r="E65" s="1717"/>
      <c r="F65" s="1718"/>
    </row>
    <row r="66" spans="1:8" ht="21.75" customHeight="1" thickBot="1" x14ac:dyDescent="0.3">
      <c r="A66" s="1719" t="s">
        <v>273</v>
      </c>
      <c r="B66" s="1720"/>
      <c r="C66" s="1721"/>
      <c r="D66" s="1719" t="s">
        <v>227</v>
      </c>
      <c r="E66" s="1720"/>
      <c r="F66" s="1721"/>
    </row>
    <row r="67" spans="1:8" ht="21" customHeight="1" thickBot="1" x14ac:dyDescent="0.3">
      <c r="A67" s="1719" t="s">
        <v>272</v>
      </c>
      <c r="B67" s="1720"/>
      <c r="C67" s="1721"/>
      <c r="D67" s="1719" t="s">
        <v>337</v>
      </c>
      <c r="E67" s="1720"/>
      <c r="F67" s="1721"/>
    </row>
    <row r="68" spans="1:8" ht="23.25" customHeight="1" thickBot="1" x14ac:dyDescent="0.3">
      <c r="A68" s="1724" t="s">
        <v>157</v>
      </c>
      <c r="B68" s="1725"/>
      <c r="C68" s="1725"/>
      <c r="D68" s="1726" t="s">
        <v>1</v>
      </c>
      <c r="E68" s="1727"/>
      <c r="F68" s="1728"/>
    </row>
    <row r="69" spans="1:8" ht="17.25" customHeight="1" thickBot="1" x14ac:dyDescent="0.3">
      <c r="A69" s="1729" t="s">
        <v>158</v>
      </c>
      <c r="B69" s="1730"/>
      <c r="C69" s="1730"/>
      <c r="D69" s="533" t="s">
        <v>3</v>
      </c>
      <c r="E69" s="534" t="s">
        <v>298</v>
      </c>
      <c r="F69" s="535" t="s">
        <v>5</v>
      </c>
      <c r="G69" s="148"/>
      <c r="H69" s="148"/>
    </row>
    <row r="70" spans="1:8" ht="24.75" customHeight="1" thickBot="1" x14ac:dyDescent="0.3">
      <c r="A70" s="1731" t="s">
        <v>161</v>
      </c>
      <c r="B70" s="1732"/>
      <c r="C70" s="1732"/>
      <c r="D70" s="533" t="s">
        <v>6</v>
      </c>
      <c r="E70" s="536" t="s">
        <v>419</v>
      </c>
      <c r="F70" s="537">
        <f>+F3</f>
        <v>45688</v>
      </c>
      <c r="G70" s="144"/>
      <c r="H70" s="149"/>
    </row>
    <row r="71" spans="1:8" ht="21.75" customHeight="1" thickBot="1" x14ac:dyDescent="0.3">
      <c r="A71" s="538" t="s">
        <v>5</v>
      </c>
      <c r="B71" s="1645" t="s">
        <v>296</v>
      </c>
      <c r="C71" s="1733" t="s">
        <v>289</v>
      </c>
      <c r="D71" s="1735" t="s">
        <v>159</v>
      </c>
      <c r="E71" s="1638" t="s">
        <v>9</v>
      </c>
      <c r="F71" s="1640"/>
      <c r="G71" s="144"/>
    </row>
    <row r="72" spans="1:8" ht="20.25" customHeight="1" thickBot="1" x14ac:dyDescent="0.3">
      <c r="A72" s="1507">
        <v>45688</v>
      </c>
      <c r="B72" s="1646"/>
      <c r="C72" s="1649"/>
      <c r="D72" s="1736"/>
      <c r="E72" s="1645" t="s">
        <v>10</v>
      </c>
      <c r="F72" s="1654" t="s">
        <v>11</v>
      </c>
    </row>
    <row r="73" spans="1:8" s="148" customFormat="1" ht="20.25" customHeight="1" thickBot="1" x14ac:dyDescent="0.3">
      <c r="A73" s="836" t="s">
        <v>297</v>
      </c>
      <c r="B73" s="1738"/>
      <c r="C73" s="1734"/>
      <c r="D73" s="1737"/>
      <c r="E73" s="1738"/>
      <c r="F73" s="1748"/>
    </row>
    <row r="74" spans="1:8" s="148" customFormat="1" ht="16.5" customHeight="1" x14ac:dyDescent="0.25">
      <c r="A74" s="1477">
        <f>+A72</f>
        <v>45688</v>
      </c>
      <c r="B74" s="951"/>
      <c r="C74" s="1511">
        <v>9</v>
      </c>
      <c r="D74" s="1228"/>
      <c r="E74" s="1229"/>
      <c r="F74" s="1003"/>
    </row>
    <row r="75" spans="1:8" s="148" customFormat="1" ht="18.95" customHeight="1" x14ac:dyDescent="0.25">
      <c r="A75" s="1494"/>
      <c r="B75" s="1041">
        <v>300</v>
      </c>
      <c r="C75" s="1405" t="s">
        <v>51</v>
      </c>
      <c r="D75" s="1498"/>
      <c r="E75" s="1395">
        <f>SUM(D76:D82)</f>
        <v>3692138.01</v>
      </c>
      <c r="F75" s="1395"/>
    </row>
    <row r="76" spans="1:8" s="148" customFormat="1" ht="18.95" customHeight="1" x14ac:dyDescent="0.25">
      <c r="A76" s="1494"/>
      <c r="B76" s="1222" t="s">
        <v>53</v>
      </c>
      <c r="C76" s="1282" t="s">
        <v>237</v>
      </c>
      <c r="D76" s="1004">
        <f>+ENERO!M33</f>
        <v>1171877.22</v>
      </c>
      <c r="E76" s="1500"/>
      <c r="F76" s="1501"/>
    </row>
    <row r="77" spans="1:8" s="148" customFormat="1" ht="18.95" customHeight="1" x14ac:dyDescent="0.25">
      <c r="A77" s="1494"/>
      <c r="B77" s="1222" t="s">
        <v>55</v>
      </c>
      <c r="C77" s="1282" t="s">
        <v>243</v>
      </c>
      <c r="D77" s="1004">
        <f>+ENERO!M34</f>
        <v>2019343.05</v>
      </c>
      <c r="E77" s="1402"/>
      <c r="F77" s="1500"/>
    </row>
    <row r="78" spans="1:8" s="148" customFormat="1" ht="18.95" customHeight="1" x14ac:dyDescent="0.25">
      <c r="A78" s="1494"/>
      <c r="B78" s="1222" t="s">
        <v>57</v>
      </c>
      <c r="C78" s="1282" t="s">
        <v>244</v>
      </c>
      <c r="D78" s="1004">
        <f>+ENERO!M35</f>
        <v>234346.27</v>
      </c>
      <c r="E78" s="1392"/>
      <c r="F78" s="1397"/>
    </row>
    <row r="79" spans="1:8" s="148" customFormat="1" ht="18.95" customHeight="1" x14ac:dyDescent="0.25">
      <c r="A79" s="1494"/>
      <c r="B79" s="1222" t="s">
        <v>59</v>
      </c>
      <c r="C79" s="1282" t="s">
        <v>65</v>
      </c>
      <c r="D79" s="1004">
        <f>+ENERO!M36</f>
        <v>266571.46999999997</v>
      </c>
      <c r="E79" s="1398"/>
      <c r="F79" s="1395"/>
    </row>
    <row r="80" spans="1:8" s="148" customFormat="1" ht="18.95" customHeight="1" x14ac:dyDescent="0.25">
      <c r="A80" s="1476"/>
      <c r="B80" s="1222" t="s">
        <v>61</v>
      </c>
      <c r="C80" s="1282" t="s">
        <v>62</v>
      </c>
      <c r="D80" s="1004">
        <f>+ENERO!M37</f>
        <v>0</v>
      </c>
      <c r="E80" s="1398"/>
      <c r="F80" s="1395"/>
    </row>
    <row r="81" spans="1:15" s="148" customFormat="1" ht="18.95" customHeight="1" x14ac:dyDescent="0.25">
      <c r="A81" s="1476"/>
      <c r="B81" s="1222" t="s">
        <v>448</v>
      </c>
      <c r="C81" s="1282" t="str">
        <f>+C89</f>
        <v>OTROS GASTOS</v>
      </c>
      <c r="D81" s="1004">
        <f>+ENERO!M38</f>
        <v>0</v>
      </c>
      <c r="E81" s="1398"/>
      <c r="F81" s="1395"/>
    </row>
    <row r="82" spans="1:15" s="148" customFormat="1" ht="18.95" customHeight="1" x14ac:dyDescent="0.25">
      <c r="A82" s="1495"/>
      <c r="B82" s="1222" t="s">
        <v>63</v>
      </c>
      <c r="C82" s="1282" t="s">
        <v>245</v>
      </c>
      <c r="D82" s="1004">
        <f>+ENERO!M39</f>
        <v>0</v>
      </c>
      <c r="E82" s="1398"/>
      <c r="F82" s="1395"/>
    </row>
    <row r="83" spans="1:15" s="148" customFormat="1" ht="18.95" customHeight="1" x14ac:dyDescent="0.25">
      <c r="A83" s="1495"/>
      <c r="B83" s="1041">
        <v>103</v>
      </c>
      <c r="C83" s="1280" t="s">
        <v>69</v>
      </c>
      <c r="D83" s="1499"/>
      <c r="E83" s="1398"/>
      <c r="F83" s="1395">
        <f>SUM(D84:D90)</f>
        <v>3692138.01</v>
      </c>
    </row>
    <row r="84" spans="1:15" s="148" customFormat="1" ht="18.95" customHeight="1" x14ac:dyDescent="0.25">
      <c r="A84" s="1495"/>
      <c r="B84" s="1222" t="s">
        <v>53</v>
      </c>
      <c r="C84" s="1282" t="s">
        <v>237</v>
      </c>
      <c r="D84" s="1499">
        <f>+ENERO!M33</f>
        <v>1171877.22</v>
      </c>
      <c r="E84" s="1398"/>
      <c r="F84" s="1395"/>
    </row>
    <row r="85" spans="1:15" s="148" customFormat="1" ht="18.95" customHeight="1" x14ac:dyDescent="0.25">
      <c r="A85" s="1495"/>
      <c r="B85" s="1222" t="s">
        <v>55</v>
      </c>
      <c r="C85" s="1282" t="s">
        <v>243</v>
      </c>
      <c r="D85" s="1499">
        <f>+ENERO!M34</f>
        <v>2019343.05</v>
      </c>
      <c r="E85" s="1398"/>
      <c r="F85" s="1395"/>
    </row>
    <row r="86" spans="1:15" s="148" customFormat="1" ht="18.95" customHeight="1" x14ac:dyDescent="0.25">
      <c r="A86" s="1476"/>
      <c r="B86" s="1222" t="s">
        <v>57</v>
      </c>
      <c r="C86" s="1282" t="s">
        <v>244</v>
      </c>
      <c r="D86" s="1499">
        <f>+ENERO!M35</f>
        <v>234346.27</v>
      </c>
      <c r="E86" s="1398"/>
      <c r="F86" s="1397"/>
    </row>
    <row r="87" spans="1:15" s="148" customFormat="1" ht="18.95" customHeight="1" x14ac:dyDescent="0.25">
      <c r="A87" s="1491"/>
      <c r="B87" s="1222" t="s">
        <v>59</v>
      </c>
      <c r="C87" s="1282" t="s">
        <v>65</v>
      </c>
      <c r="D87" s="1499">
        <f>+ENERO!M36</f>
        <v>266571.46999999997</v>
      </c>
      <c r="E87" s="1399"/>
      <c r="F87" s="1502"/>
    </row>
    <row r="88" spans="1:15" s="148" customFormat="1" ht="18.95" customHeight="1" x14ac:dyDescent="0.25">
      <c r="A88" s="1491"/>
      <c r="B88" s="1222" t="s">
        <v>61</v>
      </c>
      <c r="C88" s="1282" t="s">
        <v>62</v>
      </c>
      <c r="D88" s="1499">
        <f>+ENERO!M37</f>
        <v>0</v>
      </c>
      <c r="E88" s="1503"/>
      <c r="F88" s="1502"/>
      <c r="G88" s="149"/>
    </row>
    <row r="89" spans="1:15" s="148" customFormat="1" ht="18.95" customHeight="1" x14ac:dyDescent="0.25">
      <c r="A89" s="1491"/>
      <c r="B89" s="1222" t="s">
        <v>448</v>
      </c>
      <c r="C89" s="1282" t="str">
        <f>+ENERO!B38</f>
        <v>OTROS GASTOS</v>
      </c>
      <c r="D89" s="1499">
        <f>+ENERO!M38</f>
        <v>0</v>
      </c>
      <c r="E89" s="1503"/>
      <c r="F89" s="1502"/>
      <c r="G89" s="149"/>
    </row>
    <row r="90" spans="1:15" s="148" customFormat="1" ht="18.95" customHeight="1" x14ac:dyDescent="0.25">
      <c r="A90" s="1496"/>
      <c r="B90" s="1222" t="s">
        <v>63</v>
      </c>
      <c r="C90" s="1282" t="s">
        <v>245</v>
      </c>
      <c r="D90" s="1499">
        <f>+ENERO!M39</f>
        <v>0</v>
      </c>
      <c r="E90" s="1399"/>
      <c r="F90" s="1502"/>
    </row>
    <row r="91" spans="1:15" s="148" customFormat="1" ht="22.5" customHeight="1" x14ac:dyDescent="0.25">
      <c r="A91" s="1491"/>
      <c r="B91" s="1224"/>
      <c r="C91" s="1237" t="s">
        <v>246</v>
      </c>
      <c r="D91" s="1004"/>
      <c r="E91" s="1399"/>
      <c r="F91" s="1400"/>
    </row>
    <row r="92" spans="1:15" s="148" customFormat="1" ht="17.25" customHeight="1" x14ac:dyDescent="0.25">
      <c r="A92" s="1491">
        <f>+A74</f>
        <v>45688</v>
      </c>
      <c r="B92" s="1041"/>
      <c r="C92" s="1512">
        <v>10</v>
      </c>
      <c r="D92" s="1004"/>
      <c r="E92" s="1399"/>
      <c r="F92" s="1502"/>
    </row>
    <row r="93" spans="1:15" s="148" customFormat="1" ht="18.95" customHeight="1" x14ac:dyDescent="0.25">
      <c r="A93" s="835"/>
      <c r="B93" s="1041">
        <v>103</v>
      </c>
      <c r="C93" s="1280" t="s">
        <v>69</v>
      </c>
      <c r="D93" s="1396"/>
      <c r="E93" s="1503">
        <f>SUM(D94:D100)</f>
        <v>2520260.79</v>
      </c>
      <c r="F93" s="1502"/>
    </row>
    <row r="94" spans="1:15" s="148" customFormat="1" ht="18.95" customHeight="1" x14ac:dyDescent="0.25">
      <c r="A94" s="835"/>
      <c r="B94" s="1222" t="s">
        <v>53</v>
      </c>
      <c r="C94" s="1282" t="s">
        <v>237</v>
      </c>
      <c r="D94" s="1396">
        <f>+ENERO!N33</f>
        <v>0</v>
      </c>
      <c r="E94" s="1503"/>
      <c r="F94" s="1502"/>
    </row>
    <row r="95" spans="1:15" s="148" customFormat="1" ht="18.95" customHeight="1" x14ac:dyDescent="0.25">
      <c r="A95" s="835"/>
      <c r="B95" s="1222" t="s">
        <v>55</v>
      </c>
      <c r="C95" s="1282" t="s">
        <v>243</v>
      </c>
      <c r="D95" s="1396">
        <f>+ENERO!N34</f>
        <v>2019343.05</v>
      </c>
      <c r="E95" s="1399"/>
      <c r="F95" s="1502"/>
      <c r="L95" s="145"/>
      <c r="M95" s="145"/>
      <c r="N95" s="145"/>
      <c r="O95" s="145"/>
    </row>
    <row r="96" spans="1:15" s="148" customFormat="1" ht="18.95" customHeight="1" x14ac:dyDescent="0.25">
      <c r="A96" s="835"/>
      <c r="B96" s="1222" t="s">
        <v>57</v>
      </c>
      <c r="C96" s="1282" t="s">
        <v>244</v>
      </c>
      <c r="D96" s="1396">
        <f>+ENERO!N35</f>
        <v>234346.27</v>
      </c>
      <c r="E96" s="1399"/>
      <c r="F96" s="1502"/>
      <c r="L96" s="145"/>
      <c r="M96" s="1251"/>
      <c r="N96" s="1123"/>
      <c r="O96" s="1253"/>
    </row>
    <row r="97" spans="1:15" s="148" customFormat="1" ht="18.95" customHeight="1" x14ac:dyDescent="0.25">
      <c r="A97" s="835"/>
      <c r="B97" s="1222" t="s">
        <v>59</v>
      </c>
      <c r="C97" s="1282" t="s">
        <v>65</v>
      </c>
      <c r="D97" s="1396">
        <f>+ENERO!N36</f>
        <v>266571.46999999997</v>
      </c>
      <c r="E97" s="1399"/>
      <c r="F97" s="1400"/>
      <c r="L97" s="145"/>
      <c r="M97" s="1150"/>
      <c r="N97" s="1126"/>
      <c r="O97" s="1253"/>
    </row>
    <row r="98" spans="1:15" s="148" customFormat="1" ht="18.95" customHeight="1" x14ac:dyDescent="0.25">
      <c r="A98" s="852"/>
      <c r="B98" s="1222" t="s">
        <v>61</v>
      </c>
      <c r="C98" s="1282" t="s">
        <v>62</v>
      </c>
      <c r="D98" s="1396">
        <f>+ENERO!N37</f>
        <v>0</v>
      </c>
      <c r="E98" s="1399"/>
      <c r="F98" s="1502"/>
      <c r="L98" s="145"/>
      <c r="M98" s="1150"/>
      <c r="N98" s="1126"/>
      <c r="O98" s="1254"/>
    </row>
    <row r="99" spans="1:15" s="148" customFormat="1" ht="18.95" customHeight="1" x14ac:dyDescent="0.25">
      <c r="A99" s="961"/>
      <c r="B99" s="1222" t="s">
        <v>448</v>
      </c>
      <c r="C99" s="1282" t="str">
        <f>+C107</f>
        <v>OTROS GASTOS</v>
      </c>
      <c r="D99" s="1396">
        <f>+ENERO!N38</f>
        <v>0</v>
      </c>
      <c r="E99" s="1399"/>
      <c r="F99" s="1502"/>
      <c r="L99" s="145"/>
      <c r="M99" s="1150"/>
      <c r="N99" s="1126"/>
      <c r="O99" s="1254"/>
    </row>
    <row r="100" spans="1:15" s="148" customFormat="1" ht="18.95" customHeight="1" x14ac:dyDescent="0.25">
      <c r="A100" s="832"/>
      <c r="B100" s="1222" t="s">
        <v>63</v>
      </c>
      <c r="C100" s="1282" t="s">
        <v>245</v>
      </c>
      <c r="D100" s="1396">
        <f>+ENERO!N39</f>
        <v>0</v>
      </c>
      <c r="E100" s="1399"/>
      <c r="F100" s="1502"/>
      <c r="L100" s="145"/>
      <c r="M100" s="1150"/>
      <c r="N100" s="1126"/>
      <c r="O100" s="1254"/>
    </row>
    <row r="101" spans="1:15" s="148" customFormat="1" ht="18.95" customHeight="1" x14ac:dyDescent="0.25">
      <c r="A101" s="852"/>
      <c r="B101" s="1041">
        <v>101</v>
      </c>
      <c r="C101" s="1280" t="s">
        <v>70</v>
      </c>
      <c r="D101" s="1396"/>
      <c r="E101" s="1399"/>
      <c r="F101" s="1400">
        <f>SUM(D102:D108)</f>
        <v>2520260.79</v>
      </c>
      <c r="H101" s="837"/>
      <c r="I101" s="149"/>
      <c r="J101" s="149"/>
      <c r="K101" s="838"/>
      <c r="O101" s="1254"/>
    </row>
    <row r="102" spans="1:15" s="148" customFormat="1" ht="18.95" customHeight="1" x14ac:dyDescent="0.25">
      <c r="A102" s="852"/>
      <c r="B102" s="1222" t="s">
        <v>53</v>
      </c>
      <c r="C102" s="1282" t="s">
        <v>237</v>
      </c>
      <c r="D102" s="1396">
        <f>+ENERO!N33</f>
        <v>0</v>
      </c>
      <c r="E102" s="1503"/>
      <c r="F102" s="1502"/>
      <c r="H102" s="149"/>
      <c r="I102" s="149"/>
      <c r="J102" s="149"/>
      <c r="K102" s="149"/>
      <c r="O102" s="1253"/>
    </row>
    <row r="103" spans="1:15" s="148" customFormat="1" ht="18.95" customHeight="1" x14ac:dyDescent="0.25">
      <c r="A103" s="852"/>
      <c r="B103" s="1222" t="s">
        <v>55</v>
      </c>
      <c r="C103" s="1282" t="s">
        <v>243</v>
      </c>
      <c r="D103" s="1396">
        <f>+ENERO!N34</f>
        <v>2019343.05</v>
      </c>
      <c r="E103" s="1399"/>
      <c r="F103" s="1502"/>
      <c r="G103" s="149"/>
      <c r="O103" s="1252"/>
    </row>
    <row r="104" spans="1:15" s="148" customFormat="1" ht="18.95" customHeight="1" x14ac:dyDescent="0.25">
      <c r="A104" s="958"/>
      <c r="B104" s="1222" t="s">
        <v>57</v>
      </c>
      <c r="C104" s="1282" t="s">
        <v>244</v>
      </c>
      <c r="D104" s="1396">
        <f>+ENERO!N35</f>
        <v>234346.27</v>
      </c>
      <c r="E104" s="1399"/>
      <c r="F104" s="1400"/>
      <c r="G104" s="149"/>
      <c r="J104" s="144"/>
      <c r="K104" s="141"/>
      <c r="L104" s="967"/>
      <c r="M104" s="967"/>
      <c r="O104" s="1252"/>
    </row>
    <row r="105" spans="1:15" s="148" customFormat="1" ht="18.95" customHeight="1" x14ac:dyDescent="0.25">
      <c r="A105" s="832"/>
      <c r="B105" s="1222" t="s">
        <v>59</v>
      </c>
      <c r="C105" s="1282" t="s">
        <v>65</v>
      </c>
      <c r="D105" s="1396">
        <f>+ENERO!N36</f>
        <v>266571.46999999997</v>
      </c>
      <c r="E105" s="1399"/>
      <c r="F105" s="1502"/>
      <c r="G105" s="149"/>
      <c r="H105" s="880"/>
      <c r="I105" s="1256"/>
      <c r="J105" s="879"/>
      <c r="K105" s="141"/>
      <c r="M105" s="149"/>
      <c r="O105" s="1255"/>
    </row>
    <row r="106" spans="1:15" s="148" customFormat="1" ht="18.95" customHeight="1" x14ac:dyDescent="0.25">
      <c r="A106" s="852"/>
      <c r="B106" s="1222" t="s">
        <v>61</v>
      </c>
      <c r="C106" s="1282" t="s">
        <v>62</v>
      </c>
      <c r="D106" s="1396">
        <f>+ENERO!N37</f>
        <v>0</v>
      </c>
      <c r="E106" s="1399"/>
      <c r="F106" s="1502"/>
      <c r="L106" s="141"/>
      <c r="M106" s="149"/>
      <c r="O106" s="1252"/>
    </row>
    <row r="107" spans="1:15" s="148" customFormat="1" ht="18.95" customHeight="1" x14ac:dyDescent="0.25">
      <c r="A107" s="852"/>
      <c r="B107" s="1222" t="s">
        <v>448</v>
      </c>
      <c r="C107" s="1282" t="str">
        <f>+ENERO!B38</f>
        <v>OTROS GASTOS</v>
      </c>
      <c r="D107" s="1396">
        <f>+ENERO!N38</f>
        <v>0</v>
      </c>
      <c r="E107" s="1399"/>
      <c r="F107" s="1502"/>
      <c r="I107" s="148">
        <f>551.58-237.23</f>
        <v>314.35000000000002</v>
      </c>
      <c r="L107" s="141"/>
      <c r="M107" s="149"/>
      <c r="O107" s="1458"/>
    </row>
    <row r="108" spans="1:15" s="148" customFormat="1" ht="18.95" customHeight="1" x14ac:dyDescent="0.25">
      <c r="A108" s="852"/>
      <c r="B108" s="1222" t="s">
        <v>63</v>
      </c>
      <c r="C108" s="1282" t="s">
        <v>245</v>
      </c>
      <c r="D108" s="1396">
        <f>+ENERO!N39</f>
        <v>0</v>
      </c>
      <c r="E108" s="1399"/>
      <c r="F108" s="1502"/>
      <c r="I108" s="149"/>
      <c r="J108" s="149"/>
      <c r="M108" s="149"/>
      <c r="O108" s="1255"/>
    </row>
    <row r="109" spans="1:15" s="148" customFormat="1" ht="52.5" customHeight="1" x14ac:dyDescent="0.25">
      <c r="A109" s="852"/>
      <c r="B109" s="1225"/>
      <c r="C109" s="1489" t="s">
        <v>472</v>
      </c>
      <c r="D109" s="1396"/>
      <c r="E109" s="1503"/>
      <c r="F109" s="1502"/>
      <c r="H109" s="141"/>
      <c r="I109" s="141"/>
      <c r="J109" s="141"/>
      <c r="K109" s="144"/>
      <c r="L109" s="141"/>
      <c r="M109" s="149"/>
      <c r="O109" s="1252"/>
    </row>
    <row r="110" spans="1:15" s="148" customFormat="1" ht="18.75" customHeight="1" x14ac:dyDescent="0.25">
      <c r="A110" s="1491">
        <f>+A92</f>
        <v>45688</v>
      </c>
      <c r="B110" s="853"/>
      <c r="C110" s="1512">
        <v>11</v>
      </c>
      <c r="D110" s="1396"/>
      <c r="E110" s="1399"/>
      <c r="F110" s="1502"/>
      <c r="G110" s="149"/>
      <c r="I110" s="149"/>
      <c r="J110" s="149">
        <f>+E117-F125</f>
        <v>0</v>
      </c>
      <c r="L110" s="141"/>
      <c r="M110" s="149"/>
    </row>
    <row r="111" spans="1:15" s="148" customFormat="1" ht="20.100000000000001" customHeight="1" x14ac:dyDescent="0.25">
      <c r="A111" s="1492"/>
      <c r="B111" s="1017">
        <v>101</v>
      </c>
      <c r="C111" s="1280" t="s">
        <v>70</v>
      </c>
      <c r="D111" s="1396"/>
      <c r="E111" s="1503">
        <f>+D112</f>
        <v>551.57999999728054</v>
      </c>
      <c r="F111" s="1502"/>
      <c r="G111" s="149"/>
      <c r="H111" s="141"/>
      <c r="I111" s="144"/>
      <c r="J111" s="141"/>
      <c r="K111" s="141"/>
      <c r="L111" s="141"/>
      <c r="M111" s="149"/>
    </row>
    <row r="112" spans="1:15" s="148" customFormat="1" ht="20.100000000000001" customHeight="1" x14ac:dyDescent="0.25">
      <c r="A112" s="1492"/>
      <c r="B112" s="1403" t="s">
        <v>57</v>
      </c>
      <c r="C112" s="1282" t="s">
        <v>244</v>
      </c>
      <c r="D112" s="1396">
        <v>551.57999999728054</v>
      </c>
      <c r="E112" s="1399"/>
      <c r="F112" s="1502"/>
      <c r="G112" s="149"/>
      <c r="H112" s="141"/>
      <c r="I112" s="144">
        <f>I115-I119</f>
        <v>-445.39999999990687</v>
      </c>
      <c r="J112" s="141"/>
      <c r="K112" s="141"/>
      <c r="L112" s="141"/>
      <c r="M112" s="149"/>
    </row>
    <row r="113" spans="1:14" s="148" customFormat="1" ht="20.100000000000001" customHeight="1" x14ac:dyDescent="0.25">
      <c r="A113" s="1492"/>
      <c r="B113" s="1017">
        <v>102</v>
      </c>
      <c r="C113" s="1280" t="s">
        <v>15</v>
      </c>
      <c r="D113" s="1396"/>
      <c r="E113" s="1399"/>
      <c r="F113" s="1400">
        <f>+D114</f>
        <v>551.57999999728054</v>
      </c>
      <c r="G113" s="149"/>
      <c r="H113" s="149"/>
      <c r="I113" s="149"/>
      <c r="K113" s="149"/>
      <c r="L113" s="149"/>
      <c r="M113" s="149"/>
    </row>
    <row r="114" spans="1:14" s="148" customFormat="1" ht="20.100000000000001" customHeight="1" x14ac:dyDescent="0.25">
      <c r="A114" s="1492"/>
      <c r="B114" s="1292"/>
      <c r="C114" s="1282" t="s">
        <v>442</v>
      </c>
      <c r="D114" s="1396">
        <f>+D112</f>
        <v>551.57999999728054</v>
      </c>
      <c r="E114" s="1399"/>
      <c r="F114" s="1502"/>
      <c r="G114" s="149"/>
      <c r="H114" s="148" t="s">
        <v>316</v>
      </c>
      <c r="I114" s="149">
        <f>+D118</f>
        <v>0</v>
      </c>
      <c r="J114" s="149">
        <f>+D126</f>
        <v>-7.9936057773011271E-13</v>
      </c>
      <c r="K114" s="149">
        <f>+I114-J114</f>
        <v>7.9936057773011271E-13</v>
      </c>
      <c r="L114" s="149"/>
      <c r="M114" s="149"/>
    </row>
    <row r="115" spans="1:14" s="148" customFormat="1" ht="22.5" customHeight="1" x14ac:dyDescent="0.25">
      <c r="A115" s="1492"/>
      <c r="B115" s="1292"/>
      <c r="C115" s="1497" t="s">
        <v>474</v>
      </c>
      <c r="D115" s="1396"/>
      <c r="E115" s="1399"/>
      <c r="F115" s="1502"/>
      <c r="G115" s="149"/>
      <c r="H115" s="149"/>
      <c r="I115" s="149">
        <f>SUM(D119:D124)</f>
        <v>2520260.79</v>
      </c>
      <c r="J115" s="149">
        <f>SUM(D127:D129)</f>
        <v>2520260.7899999996</v>
      </c>
      <c r="K115" s="149">
        <f>+J115-I115</f>
        <v>0</v>
      </c>
      <c r="L115" s="149"/>
      <c r="M115" s="149"/>
    </row>
    <row r="116" spans="1:14" s="148" customFormat="1" ht="18.75" customHeight="1" x14ac:dyDescent="0.25">
      <c r="A116" s="1492">
        <f>+A110</f>
        <v>45688</v>
      </c>
      <c r="B116" s="1292"/>
      <c r="C116" s="1512">
        <v>12</v>
      </c>
      <c r="D116" s="1396"/>
      <c r="E116" s="1399"/>
      <c r="F116" s="1502"/>
      <c r="G116" s="149"/>
      <c r="H116" s="149"/>
      <c r="I116" s="149"/>
      <c r="K116" s="149"/>
      <c r="L116" s="149"/>
      <c r="M116" s="141"/>
    </row>
    <row r="117" spans="1:14" s="148" customFormat="1" ht="18.95" customHeight="1" x14ac:dyDescent="0.25">
      <c r="A117" s="1493"/>
      <c r="B117" s="1017">
        <v>101</v>
      </c>
      <c r="C117" s="1280" t="s">
        <v>70</v>
      </c>
      <c r="D117" s="1396"/>
      <c r="E117" s="1503">
        <f>SUM(D118:D124)</f>
        <v>2520260.79</v>
      </c>
      <c r="F117" s="1400"/>
      <c r="G117" s="149"/>
      <c r="K117" s="149" t="s">
        <v>322</v>
      </c>
      <c r="L117" s="149"/>
      <c r="M117" s="149"/>
    </row>
    <row r="118" spans="1:14" s="148" customFormat="1" ht="18.95" customHeight="1" x14ac:dyDescent="0.25">
      <c r="A118" s="1493"/>
      <c r="B118" s="1403" t="s">
        <v>53</v>
      </c>
      <c r="C118" s="1282" t="s">
        <v>237</v>
      </c>
      <c r="D118" s="1396">
        <f>+ENERO!O33</f>
        <v>0</v>
      </c>
      <c r="E118" s="1399"/>
      <c r="F118" s="1502"/>
      <c r="G118" s="149"/>
      <c r="H118" s="1508">
        <v>6328</v>
      </c>
      <c r="I118" s="1508">
        <v>5007</v>
      </c>
      <c r="K118" s="148">
        <v>116</v>
      </c>
      <c r="L118" s="149">
        <v>1</v>
      </c>
      <c r="M118" s="149"/>
    </row>
    <row r="119" spans="1:14" s="148" customFormat="1" ht="18.95" customHeight="1" x14ac:dyDescent="0.25">
      <c r="A119" s="832"/>
      <c r="B119" s="1403" t="s">
        <v>55</v>
      </c>
      <c r="C119" s="1282" t="s">
        <v>243</v>
      </c>
      <c r="D119" s="1396">
        <f>+ENERO!O34</f>
        <v>2019343.05</v>
      </c>
      <c r="E119" s="1399"/>
      <c r="F119" s="1502"/>
      <c r="G119" s="149"/>
      <c r="H119" s="149">
        <v>9779.9</v>
      </c>
      <c r="I119" s="149">
        <f>2520706.19</f>
        <v>2520706.19</v>
      </c>
      <c r="K119" s="148">
        <v>6328</v>
      </c>
      <c r="L119" s="149">
        <v>24.88</v>
      </c>
      <c r="M119" s="149"/>
    </row>
    <row r="120" spans="1:14" s="148" customFormat="1" ht="18.95" customHeight="1" x14ac:dyDescent="0.25">
      <c r="A120" s="961"/>
      <c r="B120" s="1403" t="s">
        <v>57</v>
      </c>
      <c r="C120" s="1282" t="s">
        <v>244</v>
      </c>
      <c r="D120" s="1396">
        <f>+ENERO!O35</f>
        <v>234346.27</v>
      </c>
      <c r="E120" s="1504"/>
      <c r="F120" s="1504"/>
      <c r="G120" s="149"/>
      <c r="H120" s="149">
        <f>-L119</f>
        <v>-24.88</v>
      </c>
      <c r="I120" s="149">
        <f>+L118</f>
        <v>1</v>
      </c>
      <c r="K120" s="148">
        <v>5889</v>
      </c>
      <c r="L120" s="149">
        <v>113.49</v>
      </c>
      <c r="M120" s="566"/>
    </row>
    <row r="121" spans="1:14" s="148" customFormat="1" ht="18.95" customHeight="1" x14ac:dyDescent="0.25">
      <c r="A121" s="961"/>
      <c r="B121" s="1403" t="s">
        <v>59</v>
      </c>
      <c r="C121" s="1282" t="s">
        <v>65</v>
      </c>
      <c r="D121" s="1396">
        <f>+ENERO!O36</f>
        <v>266571.46999999997</v>
      </c>
      <c r="E121" s="1395"/>
      <c r="F121" s="1402"/>
      <c r="G121" s="149"/>
      <c r="H121" s="149">
        <v>-9755.02</v>
      </c>
      <c r="I121" s="149">
        <f>+L119</f>
        <v>24.88</v>
      </c>
      <c r="J121" s="149"/>
      <c r="K121" s="148">
        <v>196</v>
      </c>
      <c r="L121" s="149">
        <v>0</v>
      </c>
      <c r="M121" s="566"/>
    </row>
    <row r="122" spans="1:14" s="148" customFormat="1" ht="18.95" customHeight="1" x14ac:dyDescent="0.25">
      <c r="A122" s="961"/>
      <c r="B122" s="1403" t="s">
        <v>61</v>
      </c>
      <c r="C122" s="1282" t="s">
        <v>62</v>
      </c>
      <c r="D122" s="1396">
        <f>+ENERO!O37</f>
        <v>0</v>
      </c>
      <c r="E122" s="1505"/>
      <c r="F122" s="1505"/>
      <c r="G122" s="149"/>
      <c r="H122" s="1230">
        <f>SUM(H119:H121)</f>
        <v>0</v>
      </c>
      <c r="I122" s="149">
        <f>+L120</f>
        <v>113.49</v>
      </c>
      <c r="J122" s="149" t="s">
        <v>475</v>
      </c>
      <c r="K122" s="148">
        <v>216</v>
      </c>
      <c r="L122" s="149">
        <v>340.92</v>
      </c>
      <c r="M122" s="141"/>
    </row>
    <row r="123" spans="1:14" s="148" customFormat="1" ht="18.95" customHeight="1" x14ac:dyDescent="0.25">
      <c r="A123" s="961"/>
      <c r="B123" s="1403" t="s">
        <v>448</v>
      </c>
      <c r="C123" s="1282" t="str">
        <f>+ENERO!B38</f>
        <v>OTROS GASTOS</v>
      </c>
      <c r="D123" s="1396">
        <f>+ENERO!O38</f>
        <v>0</v>
      </c>
      <c r="E123" s="1505"/>
      <c r="F123" s="1506"/>
      <c r="G123" s="149"/>
      <c r="H123" s="566"/>
      <c r="I123" s="149">
        <f>+L122</f>
        <v>340.92</v>
      </c>
      <c r="J123" s="149"/>
      <c r="K123" s="148">
        <v>1739</v>
      </c>
      <c r="L123" s="1257">
        <v>0.5</v>
      </c>
      <c r="M123" s="141"/>
    </row>
    <row r="124" spans="1:14" s="148" customFormat="1" ht="18.95" customHeight="1" x14ac:dyDescent="0.25">
      <c r="A124" s="961"/>
      <c r="B124" s="1403" t="s">
        <v>63</v>
      </c>
      <c r="C124" s="1282" t="s">
        <v>245</v>
      </c>
      <c r="D124" s="1396">
        <f>+ENERO!O39</f>
        <v>0</v>
      </c>
      <c r="E124" s="1505"/>
      <c r="F124" s="1506"/>
      <c r="G124" s="149"/>
      <c r="H124" s="149"/>
      <c r="I124" s="149">
        <f>+L123</f>
        <v>0.5</v>
      </c>
      <c r="J124" s="149"/>
      <c r="K124" s="148" t="s">
        <v>400</v>
      </c>
    </row>
    <row r="125" spans="1:14" s="148" customFormat="1" ht="18.95" customHeight="1" x14ac:dyDescent="0.25">
      <c r="A125" s="961"/>
      <c r="B125" s="1017">
        <v>102</v>
      </c>
      <c r="C125" s="1280" t="s">
        <v>15</v>
      </c>
      <c r="D125" s="1004"/>
      <c r="E125" s="1505"/>
      <c r="F125" s="1395">
        <f>SUM(D126:D129)</f>
        <v>2520260.7899999996</v>
      </c>
      <c r="G125" s="149"/>
      <c r="H125" s="1509">
        <v>216</v>
      </c>
      <c r="I125" s="149">
        <v>-551.58000000000004</v>
      </c>
      <c r="J125" s="149" t="s">
        <v>480</v>
      </c>
      <c r="K125" s="148">
        <v>6328</v>
      </c>
      <c r="L125" s="149">
        <v>24.89</v>
      </c>
      <c r="N125" s="1226"/>
    </row>
    <row r="126" spans="1:14" s="148" customFormat="1" ht="20.100000000000001" customHeight="1" x14ac:dyDescent="0.25">
      <c r="A126" s="1043"/>
      <c r="B126" s="1403"/>
      <c r="C126" s="1282" t="s">
        <v>441</v>
      </c>
      <c r="D126" s="1004">
        <f>9779.9-9755.02-24.88</f>
        <v>-7.9936057773011271E-13</v>
      </c>
      <c r="E126" s="1505"/>
      <c r="F126" s="1400"/>
      <c r="G126" s="149"/>
      <c r="H126" s="149">
        <v>340.92</v>
      </c>
      <c r="I126" s="149">
        <v>-237.23</v>
      </c>
      <c r="J126" s="149" t="s">
        <v>479</v>
      </c>
      <c r="K126" s="148">
        <v>5889</v>
      </c>
      <c r="L126" s="149">
        <v>112.49</v>
      </c>
    </row>
    <row r="127" spans="1:14" s="148" customFormat="1" ht="20.100000000000001" customHeight="1" x14ac:dyDescent="0.25">
      <c r="A127" s="961"/>
      <c r="B127" s="1403"/>
      <c r="C127" s="1282" t="s">
        <v>442</v>
      </c>
      <c r="D127" s="1004">
        <f>2520706.19+1+24.88+113.49+340.92+0.5-237.23-112.49-24.89-551.58</f>
        <v>2520260.7899999996</v>
      </c>
      <c r="E127" s="1505"/>
      <c r="F127" s="1505"/>
      <c r="G127" s="149"/>
      <c r="H127" s="149">
        <f>-L122</f>
        <v>-340.92</v>
      </c>
      <c r="I127" s="149"/>
      <c r="J127" s="148" t="s">
        <v>476</v>
      </c>
      <c r="K127" s="148">
        <v>116</v>
      </c>
      <c r="L127" s="149">
        <v>0</v>
      </c>
    </row>
    <row r="128" spans="1:14" s="148" customFormat="1" ht="20.100000000000001" customHeight="1" x14ac:dyDescent="0.25">
      <c r="A128" s="958"/>
      <c r="B128" s="1403"/>
      <c r="C128" s="1282" t="s">
        <v>444</v>
      </c>
      <c r="D128" s="1004">
        <v>0</v>
      </c>
      <c r="E128" s="1505"/>
      <c r="F128" s="1505"/>
      <c r="G128" s="149"/>
      <c r="H128" s="1230">
        <f>SUM(H126:H127)</f>
        <v>0</v>
      </c>
      <c r="I128" s="149"/>
      <c r="J128" s="148" t="s">
        <v>477</v>
      </c>
      <c r="K128" s="148">
        <v>1739</v>
      </c>
      <c r="L128" s="149">
        <v>0</v>
      </c>
    </row>
    <row r="129" spans="1:16" s="148" customFormat="1" ht="20.100000000000001" customHeight="1" x14ac:dyDescent="0.25">
      <c r="A129" s="961"/>
      <c r="B129" s="1404"/>
      <c r="C129" s="1282" t="s">
        <v>443</v>
      </c>
      <c r="D129" s="1004">
        <f>340.92-340.92</f>
        <v>0</v>
      </c>
      <c r="E129" s="1505"/>
      <c r="F129" s="1505"/>
      <c r="G129" s="149"/>
      <c r="I129" s="1257">
        <f>-L126</f>
        <v>-112.49</v>
      </c>
      <c r="J129" s="149"/>
      <c r="L129" s="149"/>
      <c r="M129" s="141"/>
    </row>
    <row r="130" spans="1:16" s="148" customFormat="1" ht="54" customHeight="1" thickBot="1" x14ac:dyDescent="0.3">
      <c r="A130" s="961"/>
      <c r="B130" s="962"/>
      <c r="C130" s="1490" t="s">
        <v>473</v>
      </c>
      <c r="D130" s="1004"/>
      <c r="E130" s="1505"/>
      <c r="F130" s="1505"/>
      <c r="G130" s="149"/>
      <c r="I130" s="1257">
        <f>-L125</f>
        <v>-24.89</v>
      </c>
      <c r="J130" s="149" t="s">
        <v>423</v>
      </c>
      <c r="L130" s="149"/>
      <c r="M130" s="149">
        <f>+L126+L125+237.23</f>
        <v>374.61</v>
      </c>
    </row>
    <row r="131" spans="1:16" ht="29.25" customHeight="1" thickBot="1" x14ac:dyDescent="0.3">
      <c r="A131" s="1711" t="s">
        <v>160</v>
      </c>
      <c r="B131" s="1712"/>
      <c r="C131" s="1712"/>
      <c r="D131" s="1755"/>
      <c r="E131" s="912">
        <f>SUM(E74:E130)</f>
        <v>8733211.1699999981</v>
      </c>
      <c r="F131" s="913">
        <f>SUM(F74:F130)</f>
        <v>8733211.1699999962</v>
      </c>
      <c r="H131" s="149"/>
      <c r="I131" s="1257">
        <f>-L128</f>
        <v>0</v>
      </c>
      <c r="J131" s="149"/>
      <c r="K131" s="148"/>
      <c r="L131" s="149"/>
      <c r="N131" s="148"/>
      <c r="O131" s="148"/>
    </row>
    <row r="132" spans="1:16" s="148" customFormat="1" ht="8.25" customHeight="1" thickBot="1" x14ac:dyDescent="0.3">
      <c r="A132" s="532"/>
      <c r="B132" s="532"/>
      <c r="C132" s="532"/>
      <c r="D132" s="532"/>
      <c r="E132" s="544"/>
      <c r="F132" s="544"/>
      <c r="G132" s="141"/>
      <c r="I132" s="149"/>
      <c r="J132" s="148" t="s">
        <v>478</v>
      </c>
      <c r="L132" s="149"/>
      <c r="M132" s="141"/>
      <c r="N132" s="566"/>
      <c r="O132" s="566"/>
    </row>
    <row r="133" spans="1:16" ht="22.5" customHeight="1" thickBot="1" x14ac:dyDescent="0.3">
      <c r="A133" s="1756" t="s">
        <v>163</v>
      </c>
      <c r="B133" s="1757"/>
      <c r="C133" s="1758"/>
      <c r="D133" s="1756" t="s">
        <v>84</v>
      </c>
      <c r="E133" s="1757"/>
      <c r="F133" s="1758"/>
      <c r="H133" s="148"/>
      <c r="I133" s="149"/>
      <c r="J133" s="149"/>
      <c r="K133" s="148"/>
      <c r="L133" s="149"/>
      <c r="O133" s="149"/>
      <c r="P133" s="144"/>
    </row>
    <row r="134" spans="1:16" ht="69" customHeight="1" thickBot="1" x14ac:dyDescent="0.3">
      <c r="A134" s="1764"/>
      <c r="B134" s="1765"/>
      <c r="C134" s="1766"/>
      <c r="D134" s="1764"/>
      <c r="E134" s="1765"/>
      <c r="F134" s="1766"/>
      <c r="H134" s="148"/>
      <c r="I134" s="1230">
        <f>SUM(I119:I133)</f>
        <v>2520260.7899999996</v>
      </c>
      <c r="J134" s="148">
        <f>2520260.79-2520608.13</f>
        <v>-347.33999999985099</v>
      </c>
      <c r="K134" s="145"/>
      <c r="L134" s="133"/>
      <c r="P134" s="144"/>
    </row>
    <row r="135" spans="1:16" ht="20.25" customHeight="1" thickBot="1" x14ac:dyDescent="0.3">
      <c r="A135" s="1719" t="s">
        <v>273</v>
      </c>
      <c r="B135" s="1720"/>
      <c r="C135" s="1721"/>
      <c r="D135" s="1719" t="s">
        <v>227</v>
      </c>
      <c r="E135" s="1720"/>
      <c r="F135" s="1721"/>
      <c r="I135" s="144"/>
    </row>
    <row r="136" spans="1:16" ht="20.25" customHeight="1" thickBot="1" x14ac:dyDescent="0.3">
      <c r="A136" s="1719" t="s">
        <v>272</v>
      </c>
      <c r="B136" s="1720"/>
      <c r="C136" s="1721"/>
      <c r="D136" s="1719" t="s">
        <v>337</v>
      </c>
      <c r="E136" s="1720"/>
      <c r="F136" s="1721"/>
      <c r="N136" s="144"/>
    </row>
    <row r="137" spans="1:16" ht="17.25" customHeight="1" thickBot="1" x14ac:dyDescent="0.3">
      <c r="A137" s="1722" t="s">
        <v>157</v>
      </c>
      <c r="B137" s="1723"/>
      <c r="C137" s="1723"/>
      <c r="D137" s="1638" t="s">
        <v>1</v>
      </c>
      <c r="E137" s="1639"/>
      <c r="F137" s="1640"/>
      <c r="H137" s="148"/>
      <c r="I137" s="148"/>
      <c r="J137" s="148"/>
      <c r="K137" s="148"/>
    </row>
    <row r="138" spans="1:16" ht="21.75" customHeight="1" thickBot="1" x14ac:dyDescent="0.3">
      <c r="A138" s="1729" t="s">
        <v>158</v>
      </c>
      <c r="B138" s="1730"/>
      <c r="C138" s="1730"/>
      <c r="D138" s="533" t="s">
        <v>3</v>
      </c>
      <c r="E138" s="534" t="s">
        <v>298</v>
      </c>
      <c r="F138" s="535" t="s">
        <v>5</v>
      </c>
      <c r="H138" s="148"/>
      <c r="I138" s="148"/>
      <c r="J138" s="148"/>
      <c r="K138" s="148"/>
    </row>
    <row r="139" spans="1:16" ht="15.75" customHeight="1" thickBot="1" x14ac:dyDescent="0.3">
      <c r="A139" s="1731" t="s">
        <v>161</v>
      </c>
      <c r="B139" s="1732"/>
      <c r="C139" s="1732"/>
      <c r="D139" s="533" t="s">
        <v>6</v>
      </c>
      <c r="E139" s="536" t="s">
        <v>420</v>
      </c>
      <c r="F139" s="1470">
        <f>+F70</f>
        <v>45688</v>
      </c>
      <c r="G139" s="148"/>
      <c r="H139" s="148"/>
      <c r="I139" s="148"/>
      <c r="J139" s="148"/>
      <c r="K139" s="148"/>
    </row>
    <row r="140" spans="1:16" ht="15.75" customHeight="1" thickBot="1" x14ac:dyDescent="0.3">
      <c r="A140" s="538" t="s">
        <v>5</v>
      </c>
      <c r="B140" s="1645" t="s">
        <v>296</v>
      </c>
      <c r="C140" s="1733" t="s">
        <v>289</v>
      </c>
      <c r="D140" s="1767" t="s">
        <v>159</v>
      </c>
      <c r="E140" s="1638" t="s">
        <v>9</v>
      </c>
      <c r="F140" s="1640"/>
      <c r="H140" s="148"/>
      <c r="I140" s="148"/>
      <c r="J140" s="148"/>
      <c r="K140" s="148"/>
    </row>
    <row r="141" spans="1:16" ht="15.75" customHeight="1" thickBot="1" x14ac:dyDescent="0.3">
      <c r="A141" s="1528">
        <f>+A72</f>
        <v>45688</v>
      </c>
      <c r="B141" s="1646"/>
      <c r="C141" s="1649"/>
      <c r="D141" s="1652"/>
      <c r="E141" s="1645" t="s">
        <v>10</v>
      </c>
      <c r="F141" s="1654" t="s">
        <v>11</v>
      </c>
      <c r="G141" s="144"/>
      <c r="H141" s="148"/>
      <c r="I141" s="148"/>
      <c r="J141" s="148"/>
      <c r="K141" s="148"/>
    </row>
    <row r="142" spans="1:16" ht="18" customHeight="1" thickBot="1" x14ac:dyDescent="0.3">
      <c r="A142" s="646" t="s">
        <v>297</v>
      </c>
      <c r="B142" s="1738"/>
      <c r="C142" s="1734"/>
      <c r="D142" s="1768"/>
      <c r="E142" s="1738"/>
      <c r="F142" s="1748"/>
      <c r="H142" s="148"/>
      <c r="I142" s="148"/>
      <c r="J142" s="148"/>
      <c r="K142" s="148"/>
    </row>
    <row r="143" spans="1:16" s="148" customFormat="1" ht="16.5" customHeight="1" x14ac:dyDescent="0.25">
      <c r="A143" s="1406">
        <f>+A141</f>
        <v>45688</v>
      </c>
      <c r="B143" s="1510"/>
      <c r="C143" s="1513">
        <v>13</v>
      </c>
      <c r="D143" s="1004"/>
      <c r="E143" s="1381"/>
      <c r="F143" s="1380"/>
    </row>
    <row r="144" spans="1:16" s="148" customFormat="1" ht="16.5" customHeight="1" x14ac:dyDescent="0.25">
      <c r="A144" s="1406"/>
      <c r="B144" s="1375">
        <v>216</v>
      </c>
      <c r="C144" s="1376" t="s">
        <v>401</v>
      </c>
      <c r="D144" s="1004"/>
      <c r="E144" s="1378">
        <f>+D145</f>
        <v>6094.99</v>
      </c>
      <c r="F144" s="1382"/>
    </row>
    <row r="145" spans="1:8" s="148" customFormat="1" ht="16.5" customHeight="1" x14ac:dyDescent="0.25">
      <c r="A145" s="1406"/>
      <c r="B145" s="979"/>
      <c r="C145" s="1523" t="str">
        <f>+'216 PA ENERO'!B26</f>
        <v>TOCADOR, LIMPIEZA ENTRE OTROS</v>
      </c>
      <c r="D145" s="1004">
        <f>+'216 PA ENERO'!F26</f>
        <v>6094.99</v>
      </c>
      <c r="E145" s="1381"/>
      <c r="F145" s="1382"/>
    </row>
    <row r="146" spans="1:8" s="148" customFormat="1" ht="16.5" customHeight="1" x14ac:dyDescent="0.25">
      <c r="A146" s="1406"/>
      <c r="B146" s="1017">
        <v>299</v>
      </c>
      <c r="C146" s="1377" t="s">
        <v>48</v>
      </c>
      <c r="D146" s="1004"/>
      <c r="E146" s="1381"/>
      <c r="F146" s="1524">
        <f>+E144</f>
        <v>6094.99</v>
      </c>
    </row>
    <row r="147" spans="1:8" s="148" customFormat="1" ht="31.5" customHeight="1" x14ac:dyDescent="0.25">
      <c r="A147" s="1406"/>
      <c r="B147" s="979"/>
      <c r="C147" s="1044" t="s">
        <v>484</v>
      </c>
      <c r="D147" s="1004"/>
      <c r="E147" s="1381"/>
      <c r="F147" s="1382"/>
    </row>
    <row r="148" spans="1:8" s="148" customFormat="1" ht="16.5" customHeight="1" x14ac:dyDescent="0.25">
      <c r="A148" s="1406">
        <f>+A143</f>
        <v>45688</v>
      </c>
      <c r="B148" s="979"/>
      <c r="C148" s="1525">
        <v>14</v>
      </c>
      <c r="D148" s="1004"/>
      <c r="E148" s="1381"/>
      <c r="F148" s="1382"/>
    </row>
    <row r="149" spans="1:8" s="148" customFormat="1" ht="16.5" customHeight="1" x14ac:dyDescent="0.25">
      <c r="A149" s="1406"/>
      <c r="B149" s="1017">
        <v>299</v>
      </c>
      <c r="C149" s="1377" t="s">
        <v>48</v>
      </c>
      <c r="D149" s="1004"/>
      <c r="E149" s="1378">
        <f>SUM(D151:D155)</f>
        <v>123820.13</v>
      </c>
      <c r="F149" s="1382"/>
    </row>
    <row r="150" spans="1:8" s="148" customFormat="1" ht="16.5" customHeight="1" x14ac:dyDescent="0.25">
      <c r="A150" s="1406"/>
      <c r="B150" s="1375">
        <v>216</v>
      </c>
      <c r="C150" s="1376" t="s">
        <v>401</v>
      </c>
      <c r="D150" s="1004"/>
      <c r="E150" s="1381"/>
      <c r="F150" s="1524">
        <f>SUM(D151:D155)</f>
        <v>123820.13</v>
      </c>
    </row>
    <row r="151" spans="1:8" s="148" customFormat="1" ht="16.5" customHeight="1" x14ac:dyDescent="0.25">
      <c r="A151" s="1406"/>
      <c r="B151" s="979"/>
      <c r="C151" s="1523" t="str">
        <f>+'216 PA ENERO'!B15</f>
        <v>ALIMENTOS Y BEBIDAS PEDECEDEROS Y NO PEDECEDEROS (PEPS)</v>
      </c>
      <c r="D151" s="1004">
        <f>+'216 PA ENERO'!G15</f>
        <v>29713.49</v>
      </c>
      <c r="E151" s="1381"/>
      <c r="F151" s="1382"/>
    </row>
    <row r="152" spans="1:8" s="148" customFormat="1" ht="18.95" customHeight="1" x14ac:dyDescent="0.25">
      <c r="A152" s="840"/>
      <c r="B152" s="1017"/>
      <c r="C152" s="1526" t="str">
        <f>+'216 PA ENERO'!B17</f>
        <v xml:space="preserve">PRODUCTOS FARMACÉUTICOS </v>
      </c>
      <c r="D152" s="1004">
        <f>+'216 PA ENERO'!G17</f>
        <v>1516.21</v>
      </c>
      <c r="E152" s="1378"/>
      <c r="F152" s="1382"/>
    </row>
    <row r="153" spans="1:8" s="148" customFormat="1" ht="18.95" customHeight="1" x14ac:dyDescent="0.25">
      <c r="A153" s="840"/>
      <c r="B153" s="1375"/>
      <c r="C153" s="1497" t="str">
        <f>+'216 PA ENERO'!B19</f>
        <v>PAPELERÍA Y ÚTILES DE OFICINA</v>
      </c>
      <c r="D153" s="1004">
        <f>+'216 PA ENERO'!G19</f>
        <v>7331.75</v>
      </c>
      <c r="E153" s="1381"/>
      <c r="F153" s="1379"/>
    </row>
    <row r="154" spans="1:8" s="148" customFormat="1" ht="18.95" customHeight="1" x14ac:dyDescent="0.25">
      <c r="A154" s="840"/>
      <c r="B154" s="1375"/>
      <c r="C154" s="1497" t="str">
        <f>+'216 PA ENERO'!B20</f>
        <v>TEXTILES Y CALZADO</v>
      </c>
      <c r="D154" s="1004">
        <f>+'216 PA ENERO'!G20</f>
        <v>24617.66</v>
      </c>
      <c r="E154" s="1381"/>
      <c r="F154" s="1380"/>
      <c r="H154" s="141"/>
    </row>
    <row r="155" spans="1:8" s="148" customFormat="1" ht="18.95" customHeight="1" x14ac:dyDescent="0.25">
      <c r="A155" s="840"/>
      <c r="B155" s="963"/>
      <c r="C155" s="1497" t="str">
        <f>+'216 PA ENERO'!B23</f>
        <v>EQUIPOS Y MOBILIARIOS</v>
      </c>
      <c r="D155" s="1268">
        <f>+'216 PA ENERO'!G23</f>
        <v>60641.02</v>
      </c>
      <c r="E155" s="1383"/>
      <c r="F155" s="1384"/>
      <c r="H155" s="141"/>
    </row>
    <row r="156" spans="1:8" s="148" customFormat="1" ht="32.25" customHeight="1" x14ac:dyDescent="0.25">
      <c r="A156" s="839"/>
      <c r="B156" s="963"/>
      <c r="C156" s="1039" t="s">
        <v>485</v>
      </c>
      <c r="D156" s="1268"/>
      <c r="E156" s="1242"/>
      <c r="F156" s="982"/>
      <c r="H156" s="141"/>
    </row>
    <row r="157" spans="1:8" s="148" customFormat="1" ht="17.100000000000001" customHeight="1" x14ac:dyDescent="0.25">
      <c r="A157" s="1406">
        <f>+A143</f>
        <v>45688</v>
      </c>
      <c r="B157" s="976"/>
      <c r="C157" s="1527">
        <v>15</v>
      </c>
      <c r="D157" s="977"/>
      <c r="E157" s="984"/>
      <c r="F157" s="985"/>
      <c r="H157" s="141"/>
    </row>
    <row r="158" spans="1:8" s="148" customFormat="1" ht="18.95" customHeight="1" x14ac:dyDescent="0.25">
      <c r="A158" s="852"/>
      <c r="B158" s="1017">
        <v>214</v>
      </c>
      <c r="C158" s="1373" t="s">
        <v>49</v>
      </c>
      <c r="D158" s="975"/>
      <c r="E158" s="1385">
        <f>SUM(D159:D159)</f>
        <v>131461.04999999999</v>
      </c>
      <c r="F158" s="1386"/>
      <c r="H158" s="141"/>
    </row>
    <row r="159" spans="1:8" s="148" customFormat="1" ht="18.95" customHeight="1" x14ac:dyDescent="0.25">
      <c r="A159" s="852"/>
      <c r="B159" s="1017"/>
      <c r="C159" s="1374" t="str">
        <f>+'214 BM ENERO'!A17</f>
        <v>ADQUISICIÓN POR COMPRAS</v>
      </c>
      <c r="D159" s="1407">
        <f>+'214 BM ENERO'!B17</f>
        <v>131461.04999999999</v>
      </c>
      <c r="E159" s="1385"/>
      <c r="F159" s="1386"/>
      <c r="H159" s="141"/>
    </row>
    <row r="160" spans="1:8" s="148" customFormat="1" ht="18.95" customHeight="1" x14ac:dyDescent="0.25">
      <c r="A160" s="852"/>
      <c r="B160" s="1017">
        <v>299</v>
      </c>
      <c r="C160" s="1377" t="s">
        <v>48</v>
      </c>
      <c r="D160" s="975"/>
      <c r="E160" s="1385"/>
      <c r="F160" s="1386">
        <f>SUM(D159:D159)</f>
        <v>131461.04999999999</v>
      </c>
      <c r="H160" s="141"/>
    </row>
    <row r="161" spans="1:8" s="148" customFormat="1" ht="33" customHeight="1" x14ac:dyDescent="0.25">
      <c r="A161" s="832"/>
      <c r="B161" s="1041"/>
      <c r="C161" s="1039" t="s">
        <v>491</v>
      </c>
      <c r="D161" s="975"/>
      <c r="E161" s="986"/>
      <c r="F161" s="987"/>
      <c r="H161" s="141"/>
    </row>
    <row r="162" spans="1:8" s="148" customFormat="1" ht="17.100000000000001" customHeight="1" x14ac:dyDescent="0.25">
      <c r="A162" s="1406">
        <f>+A157</f>
        <v>45688</v>
      </c>
      <c r="B162" s="810"/>
      <c r="C162" s="1529">
        <v>16</v>
      </c>
      <c r="D162" s="720"/>
      <c r="E162" s="988"/>
      <c r="F162" s="983"/>
      <c r="H162" s="141"/>
    </row>
    <row r="163" spans="1:8" s="148" customFormat="1" ht="18.95" customHeight="1" x14ac:dyDescent="0.25">
      <c r="A163" s="852"/>
      <c r="B163" s="1041">
        <v>132</v>
      </c>
      <c r="C163" s="1239" t="s">
        <v>247</v>
      </c>
      <c r="D163" s="721"/>
      <c r="E163" s="991">
        <f>SUM(D164:D164)</f>
        <v>112.49</v>
      </c>
      <c r="F163" s="990"/>
      <c r="H163" s="141"/>
    </row>
    <row r="164" spans="1:8" s="148" customFormat="1" ht="18.95" customHeight="1" x14ac:dyDescent="0.25">
      <c r="A164" s="852"/>
      <c r="B164" s="1041"/>
      <c r="C164" s="1297" t="s">
        <v>435</v>
      </c>
      <c r="D164" s="1232">
        <v>112.49</v>
      </c>
      <c r="E164" s="989"/>
      <c r="F164" s="990"/>
      <c r="H164" s="141"/>
    </row>
    <row r="165" spans="1:8" s="148" customFormat="1" ht="18.95" customHeight="1" x14ac:dyDescent="0.25">
      <c r="A165" s="852"/>
      <c r="B165" s="1041">
        <v>133</v>
      </c>
      <c r="C165" s="1238" t="s">
        <v>236</v>
      </c>
      <c r="D165" s="721"/>
      <c r="E165" s="989"/>
      <c r="F165" s="992">
        <f>SUM(D166)</f>
        <v>112.49</v>
      </c>
      <c r="H165" s="141"/>
    </row>
    <row r="166" spans="1:8" s="148" customFormat="1" ht="18.95" customHeight="1" x14ac:dyDescent="0.25">
      <c r="A166" s="852"/>
      <c r="B166" s="721"/>
      <c r="C166" s="1282" t="s">
        <v>430</v>
      </c>
      <c r="D166" s="1232">
        <f>SUM(D164:D164)</f>
        <v>112.49</v>
      </c>
      <c r="E166" s="989"/>
      <c r="F166" s="990"/>
      <c r="H166" s="141"/>
    </row>
    <row r="167" spans="1:8" s="148" customFormat="1" ht="36" customHeight="1" x14ac:dyDescent="0.25">
      <c r="A167" s="840"/>
      <c r="B167" s="1222"/>
      <c r="C167" s="1240" t="s">
        <v>492</v>
      </c>
      <c r="D167" s="721"/>
      <c r="E167" s="989"/>
      <c r="F167" s="990"/>
      <c r="H167" s="141"/>
    </row>
    <row r="168" spans="1:8" s="148" customFormat="1" ht="17.100000000000001" customHeight="1" x14ac:dyDescent="0.25">
      <c r="A168" s="1406">
        <f>+A162</f>
        <v>45688</v>
      </c>
      <c r="B168" s="1388"/>
      <c r="C168" s="1530">
        <v>17</v>
      </c>
      <c r="D168" s="914"/>
      <c r="E168" s="1040"/>
      <c r="F168" s="993"/>
      <c r="H168" s="141"/>
    </row>
    <row r="169" spans="1:8" s="148" customFormat="1" ht="18.95" customHeight="1" x14ac:dyDescent="0.25">
      <c r="A169" s="852"/>
      <c r="B169" s="1041">
        <v>132</v>
      </c>
      <c r="C169" s="1263" t="s">
        <v>247</v>
      </c>
      <c r="D169" s="721"/>
      <c r="E169" s="1392">
        <f>SUM(D170:D172)</f>
        <v>187894.43</v>
      </c>
      <c r="F169" s="1397"/>
      <c r="H169" s="141"/>
    </row>
    <row r="170" spans="1:8" s="148" customFormat="1" ht="18.95" customHeight="1" x14ac:dyDescent="0.25">
      <c r="A170" s="852"/>
      <c r="B170" s="855"/>
      <c r="C170" s="1387" t="s">
        <v>440</v>
      </c>
      <c r="D170" s="1004">
        <v>0</v>
      </c>
      <c r="E170" s="1398"/>
      <c r="F170" s="1395"/>
      <c r="G170" s="144"/>
      <c r="H170" s="141"/>
    </row>
    <row r="171" spans="1:8" s="148" customFormat="1" ht="18.95" customHeight="1" x14ac:dyDescent="0.25">
      <c r="A171" s="980"/>
      <c r="B171" s="855"/>
      <c r="C171" s="1387" t="s">
        <v>435</v>
      </c>
      <c r="D171" s="1396">
        <v>129000.04</v>
      </c>
      <c r="E171" s="1399"/>
      <c r="F171" s="1400"/>
      <c r="G171" s="144"/>
      <c r="H171" s="141"/>
    </row>
    <row r="172" spans="1:8" s="148" customFormat="1" ht="18.95" customHeight="1" x14ac:dyDescent="0.25">
      <c r="A172" s="547"/>
      <c r="B172" s="855"/>
      <c r="C172" s="1387" t="s">
        <v>436</v>
      </c>
      <c r="D172" s="1004">
        <v>58894.39</v>
      </c>
      <c r="E172" s="1401"/>
      <c r="F172" s="1402"/>
      <c r="G172" s="141"/>
      <c r="H172" s="141"/>
    </row>
    <row r="173" spans="1:8" s="148" customFormat="1" ht="20.100000000000001" customHeight="1" x14ac:dyDescent="0.25">
      <c r="A173" s="547"/>
      <c r="B173" s="1041"/>
      <c r="C173" s="1263" t="s">
        <v>236</v>
      </c>
      <c r="D173" s="1002"/>
      <c r="E173" s="1401"/>
      <c r="F173" s="1395">
        <f>SUM(D174:D182)</f>
        <v>187894.43</v>
      </c>
      <c r="G173" s="141"/>
      <c r="H173" s="141"/>
    </row>
    <row r="174" spans="1:8" s="148" customFormat="1" ht="18.95" customHeight="1" x14ac:dyDescent="0.25">
      <c r="A174" s="547"/>
      <c r="B174" s="855"/>
      <c r="C174" s="1387" t="s">
        <v>402</v>
      </c>
      <c r="D174" s="1004">
        <v>0</v>
      </c>
      <c r="E174" s="1401"/>
      <c r="F174" s="1402"/>
      <c r="G174" s="141"/>
      <c r="H174" s="141"/>
    </row>
    <row r="175" spans="1:8" s="148" customFormat="1" ht="18.95" customHeight="1" x14ac:dyDescent="0.25">
      <c r="A175" s="547"/>
      <c r="B175" s="855"/>
      <c r="C175" s="1387" t="s">
        <v>403</v>
      </c>
      <c r="D175" s="1004">
        <v>0</v>
      </c>
      <c r="E175" s="961"/>
      <c r="F175" s="721"/>
      <c r="G175" s="141"/>
      <c r="H175" s="141"/>
    </row>
    <row r="176" spans="1:8" s="148" customFormat="1" ht="18.95" customHeight="1" x14ac:dyDescent="0.25">
      <c r="A176" s="547"/>
      <c r="B176" s="855"/>
      <c r="C176" s="1387" t="s">
        <v>404</v>
      </c>
      <c r="D176" s="1004">
        <v>0</v>
      </c>
      <c r="E176" s="961"/>
      <c r="F176" s="721"/>
      <c r="G176" s="141"/>
      <c r="H176" s="141"/>
    </row>
    <row r="177" spans="1:8" s="148" customFormat="1" ht="18.95" customHeight="1" x14ac:dyDescent="0.25">
      <c r="A177" s="547"/>
      <c r="B177" s="810"/>
      <c r="C177" s="1387" t="s">
        <v>405</v>
      </c>
      <c r="D177" s="1004">
        <v>0</v>
      </c>
      <c r="E177" s="961"/>
      <c r="F177" s="721"/>
      <c r="G177" s="141"/>
      <c r="H177" s="141"/>
    </row>
    <row r="178" spans="1:8" s="148" customFormat="1" ht="18.95" customHeight="1" x14ac:dyDescent="0.25">
      <c r="A178" s="547"/>
      <c r="B178" s="855"/>
      <c r="C178" s="1387" t="s">
        <v>406</v>
      </c>
      <c r="D178" s="1004">
        <v>0</v>
      </c>
      <c r="E178" s="961"/>
      <c r="F178" s="721"/>
      <c r="G178" s="141"/>
      <c r="H178" s="141"/>
    </row>
    <row r="179" spans="1:8" s="148" customFormat="1" ht="18.95" customHeight="1" x14ac:dyDescent="0.25">
      <c r="A179" s="547"/>
      <c r="B179" s="810"/>
      <c r="C179" s="1387" t="s">
        <v>407</v>
      </c>
      <c r="D179" s="1004">
        <v>124552.37999999999</v>
      </c>
      <c r="E179" s="961"/>
      <c r="F179" s="721"/>
      <c r="G179" s="141"/>
      <c r="H179" s="141"/>
    </row>
    <row r="180" spans="1:8" s="148" customFormat="1" ht="18.95" customHeight="1" x14ac:dyDescent="0.25">
      <c r="A180" s="547"/>
      <c r="B180" s="855"/>
      <c r="C180" s="1387" t="s">
        <v>408</v>
      </c>
      <c r="D180" s="1004">
        <v>2113.67</v>
      </c>
      <c r="E180" s="961"/>
      <c r="F180" s="721"/>
      <c r="G180" s="141"/>
    </row>
    <row r="181" spans="1:8" s="148" customFormat="1" ht="18.95" customHeight="1" x14ac:dyDescent="0.25">
      <c r="A181" s="547"/>
      <c r="B181" s="855"/>
      <c r="C181" s="1387" t="s">
        <v>409</v>
      </c>
      <c r="D181" s="1004">
        <v>2333.9899999999998</v>
      </c>
      <c r="E181" s="961"/>
      <c r="F181" s="721"/>
      <c r="G181" s="141"/>
    </row>
    <row r="182" spans="1:8" s="148" customFormat="1" ht="18.95" customHeight="1" x14ac:dyDescent="0.25">
      <c r="A182" s="547"/>
      <c r="B182" s="855"/>
      <c r="C182" s="1387" t="s">
        <v>410</v>
      </c>
      <c r="D182" s="1004">
        <v>58894.39</v>
      </c>
      <c r="E182" s="961"/>
      <c r="F182" s="721"/>
      <c r="G182" s="141"/>
    </row>
    <row r="183" spans="1:8" s="148" customFormat="1" ht="46.5" customHeight="1" x14ac:dyDescent="0.25">
      <c r="A183" s="547"/>
      <c r="B183" s="855"/>
      <c r="C183" s="1233" t="s">
        <v>494</v>
      </c>
      <c r="D183" s="1248"/>
      <c r="E183" s="961"/>
      <c r="F183" s="1408"/>
      <c r="G183" s="141"/>
    </row>
    <row r="184" spans="1:8" s="148" customFormat="1" ht="17.100000000000001" customHeight="1" x14ac:dyDescent="0.25">
      <c r="A184" s="1406">
        <f>+A168</f>
        <v>45688</v>
      </c>
      <c r="B184" s="855"/>
      <c r="C184" s="1533">
        <v>18</v>
      </c>
      <c r="D184" s="1248"/>
      <c r="E184" s="961"/>
      <c r="F184" s="1408"/>
      <c r="G184" s="141"/>
    </row>
    <row r="185" spans="1:8" s="148" customFormat="1" ht="20.100000000000001" customHeight="1" x14ac:dyDescent="0.25">
      <c r="A185" s="547"/>
      <c r="B185" s="1041">
        <v>133</v>
      </c>
      <c r="C185" s="1263" t="s">
        <v>236</v>
      </c>
      <c r="D185" s="1244"/>
      <c r="E185" s="1392">
        <f>SUM(D186:D196)</f>
        <v>46317.56</v>
      </c>
      <c r="F185" s="1393"/>
      <c r="G185" s="141"/>
    </row>
    <row r="186" spans="1:8" s="148" customFormat="1" ht="18" customHeight="1" x14ac:dyDescent="0.25">
      <c r="A186" s="547"/>
      <c r="B186" s="1282"/>
      <c r="C186" s="1387" t="s">
        <v>402</v>
      </c>
      <c r="D186" s="1270">
        <v>0</v>
      </c>
      <c r="E186" s="1394"/>
      <c r="F186" s="1393"/>
      <c r="G186" s="141"/>
    </row>
    <row r="187" spans="1:8" s="148" customFormat="1" ht="18" customHeight="1" x14ac:dyDescent="0.25">
      <c r="A187" s="547"/>
      <c r="B187" s="1282"/>
      <c r="C187" s="1387" t="s">
        <v>414</v>
      </c>
      <c r="D187" s="1270">
        <v>0</v>
      </c>
      <c r="E187" s="1394"/>
      <c r="F187" s="1393"/>
      <c r="G187" s="141"/>
    </row>
    <row r="188" spans="1:8" s="148" customFormat="1" ht="18" customHeight="1" x14ac:dyDescent="0.25">
      <c r="A188" s="547"/>
      <c r="B188" s="1282"/>
      <c r="C188" s="1387" t="s">
        <v>404</v>
      </c>
      <c r="D188" s="1270">
        <v>0</v>
      </c>
      <c r="E188" s="1394"/>
      <c r="F188" s="1393"/>
      <c r="G188" s="141"/>
    </row>
    <row r="189" spans="1:8" s="148" customFormat="1" ht="18" customHeight="1" x14ac:dyDescent="0.25">
      <c r="A189" s="547"/>
      <c r="B189" s="1282"/>
      <c r="C189" s="1387" t="s">
        <v>405</v>
      </c>
      <c r="D189" s="1270">
        <v>0</v>
      </c>
      <c r="E189" s="1394"/>
      <c r="F189" s="1393"/>
      <c r="G189" s="141"/>
    </row>
    <row r="190" spans="1:8" s="148" customFormat="1" ht="18" customHeight="1" x14ac:dyDescent="0.25">
      <c r="A190" s="547"/>
      <c r="B190" s="1282"/>
      <c r="C190" s="1387" t="s">
        <v>415</v>
      </c>
      <c r="D190" s="1270">
        <v>0</v>
      </c>
      <c r="E190" s="1394"/>
      <c r="F190" s="1393"/>
      <c r="G190" s="141"/>
    </row>
    <row r="191" spans="1:8" s="148" customFormat="1" ht="18" customHeight="1" x14ac:dyDescent="0.25">
      <c r="A191" s="547"/>
      <c r="B191" s="1282"/>
      <c r="C191" s="1387" t="s">
        <v>407</v>
      </c>
      <c r="D191" s="1270">
        <v>10369.59</v>
      </c>
      <c r="E191" s="1394"/>
      <c r="F191" s="1393"/>
      <c r="G191" s="141"/>
    </row>
    <row r="192" spans="1:8" s="148" customFormat="1" ht="18" customHeight="1" x14ac:dyDescent="0.25">
      <c r="A192" s="547"/>
      <c r="B192" s="1282"/>
      <c r="C192" s="1387" t="s">
        <v>408</v>
      </c>
      <c r="D192" s="1270">
        <v>3210.4</v>
      </c>
      <c r="E192" s="1394"/>
      <c r="F192" s="1393"/>
      <c r="G192" s="141"/>
    </row>
    <row r="193" spans="1:12" s="148" customFormat="1" ht="18" customHeight="1" x14ac:dyDescent="0.25">
      <c r="A193" s="547"/>
      <c r="B193" s="1282"/>
      <c r="C193" s="1387" t="s">
        <v>409</v>
      </c>
      <c r="D193" s="1270">
        <v>1977.97</v>
      </c>
      <c r="E193" s="1394"/>
      <c r="F193" s="1393"/>
      <c r="G193" s="141"/>
    </row>
    <row r="194" spans="1:12" s="148" customFormat="1" ht="18" customHeight="1" x14ac:dyDescent="0.25">
      <c r="A194" s="547"/>
      <c r="B194" s="1282"/>
      <c r="C194" s="1387" t="s">
        <v>416</v>
      </c>
      <c r="D194" s="1270">
        <v>113.49000000000001</v>
      </c>
      <c r="E194" s="1394"/>
      <c r="F194" s="1393"/>
      <c r="G194" s="141"/>
      <c r="H194" s="149"/>
    </row>
    <row r="195" spans="1:12" s="148" customFormat="1" ht="18" customHeight="1" x14ac:dyDescent="0.25">
      <c r="A195" s="547"/>
      <c r="B195" s="1282"/>
      <c r="C195" s="1387" t="s">
        <v>410</v>
      </c>
      <c r="D195" s="1270">
        <v>30645.11</v>
      </c>
      <c r="E195" s="1394"/>
      <c r="F195" s="1393"/>
      <c r="G195" s="141"/>
      <c r="H195" s="149"/>
    </row>
    <row r="196" spans="1:12" s="148" customFormat="1" ht="18" customHeight="1" x14ac:dyDescent="0.25">
      <c r="A196" s="547"/>
      <c r="B196" s="1282"/>
      <c r="C196" s="1387" t="s">
        <v>417</v>
      </c>
      <c r="D196" s="1270">
        <v>1</v>
      </c>
      <c r="E196" s="1394"/>
      <c r="F196" s="1393"/>
      <c r="G196" s="141"/>
    </row>
    <row r="197" spans="1:12" s="148" customFormat="1" ht="20.100000000000001" customHeight="1" x14ac:dyDescent="0.25">
      <c r="A197" s="547"/>
      <c r="B197" s="1041">
        <v>132</v>
      </c>
      <c r="C197" s="1263" t="s">
        <v>247</v>
      </c>
      <c r="D197" s="1270"/>
      <c r="E197" s="1394"/>
      <c r="F197" s="1395">
        <f>SUM(D198:D200)</f>
        <v>46317.56</v>
      </c>
      <c r="G197" s="141"/>
    </row>
    <row r="198" spans="1:12" s="148" customFormat="1" ht="20.100000000000001" customHeight="1" x14ac:dyDescent="0.25">
      <c r="A198" s="547"/>
      <c r="B198" s="1222"/>
      <c r="C198" s="1387" t="s">
        <v>249</v>
      </c>
      <c r="D198" s="1270">
        <v>0</v>
      </c>
      <c r="E198" s="1014"/>
      <c r="F198" s="810"/>
      <c r="G198" s="141"/>
    </row>
    <row r="199" spans="1:12" s="148" customFormat="1" ht="20.100000000000001" customHeight="1" x14ac:dyDescent="0.25">
      <c r="A199" s="547"/>
      <c r="B199" s="1222"/>
      <c r="C199" s="1387" t="s">
        <v>250</v>
      </c>
      <c r="D199" s="1270">
        <v>15671.449999999999</v>
      </c>
      <c r="E199" s="1014"/>
      <c r="F199" s="810"/>
      <c r="G199" s="141"/>
    </row>
    <row r="200" spans="1:12" s="148" customFormat="1" ht="20.100000000000001" customHeight="1" x14ac:dyDescent="0.25">
      <c r="A200" s="547"/>
      <c r="B200" s="1222"/>
      <c r="C200" s="1387" t="s">
        <v>248</v>
      </c>
      <c r="D200" s="1270">
        <v>30646.11</v>
      </c>
      <c r="E200" s="1014"/>
      <c r="F200" s="810"/>
      <c r="G200" s="141"/>
    </row>
    <row r="201" spans="1:12" s="148" customFormat="1" ht="44.25" customHeight="1" thickBot="1" x14ac:dyDescent="0.3">
      <c r="A201" s="547"/>
      <c r="B201" s="854"/>
      <c r="C201" s="1243" t="s">
        <v>495</v>
      </c>
      <c r="D201" s="1244"/>
      <c r="E201" s="1014"/>
      <c r="F201" s="810"/>
      <c r="G201" s="141"/>
    </row>
    <row r="202" spans="1:12" ht="24.75" hidden="1" customHeight="1" x14ac:dyDescent="0.3">
      <c r="A202" s="978"/>
      <c r="B202" s="888"/>
      <c r="C202" s="871"/>
      <c r="D202" s="145"/>
      <c r="E202" s="890"/>
      <c r="F202" s="889"/>
      <c r="G202" s="149"/>
      <c r="H202" s="148"/>
      <c r="I202" s="148"/>
      <c r="J202" s="148"/>
      <c r="K202" s="148"/>
      <c r="L202" s="148"/>
    </row>
    <row r="203" spans="1:12" ht="24.75" hidden="1" customHeight="1" x14ac:dyDescent="0.3">
      <c r="A203" s="858"/>
      <c r="B203" s="867"/>
      <c r="C203" s="870"/>
      <c r="D203" s="818"/>
      <c r="E203" s="817"/>
      <c r="F203" s="869"/>
      <c r="G203" s="149"/>
      <c r="H203" s="148"/>
      <c r="I203" s="148"/>
      <c r="J203" s="148"/>
      <c r="K203" s="148"/>
      <c r="L203" s="148"/>
    </row>
    <row r="204" spans="1:12" ht="24.75" hidden="1" customHeight="1" thickBot="1" x14ac:dyDescent="0.3">
      <c r="A204" s="858"/>
      <c r="B204" s="867"/>
      <c r="C204" s="868"/>
      <c r="D204" s="818"/>
      <c r="E204" s="817"/>
      <c r="F204" s="869"/>
      <c r="G204" s="149"/>
      <c r="H204" s="148"/>
      <c r="I204" s="148"/>
      <c r="J204" s="148"/>
      <c r="K204" s="148"/>
      <c r="L204" s="148"/>
    </row>
    <row r="205" spans="1:12" s="148" customFormat="1" ht="16.5" hidden="1" customHeight="1" x14ac:dyDescent="0.3">
      <c r="A205" s="811"/>
      <c r="B205" s="145"/>
      <c r="C205" s="145"/>
      <c r="D205" s="145"/>
      <c r="E205" s="145"/>
      <c r="F205" s="812"/>
    </row>
    <row r="206" spans="1:12" s="148" customFormat="1" ht="16.5" hidden="1" customHeight="1" x14ac:dyDescent="0.3">
      <c r="A206" s="811"/>
      <c r="B206" s="145"/>
      <c r="C206" s="145"/>
      <c r="D206" s="145"/>
      <c r="E206" s="145"/>
      <c r="F206" s="812"/>
    </row>
    <row r="207" spans="1:12" s="148" customFormat="1" ht="16.5" hidden="1" customHeight="1" x14ac:dyDescent="0.3">
      <c r="A207" s="811"/>
      <c r="B207" s="145"/>
      <c r="C207" s="145"/>
      <c r="D207" s="145"/>
      <c r="E207" s="145"/>
      <c r="F207" s="812"/>
    </row>
    <row r="208" spans="1:12" s="148" customFormat="1" ht="24.75" hidden="1" customHeight="1" x14ac:dyDescent="0.3">
      <c r="A208" s="811"/>
      <c r="B208" s="145"/>
      <c r="C208" s="145"/>
      <c r="D208" s="145"/>
      <c r="E208" s="145"/>
      <c r="F208" s="812"/>
    </row>
    <row r="209" spans="1:8" s="148" customFormat="1" ht="23.25" hidden="1" customHeight="1" x14ac:dyDescent="0.3">
      <c r="A209" s="811"/>
      <c r="B209" s="145"/>
      <c r="C209" s="145"/>
      <c r="D209" s="145"/>
      <c r="E209" s="145"/>
      <c r="F209" s="812"/>
    </row>
    <row r="210" spans="1:8" s="148" customFormat="1" ht="20.25" hidden="1" customHeight="1" x14ac:dyDescent="0.3">
      <c r="A210" s="811"/>
      <c r="B210" s="145"/>
      <c r="C210" s="145"/>
      <c r="D210" s="145"/>
      <c r="E210" s="145"/>
      <c r="F210" s="812"/>
    </row>
    <row r="211" spans="1:8" s="148" customFormat="1" ht="19.5" hidden="1" customHeight="1" x14ac:dyDescent="0.3">
      <c r="A211" s="811"/>
      <c r="B211" s="145"/>
      <c r="C211" s="145"/>
      <c r="D211" s="145"/>
      <c r="E211" s="145"/>
      <c r="F211" s="812"/>
    </row>
    <row r="212" spans="1:8" s="148" customFormat="1" ht="23.25" hidden="1" customHeight="1" x14ac:dyDescent="0.3">
      <c r="A212" s="811"/>
      <c r="B212" s="145"/>
      <c r="C212" s="145"/>
      <c r="D212" s="145"/>
      <c r="E212" s="145"/>
      <c r="F212" s="812"/>
    </row>
    <row r="213" spans="1:8" s="148" customFormat="1" ht="45" hidden="1" customHeight="1" x14ac:dyDescent="0.3">
      <c r="A213" s="811"/>
      <c r="B213" s="145"/>
      <c r="C213" s="145"/>
      <c r="D213" s="145"/>
      <c r="E213" s="145"/>
      <c r="F213" s="812"/>
    </row>
    <row r="214" spans="1:8" s="148" customFormat="1" ht="16.5" hidden="1" customHeight="1" x14ac:dyDescent="0.3">
      <c r="A214" s="811"/>
      <c r="B214" s="145"/>
      <c r="C214" s="145"/>
      <c r="D214" s="145"/>
      <c r="E214" s="145"/>
      <c r="F214" s="812"/>
    </row>
    <row r="215" spans="1:8" s="148" customFormat="1" ht="16.5" hidden="1" customHeight="1" x14ac:dyDescent="0.3">
      <c r="A215" s="811"/>
      <c r="B215" s="145"/>
      <c r="C215" s="145"/>
      <c r="D215" s="145"/>
      <c r="E215" s="145"/>
      <c r="F215" s="812"/>
    </row>
    <row r="216" spans="1:8" s="148" customFormat="1" ht="16.5" hidden="1" customHeight="1" x14ac:dyDescent="0.3">
      <c r="A216" s="811"/>
      <c r="B216" s="145"/>
      <c r="C216" s="145"/>
      <c r="D216" s="145"/>
      <c r="E216" s="145"/>
      <c r="F216" s="812"/>
      <c r="G216" s="149" t="e">
        <f>+E220+#REF!</f>
        <v>#REF!</v>
      </c>
    </row>
    <row r="217" spans="1:8" s="148" customFormat="1" ht="16.5" hidden="1" customHeight="1" x14ac:dyDescent="0.3">
      <c r="A217" s="811"/>
      <c r="B217" s="145"/>
      <c r="C217" s="145"/>
      <c r="D217" s="145"/>
      <c r="E217" s="145"/>
      <c r="F217" s="812"/>
      <c r="G217" s="149">
        <f>+MAYORES!G47</f>
        <v>0</v>
      </c>
    </row>
    <row r="218" spans="1:8" s="148" customFormat="1" ht="42" hidden="1" customHeight="1" x14ac:dyDescent="0.3">
      <c r="A218" s="811"/>
      <c r="B218" s="145"/>
      <c r="C218" s="145"/>
      <c r="D218" s="145"/>
      <c r="E218" s="145"/>
      <c r="F218" s="812"/>
    </row>
    <row r="219" spans="1:8" s="148" customFormat="1" ht="12.75" hidden="1" customHeight="1" x14ac:dyDescent="0.3">
      <c r="A219" s="626"/>
      <c r="B219" s="627"/>
      <c r="C219" s="628">
        <v>15</v>
      </c>
      <c r="D219" s="651"/>
      <c r="E219" s="652"/>
      <c r="F219" s="653"/>
    </row>
    <row r="220" spans="1:8" s="148" customFormat="1" ht="16.5" hidden="1" thickBot="1" x14ac:dyDescent="0.3">
      <c r="A220" s="607" t="e">
        <f>+#REF!</f>
        <v>#REF!</v>
      </c>
      <c r="B220" s="527">
        <v>132</v>
      </c>
      <c r="C220" s="465" t="s">
        <v>247</v>
      </c>
      <c r="D220" s="540"/>
      <c r="E220" s="541">
        <f>+D223+D224</f>
        <v>0</v>
      </c>
      <c r="F220" s="542"/>
    </row>
    <row r="221" spans="1:8" s="148" customFormat="1" ht="16.5" hidden="1" thickBot="1" x14ac:dyDescent="0.3">
      <c r="A221" s="608"/>
      <c r="B221" s="474"/>
      <c r="C221" s="473" t="s">
        <v>250</v>
      </c>
      <c r="D221" s="540"/>
      <c r="E221" s="541"/>
      <c r="F221" s="542"/>
    </row>
    <row r="222" spans="1:8" s="148" customFormat="1" ht="16.5" hidden="1" thickBot="1" x14ac:dyDescent="0.3">
      <c r="A222" s="608"/>
      <c r="B222" s="527">
        <v>133</v>
      </c>
      <c r="C222" s="465" t="s">
        <v>236</v>
      </c>
      <c r="D222" s="429"/>
      <c r="E222" s="650"/>
      <c r="F222" s="542">
        <f>+D223+D224</f>
        <v>0</v>
      </c>
    </row>
    <row r="223" spans="1:8" s="148" customFormat="1" ht="16.5" hidden="1" thickBot="1" x14ac:dyDescent="0.3">
      <c r="A223" s="609"/>
      <c r="B223" s="527"/>
      <c r="C223" s="473" t="s">
        <v>268</v>
      </c>
      <c r="D223" s="429"/>
      <c r="E223" s="650"/>
      <c r="F223" s="542"/>
      <c r="H223" s="149"/>
    </row>
    <row r="224" spans="1:8" s="148" customFormat="1" ht="16.5" hidden="1" thickBot="1" x14ac:dyDescent="0.3">
      <c r="A224" s="608"/>
      <c r="B224" s="527"/>
      <c r="C224" s="473" t="s">
        <v>269</v>
      </c>
      <c r="D224" s="429"/>
      <c r="E224" s="650"/>
      <c r="F224" s="542"/>
      <c r="H224" s="149"/>
    </row>
    <row r="225" spans="1:12" s="148" customFormat="1" ht="24" hidden="1" customHeight="1" x14ac:dyDescent="0.3">
      <c r="A225" s="608"/>
      <c r="B225" s="527"/>
      <c r="C225" s="638" t="s">
        <v>270</v>
      </c>
      <c r="D225" s="429"/>
      <c r="E225" s="650"/>
      <c r="F225" s="542"/>
      <c r="H225" s="149"/>
    </row>
    <row r="226" spans="1:12" s="148" customFormat="1" ht="16.5" hidden="1" thickBot="1" x14ac:dyDescent="0.3">
      <c r="A226" s="813"/>
      <c r="B226" s="549"/>
      <c r="C226" s="549"/>
      <c r="D226" s="654"/>
      <c r="E226" s="543"/>
      <c r="F226" s="814"/>
      <c r="H226" s="149"/>
    </row>
    <row r="227" spans="1:12" s="148" customFormat="1" ht="20.100000000000001" hidden="1" customHeight="1" x14ac:dyDescent="0.3">
      <c r="A227" s="815"/>
      <c r="B227" s="643"/>
      <c r="C227" s="643"/>
      <c r="D227" s="655"/>
      <c r="E227" s="656"/>
      <c r="F227" s="816"/>
    </row>
    <row r="228" spans="1:12" s="148" customFormat="1" ht="20.100000000000001" hidden="1" customHeight="1" x14ac:dyDescent="0.3">
      <c r="A228" s="815"/>
      <c r="B228" s="643"/>
      <c r="C228" s="643"/>
      <c r="D228" s="655"/>
      <c r="E228" s="656"/>
      <c r="F228" s="816"/>
      <c r="I228" s="149"/>
    </row>
    <row r="229" spans="1:12" s="148" customFormat="1" ht="20.100000000000001" hidden="1" customHeight="1" x14ac:dyDescent="0.3">
      <c r="A229" s="815"/>
      <c r="B229" s="643"/>
      <c r="C229" s="643"/>
      <c r="D229" s="655"/>
      <c r="E229" s="656"/>
      <c r="F229" s="816"/>
      <c r="G229" s="149">
        <f>+F62+F131+F232</f>
        <v>61363759.18999999</v>
      </c>
      <c r="I229" s="149"/>
    </row>
    <row r="230" spans="1:12" s="148" customFormat="1" ht="20.100000000000001" hidden="1" customHeight="1" x14ac:dyDescent="0.3">
      <c r="A230" s="815"/>
      <c r="B230" s="643"/>
      <c r="C230" s="643"/>
      <c r="D230" s="655"/>
      <c r="E230" s="656"/>
      <c r="F230" s="816"/>
    </row>
    <row r="231" spans="1:12" s="148" customFormat="1" ht="20.100000000000001" hidden="1" customHeight="1" x14ac:dyDescent="0.3">
      <c r="A231" s="815"/>
      <c r="B231" s="643"/>
      <c r="C231" s="643"/>
      <c r="D231" s="655"/>
      <c r="E231" s="656"/>
      <c r="F231" s="816"/>
    </row>
    <row r="232" spans="1:12" s="148" customFormat="1" ht="24" customHeight="1" thickBot="1" x14ac:dyDescent="0.3">
      <c r="A232" s="1711" t="s">
        <v>160</v>
      </c>
      <c r="B232" s="1712"/>
      <c r="C232" s="1712"/>
      <c r="D232" s="1712"/>
      <c r="E232" s="913">
        <f>SUM(E143:E201)</f>
        <v>495700.64999999997</v>
      </c>
      <c r="F232" s="915">
        <f>SUM(F143:F201)</f>
        <v>495700.64999999997</v>
      </c>
      <c r="G232" s="149">
        <f>+F131+F62+F232</f>
        <v>61363759.18999999</v>
      </c>
    </row>
    <row r="233" spans="1:12" s="148" customFormat="1" ht="7.5" customHeight="1" thickBot="1" x14ac:dyDescent="0.3">
      <c r="A233" s="610"/>
      <c r="B233" s="610"/>
      <c r="C233" s="610"/>
      <c r="D233" s="610"/>
      <c r="E233" s="544"/>
      <c r="F233" s="544"/>
    </row>
    <row r="234" spans="1:12" s="148" customFormat="1" ht="25.5" customHeight="1" thickBot="1" x14ac:dyDescent="0.3">
      <c r="A234" s="1713" t="s">
        <v>163</v>
      </c>
      <c r="B234" s="1714"/>
      <c r="C234" s="1715"/>
      <c r="D234" s="1713" t="s">
        <v>84</v>
      </c>
      <c r="E234" s="1714"/>
      <c r="F234" s="1715"/>
    </row>
    <row r="235" spans="1:12" s="148" customFormat="1" ht="51.75" customHeight="1" thickBot="1" x14ac:dyDescent="0.3">
      <c r="A235" s="1716"/>
      <c r="B235" s="1717"/>
      <c r="C235" s="1718"/>
      <c r="D235" s="1716"/>
      <c r="E235" s="1717"/>
      <c r="F235" s="1718"/>
    </row>
    <row r="236" spans="1:12" s="148" customFormat="1" ht="19.5" customHeight="1" thickBot="1" x14ac:dyDescent="0.3">
      <c r="A236" s="1719" t="s">
        <v>315</v>
      </c>
      <c r="B236" s="1720"/>
      <c r="C236" s="1721"/>
      <c r="D236" s="1719" t="s">
        <v>335</v>
      </c>
      <c r="E236" s="1720"/>
      <c r="F236" s="1721"/>
    </row>
    <row r="237" spans="1:12" s="148" customFormat="1" ht="20.25" customHeight="1" thickBot="1" x14ac:dyDescent="0.3">
      <c r="A237" s="1719" t="s">
        <v>272</v>
      </c>
      <c r="B237" s="1720"/>
      <c r="C237" s="1721"/>
      <c r="D237" s="1719" t="s">
        <v>337</v>
      </c>
      <c r="E237" s="1720"/>
      <c r="F237" s="1721"/>
    </row>
    <row r="238" spans="1:12" s="148" customFormat="1" ht="15.75" hidden="1" customHeight="1" thickBot="1" x14ac:dyDescent="0.3">
      <c r="A238" s="642"/>
      <c r="B238" s="643"/>
      <c r="C238" s="643"/>
      <c r="D238" s="644"/>
      <c r="E238" s="643"/>
      <c r="F238" s="645"/>
    </row>
    <row r="239" spans="1:12" s="148" customFormat="1" ht="15.75" hidden="1" customHeight="1" thickBot="1" x14ac:dyDescent="0.3">
      <c r="A239" s="642"/>
      <c r="B239" s="643"/>
      <c r="C239" s="643"/>
      <c r="D239" s="644"/>
      <c r="E239" s="643"/>
      <c r="F239" s="645"/>
    </row>
    <row r="240" spans="1:12" ht="18" hidden="1" customHeight="1" thickBot="1" x14ac:dyDescent="0.3">
      <c r="A240" s="1722" t="s">
        <v>157</v>
      </c>
      <c r="B240" s="1723"/>
      <c r="C240" s="1723"/>
      <c r="D240" s="1638" t="s">
        <v>1</v>
      </c>
      <c r="E240" s="1639"/>
      <c r="F240" s="1640"/>
      <c r="G240" s="148"/>
      <c r="H240" s="148"/>
      <c r="I240" s="148"/>
      <c r="J240" s="148"/>
      <c r="K240" s="148"/>
      <c r="L240" s="148"/>
    </row>
    <row r="241" spans="1:12" ht="27" hidden="1" customHeight="1" thickBot="1" x14ac:dyDescent="0.25">
      <c r="A241" s="1745" t="s">
        <v>158</v>
      </c>
      <c r="B241" s="1746"/>
      <c r="C241" s="1747"/>
      <c r="D241" s="533" t="s">
        <v>3</v>
      </c>
      <c r="E241" s="534" t="s">
        <v>4</v>
      </c>
      <c r="F241" s="535" t="s">
        <v>5</v>
      </c>
      <c r="G241" s="148"/>
      <c r="H241" s="148"/>
      <c r="I241" s="148"/>
      <c r="J241" s="148"/>
      <c r="K241" s="148"/>
      <c r="L241" s="148"/>
    </row>
    <row r="242" spans="1:12" ht="18.75" hidden="1" customHeight="1" thickBot="1" x14ac:dyDescent="0.3">
      <c r="A242" s="1731" t="s">
        <v>161</v>
      </c>
      <c r="B242" s="1732"/>
      <c r="C242" s="1732"/>
      <c r="D242" s="533" t="s">
        <v>6</v>
      </c>
      <c r="E242" s="536" t="s">
        <v>274</v>
      </c>
      <c r="F242" s="537">
        <v>43585</v>
      </c>
      <c r="G242" s="148"/>
      <c r="H242" s="148"/>
      <c r="I242" s="148"/>
      <c r="J242" s="148"/>
      <c r="K242" s="148"/>
      <c r="L242" s="148"/>
    </row>
    <row r="243" spans="1:12" ht="16.5" hidden="1" customHeight="1" thickBot="1" x14ac:dyDescent="0.3">
      <c r="A243" s="538" t="s">
        <v>5</v>
      </c>
      <c r="B243" s="1645" t="s">
        <v>7</v>
      </c>
      <c r="C243" s="1733" t="s">
        <v>8</v>
      </c>
      <c r="D243" s="1767" t="s">
        <v>159</v>
      </c>
      <c r="E243" s="1638" t="s">
        <v>9</v>
      </c>
      <c r="F243" s="1640"/>
      <c r="G243" s="148"/>
      <c r="H243" s="148"/>
      <c r="I243" s="148"/>
      <c r="J243" s="148"/>
      <c r="K243" s="148"/>
      <c r="L243" s="148"/>
    </row>
    <row r="244" spans="1:12" ht="16.5" hidden="1" customHeight="1" thickBot="1" x14ac:dyDescent="0.3">
      <c r="A244" s="619" t="e">
        <f>+#REF!</f>
        <v>#REF!</v>
      </c>
      <c r="B244" s="1646"/>
      <c r="C244" s="1649"/>
      <c r="D244" s="1652"/>
      <c r="E244" s="1645" t="s">
        <v>10</v>
      </c>
      <c r="F244" s="1654" t="s">
        <v>11</v>
      </c>
      <c r="G244" s="149"/>
      <c r="H244" s="148"/>
      <c r="I244" s="148"/>
      <c r="J244" s="148"/>
      <c r="K244" s="148"/>
      <c r="L244" s="148"/>
    </row>
    <row r="245" spans="1:12" ht="15" hidden="1" customHeight="1" thickBot="1" x14ac:dyDescent="0.3">
      <c r="A245" s="646" t="s">
        <v>12</v>
      </c>
      <c r="B245" s="1738"/>
      <c r="C245" s="1734"/>
      <c r="D245" s="1768"/>
      <c r="E245" s="1738"/>
      <c r="F245" s="1748"/>
      <c r="G245" s="148"/>
      <c r="H245" s="148"/>
      <c r="I245" s="148"/>
      <c r="J245" s="148"/>
      <c r="K245" s="148"/>
      <c r="L245" s="148"/>
    </row>
    <row r="246" spans="1:12" s="148" customFormat="1" ht="16.5" hidden="1" customHeight="1" thickBot="1" x14ac:dyDescent="0.3">
      <c r="A246" s="642"/>
      <c r="B246" s="643"/>
      <c r="C246" s="643"/>
      <c r="D246" s="644"/>
      <c r="E246" s="643"/>
      <c r="F246" s="645"/>
      <c r="G246" s="149"/>
    </row>
    <row r="247" spans="1:12" s="148" customFormat="1" ht="16.5" hidden="1" customHeight="1" thickBot="1" x14ac:dyDescent="0.3">
      <c r="A247" s="642"/>
      <c r="B247" s="643"/>
      <c r="C247" s="643"/>
      <c r="D247" s="644"/>
      <c r="E247" s="643"/>
      <c r="F247" s="645"/>
      <c r="G247" s="149"/>
    </row>
    <row r="248" spans="1:12" s="148" customFormat="1" ht="26.25" hidden="1" customHeight="1" x14ac:dyDescent="0.3">
      <c r="A248" s="665"/>
      <c r="B248" s="627"/>
      <c r="C248" s="666"/>
      <c r="D248" s="651"/>
      <c r="E248" s="652"/>
      <c r="F248" s="652"/>
      <c r="G248" s="149"/>
    </row>
    <row r="249" spans="1:12" s="148" customFormat="1" ht="21.95" hidden="1" customHeight="1" x14ac:dyDescent="0.3">
      <c r="A249" s="664"/>
      <c r="B249" s="527"/>
      <c r="C249" s="465"/>
      <c r="D249" s="540"/>
      <c r="E249" s="541"/>
      <c r="F249" s="541"/>
      <c r="H249" s="149">
        <f>+D293</f>
        <v>0</v>
      </c>
    </row>
    <row r="250" spans="1:12" s="148" customFormat="1" ht="21.95" hidden="1" customHeight="1" x14ac:dyDescent="0.3">
      <c r="A250" s="667"/>
      <c r="B250" s="474"/>
      <c r="C250" s="473"/>
      <c r="D250" s="540"/>
      <c r="E250" s="541"/>
      <c r="F250" s="541"/>
      <c r="H250" s="149">
        <f>+D295</f>
        <v>0</v>
      </c>
    </row>
    <row r="251" spans="1:12" s="148" customFormat="1" ht="21.95" hidden="1" customHeight="1" x14ac:dyDescent="0.3">
      <c r="A251" s="667"/>
      <c r="B251" s="474"/>
      <c r="C251" s="473"/>
      <c r="D251" s="540"/>
      <c r="E251" s="541"/>
      <c r="F251" s="541"/>
      <c r="H251" s="149">
        <f>+D296</f>
        <v>0</v>
      </c>
    </row>
    <row r="252" spans="1:12" s="148" customFormat="1" ht="21.95" hidden="1" customHeight="1" x14ac:dyDescent="0.3">
      <c r="A252" s="667"/>
      <c r="B252" s="474"/>
      <c r="C252" s="473"/>
      <c r="D252" s="657"/>
      <c r="E252" s="650"/>
      <c r="F252" s="541"/>
    </row>
    <row r="253" spans="1:12" s="148" customFormat="1" ht="21.95" hidden="1" customHeight="1" x14ac:dyDescent="0.3">
      <c r="A253" s="667"/>
      <c r="B253" s="474"/>
      <c r="C253" s="473"/>
      <c r="D253" s="657"/>
      <c r="E253" s="650"/>
      <c r="F253" s="541"/>
      <c r="I253" s="149">
        <f>+D276+D277+D278+D279+D280+D281+D282+D283+D284+D285</f>
        <v>0</v>
      </c>
    </row>
    <row r="254" spans="1:12" s="148" customFormat="1" ht="21.95" hidden="1" customHeight="1" x14ac:dyDescent="0.3">
      <c r="A254" s="667"/>
      <c r="B254" s="527"/>
      <c r="C254" s="465"/>
      <c r="D254" s="658"/>
      <c r="E254" s="659"/>
      <c r="F254" s="650"/>
      <c r="I254" s="149">
        <f>+D286+D287+D288+D289</f>
        <v>0</v>
      </c>
    </row>
    <row r="255" spans="1:12" s="148" customFormat="1" ht="21.95" hidden="1" customHeight="1" x14ac:dyDescent="0.3">
      <c r="A255" s="667"/>
      <c r="B255" s="466"/>
      <c r="C255" s="473"/>
      <c r="D255" s="657"/>
      <c r="E255" s="660"/>
      <c r="F255" s="650"/>
      <c r="I255" s="148" t="s">
        <v>266</v>
      </c>
    </row>
    <row r="256" spans="1:12" s="148" customFormat="1" ht="21.95" hidden="1" customHeight="1" x14ac:dyDescent="0.3">
      <c r="A256" s="667"/>
      <c r="B256" s="466"/>
      <c r="C256" s="473"/>
      <c r="D256" s="657"/>
      <c r="E256" s="650"/>
      <c r="F256" s="650"/>
    </row>
    <row r="257" spans="1:7" s="148" customFormat="1" ht="21.95" hidden="1" customHeight="1" x14ac:dyDescent="0.3">
      <c r="A257" s="667"/>
      <c r="B257" s="466"/>
      <c r="C257" s="473"/>
      <c r="D257" s="657"/>
      <c r="E257" s="650"/>
      <c r="F257" s="659"/>
    </row>
    <row r="258" spans="1:7" s="148" customFormat="1" ht="21.95" hidden="1" customHeight="1" x14ac:dyDescent="0.3">
      <c r="A258" s="667"/>
      <c r="B258" s="466"/>
      <c r="C258" s="473"/>
      <c r="D258" s="657"/>
      <c r="E258" s="650"/>
      <c r="F258" s="659"/>
    </row>
    <row r="259" spans="1:7" s="148" customFormat="1" ht="21.95" hidden="1" customHeight="1" x14ac:dyDescent="0.3">
      <c r="A259" s="667"/>
      <c r="B259" s="466"/>
      <c r="C259" s="473"/>
      <c r="D259" s="657"/>
      <c r="E259" s="650"/>
      <c r="F259" s="659"/>
    </row>
    <row r="260" spans="1:7" s="148" customFormat="1" ht="21.95" hidden="1" customHeight="1" x14ac:dyDescent="0.3">
      <c r="A260" s="602"/>
      <c r="B260" s="466"/>
      <c r="C260" s="473"/>
      <c r="D260" s="657"/>
      <c r="E260" s="650"/>
      <c r="F260" s="659"/>
    </row>
    <row r="261" spans="1:7" s="148" customFormat="1" ht="21.95" hidden="1" customHeight="1" x14ac:dyDescent="0.3">
      <c r="A261" s="667"/>
      <c r="B261" s="466"/>
      <c r="C261" s="473"/>
      <c r="D261" s="657"/>
      <c r="E261" s="650"/>
      <c r="F261" s="659"/>
    </row>
    <row r="262" spans="1:7" s="148" customFormat="1" ht="21.95" hidden="1" customHeight="1" x14ac:dyDescent="0.3">
      <c r="A262" s="602"/>
      <c r="B262" s="466"/>
      <c r="C262" s="473"/>
      <c r="D262" s="657"/>
      <c r="E262" s="659"/>
      <c r="F262" s="659"/>
    </row>
    <row r="263" spans="1:7" s="148" customFormat="1" ht="21.95" hidden="1" customHeight="1" x14ac:dyDescent="0.3">
      <c r="A263" s="602"/>
      <c r="B263" s="466"/>
      <c r="C263" s="473"/>
      <c r="D263" s="657"/>
      <c r="E263" s="661"/>
      <c r="F263" s="659"/>
    </row>
    <row r="264" spans="1:7" s="148" customFormat="1" ht="21.95" hidden="1" customHeight="1" x14ac:dyDescent="0.3">
      <c r="A264" s="602"/>
      <c r="B264" s="466"/>
      <c r="C264" s="473"/>
      <c r="D264" s="657"/>
      <c r="E264" s="659"/>
      <c r="F264" s="659"/>
    </row>
    <row r="265" spans="1:7" s="148" customFormat="1" ht="21.95" hidden="1" customHeight="1" x14ac:dyDescent="0.3">
      <c r="A265" s="602"/>
      <c r="B265" s="466"/>
      <c r="C265" s="473"/>
      <c r="D265" s="657"/>
      <c r="E265" s="650"/>
      <c r="F265" s="650"/>
    </row>
    <row r="266" spans="1:7" s="148" customFormat="1" ht="21.95" hidden="1" customHeight="1" x14ac:dyDescent="0.3">
      <c r="A266" s="602"/>
      <c r="B266" s="466"/>
      <c r="C266" s="473"/>
      <c r="D266" s="657"/>
      <c r="E266" s="650"/>
      <c r="F266" s="659"/>
    </row>
    <row r="267" spans="1:7" s="148" customFormat="1" ht="60.75" hidden="1" customHeight="1" x14ac:dyDescent="0.3">
      <c r="A267" s="602"/>
      <c r="B267" s="466"/>
      <c r="C267" s="677"/>
      <c r="D267" s="662"/>
      <c r="E267" s="539"/>
      <c r="F267" s="539"/>
    </row>
    <row r="268" spans="1:7" s="148" customFormat="1" ht="21.75" hidden="1" customHeight="1" x14ac:dyDescent="0.3">
      <c r="A268" s="602"/>
      <c r="B268" s="466"/>
      <c r="C268" s="543"/>
      <c r="D268" s="662"/>
      <c r="E268" s="539"/>
      <c r="F268" s="539"/>
    </row>
    <row r="269" spans="1:7" s="148" customFormat="1" ht="21.95" hidden="1" customHeight="1" x14ac:dyDescent="0.3">
      <c r="A269" s="602"/>
      <c r="B269" s="527"/>
      <c r="C269" s="465"/>
      <c r="D269" s="540"/>
      <c r="E269" s="541"/>
      <c r="F269" s="541"/>
    </row>
    <row r="270" spans="1:7" s="148" customFormat="1" ht="21.95" hidden="1" customHeight="1" x14ac:dyDescent="0.3">
      <c r="A270" s="602"/>
      <c r="B270" s="474"/>
      <c r="C270" s="473"/>
      <c r="D270" s="540"/>
      <c r="E270" s="541"/>
      <c r="F270" s="541"/>
    </row>
    <row r="271" spans="1:7" s="148" customFormat="1" ht="21.95" hidden="1" customHeight="1" x14ac:dyDescent="0.3">
      <c r="A271" s="602"/>
      <c r="B271" s="474"/>
      <c r="C271" s="473"/>
      <c r="D271" s="540"/>
      <c r="E271" s="541"/>
      <c r="F271" s="541"/>
      <c r="G271" s="149">
        <f>+E275-F292</f>
        <v>0</v>
      </c>
    </row>
    <row r="272" spans="1:7" s="148" customFormat="1" ht="24.75" hidden="1" customHeight="1" x14ac:dyDescent="0.3">
      <c r="A272" s="602"/>
      <c r="B272" s="527"/>
      <c r="C272" s="465"/>
      <c r="D272" s="429"/>
      <c r="E272" s="650"/>
      <c r="F272" s="541"/>
    </row>
    <row r="273" spans="1:12" s="148" customFormat="1" ht="38.25" hidden="1" customHeight="1" x14ac:dyDescent="0.3">
      <c r="A273" s="602"/>
      <c r="B273" s="474"/>
      <c r="C273" s="677"/>
      <c r="D273" s="429"/>
      <c r="E273" s="650"/>
      <c r="F273" s="541"/>
    </row>
    <row r="274" spans="1:12" s="148" customFormat="1" ht="17.100000000000001" hidden="1" customHeight="1" x14ac:dyDescent="0.3">
      <c r="A274" s="668"/>
      <c r="B274" s="466"/>
      <c r="C274" s="527"/>
      <c r="D274" s="540"/>
      <c r="E274" s="541"/>
      <c r="F274" s="541"/>
    </row>
    <row r="275" spans="1:12" s="148" customFormat="1" ht="17.100000000000001" hidden="1" customHeight="1" x14ac:dyDescent="0.3">
      <c r="A275" s="668"/>
      <c r="B275" s="527"/>
      <c r="C275" s="465"/>
      <c r="D275" s="658"/>
      <c r="E275" s="650"/>
      <c r="F275" s="650"/>
    </row>
    <row r="276" spans="1:12" s="148" customFormat="1" ht="17.100000000000001" hidden="1" customHeight="1" x14ac:dyDescent="0.3">
      <c r="A276" s="669"/>
      <c r="B276" s="466"/>
      <c r="C276" s="473"/>
      <c r="D276" s="657"/>
      <c r="E276" s="660"/>
      <c r="F276" s="659"/>
    </row>
    <row r="277" spans="1:12" s="148" customFormat="1" ht="17.100000000000001" hidden="1" customHeight="1" x14ac:dyDescent="0.3">
      <c r="A277" s="669"/>
      <c r="B277" s="466"/>
      <c r="C277" s="473"/>
      <c r="D277" s="657"/>
      <c r="E277" s="650"/>
      <c r="F277" s="659"/>
    </row>
    <row r="278" spans="1:12" s="148" customFormat="1" ht="17.100000000000001" hidden="1" customHeight="1" x14ac:dyDescent="0.3">
      <c r="A278" s="669"/>
      <c r="B278" s="466"/>
      <c r="C278" s="473"/>
      <c r="D278" s="657"/>
      <c r="E278" s="650"/>
      <c r="F278" s="659"/>
    </row>
    <row r="279" spans="1:12" s="148" customFormat="1" ht="17.100000000000001" hidden="1" customHeight="1" x14ac:dyDescent="0.3">
      <c r="A279" s="669"/>
      <c r="B279" s="466"/>
      <c r="C279" s="473"/>
      <c r="D279" s="657"/>
      <c r="E279" s="650"/>
      <c r="F279" s="659"/>
    </row>
    <row r="280" spans="1:12" ht="17.100000000000001" hidden="1" customHeight="1" x14ac:dyDescent="0.3">
      <c r="A280" s="669"/>
      <c r="B280" s="466"/>
      <c r="C280" s="473"/>
      <c r="D280" s="657"/>
      <c r="E280" s="650"/>
      <c r="F280" s="659"/>
      <c r="G280" s="149"/>
      <c r="H280" s="148"/>
      <c r="I280" s="148"/>
      <c r="J280" s="148"/>
      <c r="K280" s="148"/>
      <c r="L280" s="148"/>
    </row>
    <row r="281" spans="1:12" ht="17.100000000000001" hidden="1" customHeight="1" x14ac:dyDescent="0.3">
      <c r="A281" s="669"/>
      <c r="B281" s="466"/>
      <c r="C281" s="473"/>
      <c r="D281" s="657"/>
      <c r="E281" s="650"/>
      <c r="F281" s="659"/>
      <c r="G281" s="148"/>
      <c r="H281" s="148"/>
      <c r="I281" s="148"/>
      <c r="J281" s="148"/>
      <c r="K281" s="148"/>
      <c r="L281" s="148"/>
    </row>
    <row r="282" spans="1:12" ht="17.100000000000001" hidden="1" customHeight="1" x14ac:dyDescent="0.3">
      <c r="A282" s="669"/>
      <c r="B282" s="466"/>
      <c r="C282" s="473"/>
      <c r="D282" s="657"/>
      <c r="E282" s="650"/>
      <c r="F282" s="659"/>
      <c r="G282" s="148"/>
      <c r="H282" s="148"/>
      <c r="I282" s="148"/>
      <c r="J282" s="148"/>
      <c r="K282" s="148"/>
      <c r="L282" s="148"/>
    </row>
    <row r="283" spans="1:12" ht="17.100000000000001" hidden="1" customHeight="1" x14ac:dyDescent="0.3">
      <c r="A283" s="669"/>
      <c r="B283" s="466"/>
      <c r="C283" s="473"/>
      <c r="D283" s="657"/>
      <c r="E283" s="659"/>
      <c r="F283" s="659"/>
      <c r="G283" s="148"/>
      <c r="H283" s="148"/>
      <c r="I283" s="148"/>
      <c r="J283" s="148"/>
      <c r="K283" s="148"/>
      <c r="L283" s="148"/>
    </row>
    <row r="284" spans="1:12" ht="17.100000000000001" hidden="1" customHeight="1" x14ac:dyDescent="0.3">
      <c r="A284" s="669"/>
      <c r="B284" s="466"/>
      <c r="C284" s="473"/>
      <c r="D284" s="657"/>
      <c r="E284" s="650"/>
      <c r="F284" s="659"/>
      <c r="G284" s="149"/>
      <c r="H284" s="148"/>
      <c r="I284" s="148"/>
      <c r="J284" s="148"/>
      <c r="K284" s="148"/>
      <c r="L284" s="148"/>
    </row>
    <row r="285" spans="1:12" ht="17.100000000000001" hidden="1" customHeight="1" x14ac:dyDescent="0.3">
      <c r="A285" s="669"/>
      <c r="B285" s="466"/>
      <c r="C285" s="473"/>
      <c r="D285" s="657"/>
      <c r="E285" s="659"/>
      <c r="F285" s="659"/>
      <c r="G285" s="149">
        <f>+'[9]LIB. BANCO 196 '!$H$155</f>
        <v>1473743.8800000001</v>
      </c>
      <c r="H285" s="148"/>
      <c r="I285" s="148"/>
      <c r="J285" s="148"/>
      <c r="K285" s="148"/>
      <c r="L285" s="148"/>
    </row>
    <row r="286" spans="1:12" ht="17.100000000000001" hidden="1" customHeight="1" x14ac:dyDescent="0.3">
      <c r="A286" s="669"/>
      <c r="B286" s="466"/>
      <c r="C286" s="473"/>
      <c r="D286" s="657"/>
      <c r="E286" s="661"/>
      <c r="F286" s="659"/>
      <c r="G286" s="148"/>
      <c r="H286" s="148"/>
      <c r="I286" s="148"/>
      <c r="J286" s="148"/>
      <c r="K286" s="148"/>
      <c r="L286" s="148"/>
    </row>
    <row r="287" spans="1:12" ht="17.100000000000001" hidden="1" customHeight="1" x14ac:dyDescent="0.3">
      <c r="A287" s="669"/>
      <c r="B287" s="466"/>
      <c r="C287" s="473"/>
      <c r="D287" s="657"/>
      <c r="E287" s="659"/>
      <c r="F287" s="659"/>
      <c r="G287" s="148"/>
      <c r="H287" s="148"/>
      <c r="I287" s="148"/>
      <c r="J287" s="148"/>
      <c r="K287" s="148"/>
      <c r="L287" s="148"/>
    </row>
    <row r="288" spans="1:12" ht="17.100000000000001" hidden="1" customHeight="1" x14ac:dyDescent="0.3">
      <c r="A288" s="669"/>
      <c r="B288" s="466"/>
      <c r="C288" s="473"/>
      <c r="D288" s="657"/>
      <c r="E288" s="659"/>
      <c r="F288" s="659"/>
      <c r="G288" s="149"/>
      <c r="H288" s="148"/>
      <c r="I288" s="148"/>
      <c r="J288" s="148"/>
      <c r="K288" s="148"/>
      <c r="L288" s="148"/>
    </row>
    <row r="289" spans="1:12" ht="17.100000000000001" hidden="1" customHeight="1" x14ac:dyDescent="0.3">
      <c r="A289" s="669"/>
      <c r="B289" s="466"/>
      <c r="C289" s="473"/>
      <c r="D289" s="657"/>
      <c r="E289" s="659"/>
      <c r="F289" s="659"/>
      <c r="G289" s="149" t="e">
        <f>+D293+#REF!+#REF!+#REF!+#REF!</f>
        <v>#REF!</v>
      </c>
      <c r="H289" s="148"/>
      <c r="I289" s="148"/>
      <c r="J289" s="148"/>
      <c r="K289" s="148"/>
      <c r="L289" s="148"/>
    </row>
    <row r="290" spans="1:12" ht="17.100000000000001" hidden="1" customHeight="1" x14ac:dyDescent="0.3">
      <c r="A290" s="669"/>
      <c r="B290" s="466"/>
      <c r="C290" s="473"/>
      <c r="D290" s="657"/>
      <c r="E290" s="659"/>
      <c r="F290" s="659"/>
      <c r="G290" s="148"/>
      <c r="H290" s="148"/>
      <c r="I290" s="148"/>
      <c r="J290" s="148"/>
      <c r="K290" s="148"/>
      <c r="L290" s="148"/>
    </row>
    <row r="291" spans="1:12" ht="17.100000000000001" hidden="1" customHeight="1" x14ac:dyDescent="0.3">
      <c r="A291" s="669"/>
      <c r="B291" s="466"/>
      <c r="C291" s="473"/>
      <c r="D291" s="657"/>
      <c r="E291" s="659"/>
      <c r="F291" s="659"/>
      <c r="G291" s="148"/>
      <c r="H291" s="148"/>
      <c r="I291" s="148"/>
      <c r="J291" s="148"/>
      <c r="K291" s="148"/>
      <c r="L291" s="148"/>
    </row>
    <row r="292" spans="1:12" ht="17.100000000000001" hidden="1" customHeight="1" x14ac:dyDescent="0.3">
      <c r="A292" s="667"/>
      <c r="B292" s="527"/>
      <c r="C292" s="465"/>
      <c r="D292" s="540"/>
      <c r="E292" s="541"/>
      <c r="F292" s="541"/>
      <c r="G292" s="148"/>
      <c r="H292" s="148"/>
      <c r="I292" s="148"/>
      <c r="J292" s="148"/>
      <c r="K292" s="148"/>
      <c r="L292" s="148"/>
    </row>
    <row r="293" spans="1:12" ht="17.100000000000001" hidden="1" customHeight="1" x14ac:dyDescent="0.3">
      <c r="A293" s="667"/>
      <c r="B293" s="474"/>
      <c r="C293" s="473"/>
      <c r="D293" s="540"/>
      <c r="E293" s="541"/>
      <c r="F293" s="541"/>
      <c r="G293" s="149" t="e">
        <f>+G285-G289</f>
        <v>#REF!</v>
      </c>
      <c r="H293" s="148"/>
      <c r="I293" s="148"/>
      <c r="J293" s="148"/>
      <c r="K293" s="148"/>
      <c r="L293" s="148"/>
    </row>
    <row r="294" spans="1:12" ht="17.25" hidden="1" customHeight="1" x14ac:dyDescent="0.3">
      <c r="A294" s="667"/>
      <c r="B294" s="474"/>
      <c r="C294" s="473"/>
      <c r="D294" s="540"/>
      <c r="E294" s="541"/>
      <c r="F294" s="541"/>
      <c r="G294" s="149"/>
      <c r="H294" s="148"/>
      <c r="I294" s="148"/>
      <c r="J294" s="148"/>
      <c r="K294" s="148"/>
      <c r="L294" s="148"/>
    </row>
    <row r="295" spans="1:12" ht="17.100000000000001" hidden="1" customHeight="1" x14ac:dyDescent="0.3">
      <c r="A295" s="667"/>
      <c r="B295" s="474"/>
      <c r="C295" s="473"/>
      <c r="D295" s="657"/>
      <c r="E295" s="650"/>
      <c r="F295" s="659"/>
      <c r="G295" s="149"/>
      <c r="H295" s="148"/>
      <c r="I295" s="148"/>
      <c r="J295" s="148"/>
      <c r="K295" s="148"/>
      <c r="L295" s="148"/>
    </row>
    <row r="296" spans="1:12" ht="17.100000000000001" hidden="1" customHeight="1" x14ac:dyDescent="0.3">
      <c r="A296" s="667"/>
      <c r="B296" s="474"/>
      <c r="C296" s="473"/>
      <c r="D296" s="657"/>
      <c r="E296" s="650"/>
      <c r="F296" s="659"/>
      <c r="G296" s="149"/>
      <c r="H296" s="148"/>
      <c r="I296" s="148"/>
      <c r="J296" s="148"/>
      <c r="K296" s="148"/>
      <c r="L296" s="148"/>
    </row>
    <row r="297" spans="1:12" ht="29.25" hidden="1" customHeight="1" x14ac:dyDescent="0.3">
      <c r="A297" s="602"/>
      <c r="B297" s="466"/>
      <c r="C297" s="603"/>
      <c r="D297" s="662"/>
      <c r="E297" s="539"/>
      <c r="F297" s="539"/>
      <c r="G297" s="149"/>
      <c r="H297" s="148"/>
      <c r="I297" s="148"/>
      <c r="J297" s="148"/>
      <c r="K297" s="148"/>
      <c r="L297" s="148"/>
    </row>
    <row r="298" spans="1:12" ht="29.25" hidden="1" customHeight="1" thickBot="1" x14ac:dyDescent="0.3">
      <c r="A298" s="1759" t="s">
        <v>160</v>
      </c>
      <c r="B298" s="1760"/>
      <c r="C298" s="1760"/>
      <c r="D298" s="1761"/>
      <c r="E298" s="649" t="e">
        <f>SUM(+#REF!+E249+E269)</f>
        <v>#REF!</v>
      </c>
      <c r="F298" s="649" t="e">
        <f>SUM(+#REF!+F254+F272)</f>
        <v>#REF!</v>
      </c>
      <c r="G298" s="149"/>
      <c r="H298" s="148"/>
      <c r="I298" s="148"/>
      <c r="J298" s="148"/>
      <c r="K298" s="148"/>
      <c r="L298" s="148"/>
    </row>
    <row r="299" spans="1:12" ht="33.75" hidden="1" customHeight="1" thickBot="1" x14ac:dyDescent="0.3">
      <c r="A299" s="610"/>
      <c r="B299" s="610"/>
      <c r="C299" s="610"/>
      <c r="D299" s="610"/>
      <c r="E299" s="544"/>
      <c r="F299" s="544"/>
      <c r="G299" s="149"/>
      <c r="H299" s="148"/>
      <c r="I299" s="148"/>
      <c r="J299" s="148"/>
      <c r="K299" s="148"/>
      <c r="L299" s="148"/>
    </row>
    <row r="300" spans="1:12" ht="25.5" hidden="1" customHeight="1" thickBot="1" x14ac:dyDescent="0.3">
      <c r="A300" s="1756" t="s">
        <v>163</v>
      </c>
      <c r="B300" s="1758"/>
      <c r="C300" s="641" t="s">
        <v>164</v>
      </c>
      <c r="D300" s="1756" t="s">
        <v>84</v>
      </c>
      <c r="E300" s="1757"/>
      <c r="F300" s="1758"/>
      <c r="G300" s="149"/>
      <c r="H300" s="148"/>
      <c r="I300" s="148"/>
      <c r="J300" s="148"/>
      <c r="K300" s="148"/>
      <c r="L300" s="148"/>
    </row>
    <row r="301" spans="1:12" ht="57" hidden="1" customHeight="1" thickBot="1" x14ac:dyDescent="0.3">
      <c r="A301" s="1716"/>
      <c r="B301" s="1718"/>
      <c r="C301" s="529"/>
      <c r="D301" s="1762"/>
      <c r="E301" s="1763"/>
      <c r="F301" s="530"/>
      <c r="G301" s="149"/>
      <c r="I301" s="148"/>
      <c r="J301" s="148"/>
      <c r="K301" s="148"/>
      <c r="L301" s="148"/>
    </row>
    <row r="302" spans="1:12" ht="19.5" hidden="1" customHeight="1" x14ac:dyDescent="0.3">
      <c r="A302" s="1749" t="s">
        <v>273</v>
      </c>
      <c r="B302" s="1750"/>
      <c r="C302" s="678" t="s">
        <v>226</v>
      </c>
      <c r="D302" s="1749" t="s">
        <v>227</v>
      </c>
      <c r="E302" s="1751"/>
      <c r="F302" s="1750"/>
      <c r="G302" s="149"/>
      <c r="I302" s="148"/>
      <c r="J302" s="148"/>
      <c r="K302" s="148"/>
      <c r="L302" s="148"/>
    </row>
    <row r="303" spans="1:12" ht="15.75" hidden="1" customHeight="1" thickBot="1" x14ac:dyDescent="0.3">
      <c r="A303" s="1752" t="s">
        <v>272</v>
      </c>
      <c r="B303" s="1753"/>
      <c r="C303" s="679" t="s">
        <v>234</v>
      </c>
      <c r="D303" s="1752" t="s">
        <v>188</v>
      </c>
      <c r="E303" s="1754"/>
      <c r="F303" s="1753"/>
      <c r="G303" s="149"/>
      <c r="I303" s="148"/>
      <c r="J303" s="148"/>
      <c r="K303" s="148"/>
      <c r="L303" s="148"/>
    </row>
    <row r="304" spans="1:12" ht="24.75" hidden="1" customHeight="1" thickBot="1" x14ac:dyDescent="0.3">
      <c r="A304" s="1722" t="s">
        <v>157</v>
      </c>
      <c r="B304" s="1723"/>
      <c r="C304" s="1723"/>
      <c r="D304" s="1638" t="s">
        <v>1</v>
      </c>
      <c r="E304" s="1639"/>
      <c r="F304" s="1640"/>
      <c r="G304" s="149"/>
      <c r="I304" s="148"/>
      <c r="J304" s="148"/>
      <c r="K304" s="148"/>
      <c r="L304" s="148"/>
    </row>
    <row r="305" spans="1:12" ht="21.75" hidden="1" customHeight="1" thickBot="1" x14ac:dyDescent="0.25">
      <c r="A305" s="1745" t="s">
        <v>158</v>
      </c>
      <c r="B305" s="1746"/>
      <c r="C305" s="1747"/>
      <c r="D305" s="533" t="s">
        <v>3</v>
      </c>
      <c r="E305" s="534" t="s">
        <v>4</v>
      </c>
      <c r="F305" s="535" t="s">
        <v>5</v>
      </c>
      <c r="G305" s="149"/>
      <c r="L305" s="148"/>
    </row>
    <row r="306" spans="1:12" ht="16.5" hidden="1" customHeight="1" thickBot="1" x14ac:dyDescent="0.3">
      <c r="A306" s="1731" t="s">
        <v>161</v>
      </c>
      <c r="B306" s="1732"/>
      <c r="C306" s="1732"/>
      <c r="D306" s="533" t="s">
        <v>6</v>
      </c>
      <c r="E306" s="536" t="s">
        <v>275</v>
      </c>
      <c r="F306" s="537">
        <f>+F139</f>
        <v>45688</v>
      </c>
      <c r="G306" s="149"/>
      <c r="L306" s="148"/>
    </row>
    <row r="307" spans="1:12" ht="21.75" hidden="1" customHeight="1" thickBot="1" x14ac:dyDescent="0.3">
      <c r="A307" s="538" t="s">
        <v>5</v>
      </c>
      <c r="B307" s="1645" t="s">
        <v>7</v>
      </c>
      <c r="C307" s="1733" t="s">
        <v>8</v>
      </c>
      <c r="D307" s="1767" t="s">
        <v>159</v>
      </c>
      <c r="E307" s="1638" t="s">
        <v>9</v>
      </c>
      <c r="F307" s="1640"/>
      <c r="G307" s="149"/>
      <c r="L307" s="148"/>
    </row>
    <row r="308" spans="1:12" ht="19.5" hidden="1" customHeight="1" thickBot="1" x14ac:dyDescent="0.3">
      <c r="A308" s="619">
        <f>+A141</f>
        <v>45688</v>
      </c>
      <c r="B308" s="1646"/>
      <c r="C308" s="1649"/>
      <c r="D308" s="1652"/>
      <c r="E308" s="1645" t="s">
        <v>10</v>
      </c>
      <c r="F308" s="1654" t="s">
        <v>11</v>
      </c>
      <c r="G308" s="149"/>
      <c r="L308" s="148"/>
    </row>
    <row r="309" spans="1:12" ht="15" hidden="1" customHeight="1" x14ac:dyDescent="0.3">
      <c r="A309" s="732" t="s">
        <v>12</v>
      </c>
      <c r="B309" s="1647"/>
      <c r="C309" s="1650"/>
      <c r="D309" s="1653"/>
      <c r="E309" s="1647"/>
      <c r="F309" s="1655"/>
      <c r="G309" s="149"/>
      <c r="L309" s="148"/>
    </row>
    <row r="310" spans="1:12" ht="17.25" hidden="1" customHeight="1" x14ac:dyDescent="0.3">
      <c r="A310" s="624"/>
      <c r="B310" s="543"/>
      <c r="C310" s="735"/>
      <c r="D310" s="429"/>
      <c r="E310" s="539"/>
      <c r="F310" s="430"/>
      <c r="G310" s="149"/>
      <c r="L310" s="148"/>
    </row>
    <row r="311" spans="1:12" ht="19.5" hidden="1" customHeight="1" x14ac:dyDescent="0.3">
      <c r="A311" s="624"/>
      <c r="B311" s="527">
        <v>133</v>
      </c>
      <c r="C311" s="465" t="s">
        <v>236</v>
      </c>
      <c r="D311" s="547"/>
      <c r="E311" s="430">
        <f>SUM(D312:D312)</f>
        <v>0</v>
      </c>
      <c r="F311" s="429"/>
      <c r="G311" s="149"/>
      <c r="L311" s="148"/>
    </row>
    <row r="312" spans="1:12" ht="19.5" hidden="1" customHeight="1" x14ac:dyDescent="0.3">
      <c r="A312" s="624"/>
      <c r="B312" s="474"/>
      <c r="C312" s="473" t="s">
        <v>282</v>
      </c>
      <c r="D312" s="429"/>
      <c r="E312" s="547"/>
      <c r="F312" s="429"/>
      <c r="G312" s="148"/>
      <c r="L312" s="148"/>
    </row>
    <row r="313" spans="1:12" ht="21" hidden="1" customHeight="1" x14ac:dyDescent="0.3">
      <c r="A313" s="624"/>
      <c r="B313" s="527">
        <v>132</v>
      </c>
      <c r="C313" s="465" t="s">
        <v>247</v>
      </c>
      <c r="D313" s="547"/>
      <c r="E313" s="547"/>
      <c r="F313" s="430">
        <f>SUM(D312:D312)</f>
        <v>0</v>
      </c>
      <c r="G313" s="148"/>
      <c r="L313" s="148"/>
    </row>
    <row r="314" spans="1:12" ht="23.25" hidden="1" customHeight="1" x14ac:dyDescent="0.25">
      <c r="A314" s="624"/>
      <c r="B314" s="474"/>
      <c r="C314" s="606" t="s">
        <v>283</v>
      </c>
      <c r="D314" s="736"/>
      <c r="E314" s="547"/>
      <c r="F314" s="429"/>
      <c r="G314" s="148"/>
      <c r="L314" s="148"/>
    </row>
    <row r="315" spans="1:12" ht="35.25" hidden="1" customHeight="1" x14ac:dyDescent="0.3">
      <c r="A315" s="624"/>
      <c r="B315" s="543"/>
      <c r="C315" s="677" t="s">
        <v>286</v>
      </c>
      <c r="D315" s="429"/>
      <c r="E315" s="539"/>
      <c r="F315" s="430"/>
      <c r="G315" s="148"/>
      <c r="L315" s="148"/>
    </row>
    <row r="316" spans="1:12" ht="15.75" hidden="1" customHeight="1" x14ac:dyDescent="0.3">
      <c r="A316" s="624"/>
      <c r="B316" s="543"/>
      <c r="C316" s="735">
        <v>15</v>
      </c>
      <c r="D316" s="429"/>
      <c r="E316" s="539"/>
      <c r="F316" s="430"/>
      <c r="G316" s="148"/>
      <c r="H316" s="148"/>
      <c r="L316" s="148"/>
    </row>
    <row r="317" spans="1:12" ht="16.5" hidden="1" customHeight="1" x14ac:dyDescent="0.3">
      <c r="A317" s="624"/>
      <c r="B317" s="527">
        <v>133</v>
      </c>
      <c r="C317" s="465" t="s">
        <v>236</v>
      </c>
      <c r="D317" s="547"/>
      <c r="E317" s="430">
        <f>SUM(D318:D318)</f>
        <v>0</v>
      </c>
      <c r="F317" s="429"/>
      <c r="G317" s="148"/>
      <c r="L317" s="148"/>
    </row>
    <row r="318" spans="1:12" ht="16.5" hidden="1" customHeight="1" x14ac:dyDescent="0.3">
      <c r="A318" s="624"/>
      <c r="B318" s="474"/>
      <c r="C318" s="473" t="s">
        <v>282</v>
      </c>
      <c r="D318" s="429"/>
      <c r="E318" s="547"/>
      <c r="F318" s="429"/>
      <c r="G318" s="148"/>
      <c r="L318" s="148"/>
    </row>
    <row r="319" spans="1:12" ht="17.25" hidden="1" customHeight="1" x14ac:dyDescent="0.3">
      <c r="A319" s="624"/>
      <c r="B319" s="527">
        <v>132</v>
      </c>
      <c r="C319" s="465" t="s">
        <v>247</v>
      </c>
      <c r="D319" s="547"/>
      <c r="E319" s="547"/>
      <c r="F319" s="430">
        <f>SUM(D318:D318)</f>
        <v>0</v>
      </c>
      <c r="G319" s="148"/>
      <c r="L319" s="148"/>
    </row>
    <row r="320" spans="1:12" ht="15.75" hidden="1" customHeight="1" x14ac:dyDescent="0.25">
      <c r="A320" s="624"/>
      <c r="B320" s="474"/>
      <c r="C320" s="606" t="s">
        <v>284</v>
      </c>
      <c r="D320" s="736"/>
      <c r="E320" s="547"/>
      <c r="F320" s="429"/>
      <c r="G320" s="148"/>
      <c r="I320" s="148"/>
      <c r="J320" s="148"/>
      <c r="K320" s="148"/>
      <c r="L320" s="148"/>
    </row>
    <row r="321" spans="1:12" ht="16.5" hidden="1" customHeight="1" x14ac:dyDescent="0.3">
      <c r="A321" s="624"/>
      <c r="B321" s="543"/>
      <c r="C321" s="677" t="s">
        <v>285</v>
      </c>
      <c r="D321" s="429"/>
      <c r="E321" s="539"/>
      <c r="F321" s="430"/>
      <c r="G321" s="148"/>
      <c r="L321" s="148"/>
    </row>
    <row r="322" spans="1:12" ht="17.25" hidden="1" customHeight="1" x14ac:dyDescent="0.3">
      <c r="A322" s="624"/>
      <c r="B322" s="624"/>
      <c r="C322" s="624">
        <v>16</v>
      </c>
      <c r="D322" s="431"/>
      <c r="E322" s="431"/>
      <c r="F322" s="431"/>
      <c r="G322" s="148"/>
      <c r="L322" s="148"/>
    </row>
    <row r="323" spans="1:12" ht="16.5" hidden="1" customHeight="1" x14ac:dyDescent="0.3">
      <c r="A323" s="624"/>
      <c r="B323" s="676">
        <v>132</v>
      </c>
      <c r="C323" s="722" t="s">
        <v>247</v>
      </c>
      <c r="D323" s="431"/>
      <c r="E323" s="739">
        <f>SUM(D324)</f>
        <v>0</v>
      </c>
      <c r="F323" s="431"/>
      <c r="L323" s="148"/>
    </row>
    <row r="324" spans="1:12" ht="18.75" hidden="1" customHeight="1" x14ac:dyDescent="0.3">
      <c r="A324" s="624"/>
      <c r="B324" s="733"/>
      <c r="C324" s="734" t="s">
        <v>249</v>
      </c>
      <c r="D324" s="428"/>
      <c r="E324" s="431"/>
      <c r="F324" s="431"/>
      <c r="L324" s="148"/>
    </row>
    <row r="325" spans="1:12" ht="18" hidden="1" customHeight="1" x14ac:dyDescent="0.3">
      <c r="A325" s="624"/>
      <c r="B325" s="676">
        <v>133</v>
      </c>
      <c r="C325" s="722" t="s">
        <v>236</v>
      </c>
      <c r="D325" s="431"/>
      <c r="E325" s="431"/>
      <c r="F325" s="739">
        <f>+E323</f>
        <v>0</v>
      </c>
      <c r="L325" s="148"/>
    </row>
    <row r="326" spans="1:12" ht="15.75" hidden="1" customHeight="1" x14ac:dyDescent="0.3">
      <c r="A326" s="624"/>
      <c r="B326" s="676"/>
      <c r="C326" s="723" t="s">
        <v>287</v>
      </c>
      <c r="D326" s="431"/>
      <c r="E326" s="431"/>
      <c r="F326" s="431"/>
      <c r="G326" s="144"/>
      <c r="L326" s="148"/>
    </row>
    <row r="327" spans="1:12" ht="33.75" hidden="1" customHeight="1" x14ac:dyDescent="0.3">
      <c r="A327" s="624"/>
      <c r="B327" s="624"/>
      <c r="C327" s="738" t="s">
        <v>288</v>
      </c>
      <c r="D327" s="431"/>
      <c r="E327" s="431"/>
      <c r="F327" s="431"/>
    </row>
    <row r="328" spans="1:12" ht="16.5" hidden="1" customHeight="1" x14ac:dyDescent="0.3">
      <c r="A328" s="624"/>
      <c r="B328" s="624"/>
      <c r="C328" s="431"/>
      <c r="D328" s="431"/>
      <c r="E328" s="431"/>
      <c r="F328" s="431"/>
    </row>
    <row r="329" spans="1:12" ht="16.5" hidden="1" customHeight="1" x14ac:dyDescent="0.3">
      <c r="A329" s="624"/>
      <c r="B329" s="624"/>
      <c r="C329" s="431"/>
      <c r="D329" s="431"/>
      <c r="E329" s="431"/>
      <c r="F329" s="431"/>
    </row>
    <row r="330" spans="1:12" ht="19.5" hidden="1" customHeight="1" x14ac:dyDescent="0.3">
      <c r="A330" s="624"/>
      <c r="B330" s="624"/>
      <c r="C330" s="431"/>
      <c r="D330" s="431"/>
      <c r="E330" s="431"/>
      <c r="F330" s="431"/>
    </row>
    <row r="331" spans="1:12" ht="16.5" hidden="1" customHeight="1" x14ac:dyDescent="0.3">
      <c r="A331" s="624"/>
      <c r="B331" s="624"/>
      <c r="C331" s="431"/>
      <c r="D331" s="431"/>
      <c r="E331" s="431"/>
      <c r="F331" s="431"/>
    </row>
    <row r="332" spans="1:12" ht="18" hidden="1" customHeight="1" x14ac:dyDescent="0.3">
      <c r="A332" s="624"/>
      <c r="B332" s="624"/>
      <c r="C332" s="431"/>
      <c r="D332" s="431"/>
      <c r="E332" s="431"/>
      <c r="F332" s="431"/>
    </row>
    <row r="333" spans="1:12" ht="18.75" hidden="1" customHeight="1" x14ac:dyDescent="0.3">
      <c r="A333" s="624"/>
      <c r="B333" s="624"/>
      <c r="C333" s="431"/>
      <c r="D333" s="431"/>
      <c r="E333" s="431"/>
      <c r="F333" s="431"/>
    </row>
    <row r="334" spans="1:12" ht="18" hidden="1" customHeight="1" x14ac:dyDescent="0.3">
      <c r="A334" s="624"/>
      <c r="B334" s="624"/>
      <c r="C334" s="431"/>
      <c r="D334" s="431"/>
      <c r="E334" s="431"/>
      <c r="F334" s="431"/>
    </row>
    <row r="335" spans="1:12" ht="42" hidden="1" customHeight="1" x14ac:dyDescent="0.3">
      <c r="A335" s="624"/>
      <c r="B335" s="624"/>
      <c r="C335" s="431"/>
      <c r="D335" s="431"/>
      <c r="E335" s="431"/>
      <c r="F335" s="431"/>
    </row>
    <row r="336" spans="1:12" ht="12.95" hidden="1" customHeight="1" x14ac:dyDescent="0.3">
      <c r="A336" s="582"/>
      <c r="B336" s="583"/>
      <c r="C336" s="584"/>
      <c r="D336" s="585"/>
      <c r="E336" s="586"/>
      <c r="F336" s="587"/>
    </row>
    <row r="337" spans="1:11" ht="12.95" hidden="1" customHeight="1" x14ac:dyDescent="0.3">
      <c r="A337" s="545"/>
      <c r="B337" s="554"/>
      <c r="C337" s="558"/>
      <c r="D337" s="555"/>
      <c r="E337" s="556"/>
      <c r="F337" s="557"/>
      <c r="G337" s="144" t="e">
        <f>+#REF!+#REF!+F292+F254</f>
        <v>#REF!</v>
      </c>
    </row>
    <row r="338" spans="1:11" ht="12.95" hidden="1" customHeight="1" x14ac:dyDescent="0.3">
      <c r="A338" s="545"/>
      <c r="B338" s="554"/>
      <c r="C338" s="558"/>
      <c r="D338" s="555"/>
      <c r="E338" s="556"/>
      <c r="F338" s="557"/>
      <c r="G338" s="148"/>
    </row>
    <row r="339" spans="1:11" ht="12.95" hidden="1" customHeight="1" x14ac:dyDescent="0.3">
      <c r="A339" s="545"/>
      <c r="B339" s="554"/>
      <c r="C339" s="558"/>
      <c r="D339" s="555"/>
      <c r="E339" s="556"/>
      <c r="F339" s="557"/>
    </row>
    <row r="340" spans="1:11" ht="12.95" hidden="1" customHeight="1" x14ac:dyDescent="0.3">
      <c r="A340" s="551"/>
      <c r="B340" s="548"/>
      <c r="C340" s="434"/>
      <c r="D340" s="546"/>
      <c r="E340" s="552"/>
      <c r="F340" s="553"/>
    </row>
    <row r="341" spans="1:11" ht="22.5" hidden="1" customHeight="1" thickBot="1" x14ac:dyDescent="0.3">
      <c r="A341" s="1742" t="s">
        <v>160</v>
      </c>
      <c r="B341" s="1743"/>
      <c r="C341" s="1743"/>
      <c r="D341" s="1744"/>
      <c r="E341" s="649"/>
      <c r="F341" s="649"/>
    </row>
    <row r="342" spans="1:11" s="148" customFormat="1" ht="14.25" hidden="1" customHeight="1" thickBot="1" x14ac:dyDescent="0.3">
      <c r="A342" s="532"/>
      <c r="B342" s="532"/>
      <c r="C342" s="532"/>
      <c r="D342" s="532"/>
      <c r="E342" s="544"/>
      <c r="F342" s="544"/>
      <c r="G342" s="141"/>
      <c r="H342" s="141"/>
      <c r="I342" s="141"/>
      <c r="J342" s="141"/>
      <c r="K342" s="141"/>
    </row>
    <row r="343" spans="1:11" ht="21" hidden="1" customHeight="1" thickBot="1" x14ac:dyDescent="0.3">
      <c r="A343" s="1713" t="s">
        <v>163</v>
      </c>
      <c r="B343" s="1714"/>
      <c r="C343" s="1715"/>
      <c r="D343" s="1713" t="s">
        <v>84</v>
      </c>
      <c r="E343" s="1714"/>
      <c r="F343" s="1715"/>
    </row>
    <row r="344" spans="1:11" ht="74.25" hidden="1" customHeight="1" thickBot="1" x14ac:dyDescent="0.3">
      <c r="A344" s="1716"/>
      <c r="B344" s="1717"/>
      <c r="C344" s="1718"/>
      <c r="D344" s="1716"/>
      <c r="E344" s="1717"/>
      <c r="F344" s="1718"/>
    </row>
    <row r="345" spans="1:11" ht="18.75" hidden="1" customHeight="1" thickBot="1" x14ac:dyDescent="0.3">
      <c r="A345" s="1713" t="s">
        <v>273</v>
      </c>
      <c r="B345" s="1714"/>
      <c r="C345" s="1715"/>
      <c r="D345" s="1713" t="s">
        <v>227</v>
      </c>
      <c r="E345" s="1714"/>
      <c r="F345" s="1715"/>
    </row>
    <row r="346" spans="1:11" ht="18" hidden="1" customHeight="1" thickBot="1" x14ac:dyDescent="0.3">
      <c r="A346" s="1713" t="s">
        <v>272</v>
      </c>
      <c r="B346" s="1714"/>
      <c r="C346" s="1715"/>
      <c r="D346" s="1739" t="s">
        <v>188</v>
      </c>
      <c r="E346" s="1740"/>
      <c r="F346" s="1741"/>
    </row>
    <row r="347" spans="1:11" ht="24.75" hidden="1" customHeight="1" thickBot="1" x14ac:dyDescent="0.3">
      <c r="A347" s="1722" t="s">
        <v>157</v>
      </c>
      <c r="B347" s="1723"/>
      <c r="C347" s="1723"/>
      <c r="D347" s="1638" t="s">
        <v>1</v>
      </c>
      <c r="E347" s="1639"/>
      <c r="F347" s="1640"/>
    </row>
    <row r="348" spans="1:11" ht="23.25" hidden="1" customHeight="1" thickBot="1" x14ac:dyDescent="0.25">
      <c r="A348" s="1745" t="s">
        <v>158</v>
      </c>
      <c r="B348" s="1746"/>
      <c r="C348" s="1747"/>
      <c r="D348" s="533" t="s">
        <v>3</v>
      </c>
      <c r="E348" s="534" t="s">
        <v>4</v>
      </c>
      <c r="F348" s="535" t="s">
        <v>5</v>
      </c>
    </row>
    <row r="349" spans="1:11" ht="18" hidden="1" customHeight="1" thickBot="1" x14ac:dyDescent="0.3">
      <c r="A349" s="1731" t="s">
        <v>161</v>
      </c>
      <c r="B349" s="1732"/>
      <c r="C349" s="1732"/>
      <c r="D349" s="533" t="s">
        <v>6</v>
      </c>
      <c r="E349" s="536" t="s">
        <v>278</v>
      </c>
      <c r="F349" s="537">
        <f>+F306</f>
        <v>45688</v>
      </c>
    </row>
    <row r="350" spans="1:11" ht="16.5" hidden="1" customHeight="1" thickBot="1" x14ac:dyDescent="0.3">
      <c r="A350" s="538" t="s">
        <v>5</v>
      </c>
      <c r="B350" s="1645" t="s">
        <v>7</v>
      </c>
      <c r="C350" s="1733" t="s">
        <v>8</v>
      </c>
      <c r="D350" s="1767" t="s">
        <v>159</v>
      </c>
      <c r="E350" s="1638" t="s">
        <v>9</v>
      </c>
      <c r="F350" s="1640"/>
    </row>
    <row r="351" spans="1:11" ht="18" hidden="1" customHeight="1" thickBot="1" x14ac:dyDescent="0.3">
      <c r="A351" s="619">
        <f>+F306</f>
        <v>45688</v>
      </c>
      <c r="B351" s="1646"/>
      <c r="C351" s="1649"/>
      <c r="D351" s="1652"/>
      <c r="E351" s="1645" t="s">
        <v>10</v>
      </c>
      <c r="F351" s="1654" t="s">
        <v>11</v>
      </c>
    </row>
    <row r="352" spans="1:11" ht="19.5" hidden="1" customHeight="1" thickBot="1" x14ac:dyDescent="0.3">
      <c r="A352" s="646" t="s">
        <v>12</v>
      </c>
      <c r="B352" s="1738"/>
      <c r="C352" s="1734"/>
      <c r="D352" s="1768"/>
      <c r="E352" s="1738"/>
      <c r="F352" s="1748"/>
    </row>
    <row r="353" spans="1:1" ht="18.75" hidden="1" customHeight="1" x14ac:dyDescent="0.3">
      <c r="A353" s="670" t="e">
        <f>+#REF!</f>
        <v>#REF!</v>
      </c>
    </row>
    <row r="354" spans="1:1" ht="18.75" hidden="1" thickBot="1" x14ac:dyDescent="0.3">
      <c r="A354" s="671"/>
    </row>
    <row r="355" spans="1:1" ht="21" hidden="1" customHeight="1" x14ac:dyDescent="0.3">
      <c r="A355" s="672"/>
    </row>
    <row r="356" spans="1:1" ht="18.75" hidden="1" customHeight="1" x14ac:dyDescent="0.3">
      <c r="A356" s="672"/>
    </row>
    <row r="357" spans="1:1" ht="20.25" hidden="1" customHeight="1" x14ac:dyDescent="0.3">
      <c r="A357" s="671" t="e">
        <f>+A353</f>
        <v>#REF!</v>
      </c>
    </row>
    <row r="358" spans="1:1" ht="30" hidden="1" customHeight="1" x14ac:dyDescent="0.3">
      <c r="A358" s="671"/>
    </row>
    <row r="359" spans="1:1" ht="18.75" hidden="1" thickBot="1" x14ac:dyDescent="0.3">
      <c r="A359" s="671"/>
    </row>
    <row r="360" spans="1:1" ht="15.75" hidden="1" thickBot="1" x14ac:dyDescent="0.3">
      <c r="A360" s="673"/>
    </row>
    <row r="361" spans="1:1" ht="18.75" hidden="1" thickBot="1" x14ac:dyDescent="0.3">
      <c r="A361" s="671"/>
    </row>
    <row r="362" spans="1:1" ht="15.75" hidden="1" thickBot="1" x14ac:dyDescent="0.3">
      <c r="A362" s="673"/>
    </row>
    <row r="363" spans="1:1" ht="15.75" hidden="1" thickBot="1" x14ac:dyDescent="0.3">
      <c r="A363" s="673"/>
    </row>
    <row r="364" spans="1:1" ht="15.75" hidden="1" thickBot="1" x14ac:dyDescent="0.3">
      <c r="A364" s="673"/>
    </row>
    <row r="365" spans="1:1" ht="15.75" hidden="1" thickBot="1" x14ac:dyDescent="0.3">
      <c r="A365" s="673"/>
    </row>
    <row r="366" spans="1:1" ht="15.75" hidden="1" thickBot="1" x14ac:dyDescent="0.3">
      <c r="A366" s="673"/>
    </row>
    <row r="367" spans="1:1" ht="15.75" hidden="1" thickBot="1" x14ac:dyDescent="0.3">
      <c r="A367" s="674"/>
    </row>
    <row r="368" spans="1:1" ht="15.75" hidden="1" thickBot="1" x14ac:dyDescent="0.3">
      <c r="A368" s="673"/>
    </row>
    <row r="369" spans="1:6" ht="18.75" hidden="1" customHeight="1" x14ac:dyDescent="0.3">
      <c r="A369" s="675"/>
    </row>
    <row r="370" spans="1:6" ht="18" hidden="1" customHeight="1" x14ac:dyDescent="0.3">
      <c r="A370" s="674"/>
    </row>
    <row r="371" spans="1:6" ht="18.75" hidden="1" customHeight="1" x14ac:dyDescent="0.3">
      <c r="A371" s="671"/>
    </row>
    <row r="372" spans="1:6" ht="16.5" hidden="1" customHeight="1" x14ac:dyDescent="0.3">
      <c r="A372" s="673"/>
    </row>
    <row r="373" spans="1:6" ht="20.25" hidden="1" customHeight="1" x14ac:dyDescent="0.3">
      <c r="A373" s="673"/>
    </row>
    <row r="374" spans="1:6" ht="19.5" hidden="1" thickBot="1" x14ac:dyDescent="0.3">
      <c r="A374" s="667"/>
      <c r="B374" s="474"/>
      <c r="C374" s="473"/>
      <c r="D374" s="696"/>
      <c r="E374" s="650"/>
      <c r="F374" s="659"/>
    </row>
    <row r="375" spans="1:6" ht="19.5" hidden="1" thickBot="1" x14ac:dyDescent="0.3">
      <c r="A375" s="667"/>
      <c r="B375" s="474"/>
      <c r="C375" s="473"/>
      <c r="D375" s="696"/>
      <c r="E375" s="650"/>
      <c r="F375" s="659"/>
    </row>
    <row r="376" spans="1:6" ht="16.5" hidden="1" thickBot="1" x14ac:dyDescent="0.3">
      <c r="A376" s="602"/>
      <c r="B376" s="466"/>
      <c r="C376" s="603"/>
      <c r="D376" s="662"/>
      <c r="E376" s="539"/>
      <c r="F376" s="539"/>
    </row>
    <row r="377" spans="1:6" ht="18.75" hidden="1" thickBot="1" x14ac:dyDescent="0.3">
      <c r="A377" s="670"/>
      <c r="B377" s="695"/>
      <c r="C377" s="531"/>
      <c r="D377" s="560"/>
      <c r="E377" s="550"/>
      <c r="F377" s="550"/>
    </row>
    <row r="378" spans="1:6" ht="18.75" hidden="1" thickBot="1" x14ac:dyDescent="0.3">
      <c r="A378" s="671"/>
      <c r="B378" s="531"/>
      <c r="C378" s="573"/>
      <c r="D378" s="560"/>
      <c r="E378" s="550"/>
      <c r="F378" s="550"/>
    </row>
    <row r="379" spans="1:6" ht="18.75" hidden="1" thickBot="1" x14ac:dyDescent="0.3">
      <c r="A379" s="672"/>
      <c r="B379" s="531"/>
      <c r="C379" s="573"/>
      <c r="D379" s="560"/>
      <c r="E379" s="550"/>
      <c r="F379" s="550"/>
    </row>
    <row r="380" spans="1:6" ht="18.75" hidden="1" thickBot="1" x14ac:dyDescent="0.3">
      <c r="A380" s="672"/>
      <c r="B380" s="554"/>
      <c r="C380" s="647"/>
      <c r="D380" s="560"/>
      <c r="E380" s="550"/>
      <c r="F380" s="550"/>
    </row>
    <row r="381" spans="1:6" ht="18.75" hidden="1" thickBot="1" x14ac:dyDescent="0.3">
      <c r="A381" s="671"/>
      <c r="B381" s="695"/>
      <c r="C381" s="531"/>
      <c r="D381" s="560"/>
      <c r="E381" s="550"/>
      <c r="F381" s="550"/>
    </row>
    <row r="382" spans="1:6" ht="18.75" hidden="1" thickBot="1" x14ac:dyDescent="0.3">
      <c r="A382" s="671"/>
      <c r="B382" s="559"/>
      <c r="C382" s="648"/>
      <c r="D382" s="560"/>
      <c r="E382" s="550"/>
      <c r="F382" s="550"/>
    </row>
    <row r="383" spans="1:6" ht="18.75" hidden="1" thickBot="1" x14ac:dyDescent="0.3">
      <c r="A383" s="671"/>
      <c r="B383" s="474"/>
      <c r="C383" s="574"/>
      <c r="D383" s="540"/>
      <c r="E383" s="541"/>
      <c r="F383" s="541"/>
    </row>
    <row r="384" spans="1:6" ht="16.5" hidden="1" thickBot="1" x14ac:dyDescent="0.3">
      <c r="A384" s="673"/>
      <c r="B384" s="474"/>
      <c r="C384" s="575"/>
      <c r="D384" s="540"/>
      <c r="E384" s="541"/>
      <c r="F384" s="541"/>
    </row>
    <row r="385" spans="1:8" ht="18.75" hidden="1" thickBot="1" x14ac:dyDescent="0.3">
      <c r="A385" s="671"/>
      <c r="B385" s="474"/>
      <c r="C385" s="575"/>
      <c r="D385" s="540"/>
      <c r="E385" s="541"/>
      <c r="F385" s="541"/>
    </row>
    <row r="386" spans="1:8" ht="16.5" hidden="1" thickBot="1" x14ac:dyDescent="0.3">
      <c r="A386" s="673"/>
      <c r="B386" s="474"/>
      <c r="C386" s="576"/>
      <c r="D386" s="540"/>
      <c r="E386" s="541"/>
      <c r="F386" s="541"/>
      <c r="H386" s="148"/>
    </row>
    <row r="387" spans="1:8" ht="16.5" hidden="1" thickBot="1" x14ac:dyDescent="0.3">
      <c r="A387" s="673"/>
      <c r="B387" s="474"/>
      <c r="C387" s="577"/>
      <c r="D387" s="540"/>
      <c r="E387" s="541"/>
      <c r="F387" s="541"/>
      <c r="H387" s="149"/>
    </row>
    <row r="388" spans="1:8" ht="16.5" hidden="1" thickBot="1" x14ac:dyDescent="0.3">
      <c r="A388" s="673"/>
      <c r="B388" s="474"/>
      <c r="C388" s="578"/>
      <c r="D388" s="540"/>
      <c r="E388" s="541"/>
      <c r="F388" s="541"/>
      <c r="H388" s="148"/>
    </row>
    <row r="389" spans="1:8" ht="16.5" hidden="1" thickBot="1" x14ac:dyDescent="0.3">
      <c r="A389" s="673"/>
      <c r="B389" s="474"/>
      <c r="C389" s="579"/>
      <c r="D389" s="547"/>
      <c r="E389" s="539"/>
      <c r="F389" s="539"/>
      <c r="H389" s="148"/>
    </row>
    <row r="390" spans="1:8" ht="16.5" hidden="1" thickBot="1" x14ac:dyDescent="0.3">
      <c r="A390" s="673"/>
      <c r="B390" s="474"/>
      <c r="C390" s="579"/>
      <c r="D390" s="547"/>
      <c r="E390" s="539"/>
      <c r="F390" s="539"/>
      <c r="H390" s="898"/>
    </row>
    <row r="391" spans="1:8" ht="16.5" hidden="1" thickBot="1" x14ac:dyDescent="0.3">
      <c r="A391" s="674"/>
      <c r="B391" s="474"/>
      <c r="C391" s="579"/>
      <c r="D391" s="547"/>
      <c r="E391" s="539"/>
      <c r="F391" s="539"/>
      <c r="H391" s="898"/>
    </row>
    <row r="392" spans="1:8" ht="16.5" hidden="1" thickBot="1" x14ac:dyDescent="0.3">
      <c r="A392" s="673"/>
      <c r="B392" s="474"/>
      <c r="C392" s="577"/>
      <c r="D392" s="547"/>
      <c r="E392" s="539"/>
      <c r="F392" s="539"/>
      <c r="H392" s="144"/>
    </row>
    <row r="393" spans="1:8" ht="16.5" hidden="1" thickBot="1" x14ac:dyDescent="0.3">
      <c r="A393" s="675"/>
      <c r="B393" s="474"/>
      <c r="C393" s="580"/>
      <c r="D393" s="547"/>
      <c r="E393" s="539"/>
      <c r="F393" s="539"/>
      <c r="H393" s="144"/>
    </row>
    <row r="394" spans="1:8" ht="16.5" hidden="1" thickBot="1" x14ac:dyDescent="0.3">
      <c r="A394" s="674"/>
      <c r="B394" s="474"/>
      <c r="C394" s="581"/>
      <c r="D394" s="547"/>
      <c r="E394" s="539"/>
      <c r="F394" s="539"/>
    </row>
    <row r="395" spans="1:8" ht="18.75" hidden="1" thickBot="1" x14ac:dyDescent="0.3">
      <c r="A395" s="671"/>
      <c r="B395" s="527"/>
      <c r="C395" s="465"/>
      <c r="D395" s="547"/>
      <c r="E395" s="430"/>
      <c r="F395" s="539"/>
    </row>
    <row r="396" spans="1:8" ht="16.5" hidden="1" thickBot="1" x14ac:dyDescent="0.3">
      <c r="A396" s="673"/>
      <c r="B396" s="527"/>
      <c r="C396" s="465"/>
      <c r="D396" s="547"/>
      <c r="E396" s="539"/>
      <c r="F396" s="430"/>
    </row>
    <row r="397" spans="1:8" ht="16.5" hidden="1" thickBot="1" x14ac:dyDescent="0.3">
      <c r="A397" s="673"/>
      <c r="B397" s="588"/>
      <c r="C397" s="547"/>
      <c r="D397" s="547"/>
      <c r="E397" s="539"/>
      <c r="F397" s="539"/>
    </row>
    <row r="398" spans="1:8" ht="18.75" hidden="1" thickBot="1" x14ac:dyDescent="0.3">
      <c r="A398" s="582"/>
      <c r="B398" s="583"/>
      <c r="C398" s="584"/>
      <c r="D398" s="585"/>
      <c r="E398" s="586"/>
      <c r="F398" s="587"/>
    </row>
    <row r="399" spans="1:8" ht="18.75" hidden="1" thickBot="1" x14ac:dyDescent="0.3">
      <c r="A399" s="545"/>
      <c r="B399" s="554"/>
      <c r="C399" s="558"/>
      <c r="D399" s="555"/>
      <c r="E399" s="556"/>
      <c r="F399" s="557"/>
    </row>
    <row r="400" spans="1:8" ht="25.5" hidden="1" customHeight="1" thickBot="1" x14ac:dyDescent="0.3">
      <c r="A400" s="1742" t="s">
        <v>160</v>
      </c>
      <c r="B400" s="1743"/>
      <c r="C400" s="1743"/>
      <c r="D400" s="1744"/>
      <c r="E400" s="649" t="e">
        <f>+#REF!+#REF!</f>
        <v>#REF!</v>
      </c>
      <c r="F400" s="649" t="e">
        <f>+#REF!+#REF!</f>
        <v>#REF!</v>
      </c>
    </row>
    <row r="401" spans="1:7" ht="24" hidden="1" customHeight="1" thickBot="1" x14ac:dyDescent="0.3">
      <c r="A401" s="610"/>
      <c r="B401" s="610"/>
      <c r="C401" s="610"/>
      <c r="D401" s="610"/>
      <c r="E401" s="544"/>
      <c r="F401" s="544"/>
    </row>
    <row r="402" spans="1:7" ht="27" hidden="1" customHeight="1" thickBot="1" x14ac:dyDescent="0.3">
      <c r="A402" s="1713" t="s">
        <v>163</v>
      </c>
      <c r="B402" s="1715"/>
      <c r="C402" s="709" t="s">
        <v>164</v>
      </c>
      <c r="D402" s="1713" t="s">
        <v>84</v>
      </c>
      <c r="E402" s="1714"/>
      <c r="F402" s="1715"/>
    </row>
    <row r="403" spans="1:7" ht="69" hidden="1" customHeight="1" thickBot="1" x14ac:dyDescent="0.3">
      <c r="A403" s="1716"/>
      <c r="B403" s="1718"/>
      <c r="C403" s="529"/>
      <c r="D403" s="1716"/>
      <c r="E403" s="1717"/>
      <c r="F403" s="1718"/>
    </row>
    <row r="404" spans="1:7" ht="27.75" hidden="1" customHeight="1" thickBot="1" x14ac:dyDescent="0.3">
      <c r="A404" s="1713" t="s">
        <v>273</v>
      </c>
      <c r="B404" s="1715"/>
      <c r="C404" s="708" t="s">
        <v>226</v>
      </c>
      <c r="D404" s="1713" t="s">
        <v>227</v>
      </c>
      <c r="E404" s="1714"/>
      <c r="F404" s="1715"/>
    </row>
    <row r="405" spans="1:7" ht="26.25" hidden="1" customHeight="1" thickBot="1" x14ac:dyDescent="0.3">
      <c r="A405" s="1769" t="s">
        <v>272</v>
      </c>
      <c r="B405" s="1770"/>
      <c r="C405" s="872" t="s">
        <v>234</v>
      </c>
      <c r="D405" s="1769" t="s">
        <v>188</v>
      </c>
      <c r="E405" s="1771"/>
      <c r="F405" s="1770"/>
    </row>
    <row r="406" spans="1:7" ht="18.75" customHeight="1" thickBot="1" x14ac:dyDescent="0.3">
      <c r="A406" s="1722" t="s">
        <v>157</v>
      </c>
      <c r="B406" s="1723"/>
      <c r="C406" s="1723"/>
      <c r="D406" s="1638" t="s">
        <v>1</v>
      </c>
      <c r="E406" s="1639"/>
      <c r="F406" s="1640"/>
    </row>
    <row r="407" spans="1:7" ht="18" customHeight="1" thickBot="1" x14ac:dyDescent="0.3">
      <c r="A407" s="1729" t="s">
        <v>158</v>
      </c>
      <c r="B407" s="1730"/>
      <c r="C407" s="1730"/>
      <c r="D407" s="533" t="s">
        <v>3</v>
      </c>
      <c r="E407" s="534" t="s">
        <v>298</v>
      </c>
      <c r="F407" s="535" t="s">
        <v>5</v>
      </c>
    </row>
    <row r="408" spans="1:7" ht="16.5" customHeight="1" thickBot="1" x14ac:dyDescent="0.3">
      <c r="A408" s="1731" t="s">
        <v>161</v>
      </c>
      <c r="B408" s="1732"/>
      <c r="C408" s="1732"/>
      <c r="D408" s="533" t="s">
        <v>6</v>
      </c>
      <c r="E408" s="536" t="s">
        <v>275</v>
      </c>
      <c r="F408" s="1470">
        <f>+F139</f>
        <v>45688</v>
      </c>
      <c r="G408" s="148"/>
    </row>
    <row r="409" spans="1:7" ht="16.5" customHeight="1" thickBot="1" x14ac:dyDescent="0.3">
      <c r="A409" s="538" t="s">
        <v>5</v>
      </c>
      <c r="B409" s="1645" t="s">
        <v>296</v>
      </c>
      <c r="C409" s="1733" t="s">
        <v>289</v>
      </c>
      <c r="D409" s="1767" t="s">
        <v>159</v>
      </c>
      <c r="E409" s="1638" t="s">
        <v>9</v>
      </c>
      <c r="F409" s="1640"/>
    </row>
    <row r="410" spans="1:7" ht="17.25" customHeight="1" thickBot="1" x14ac:dyDescent="0.3">
      <c r="A410" s="1528">
        <f>+F408</f>
        <v>45688</v>
      </c>
      <c r="B410" s="1646"/>
      <c r="C410" s="1649"/>
      <c r="D410" s="1652"/>
      <c r="E410" s="1645" t="s">
        <v>10</v>
      </c>
      <c r="F410" s="1654" t="s">
        <v>11</v>
      </c>
      <c r="G410" s="144"/>
    </row>
    <row r="411" spans="1:7" ht="18" customHeight="1" thickBot="1" x14ac:dyDescent="0.3">
      <c r="A411" s="646" t="s">
        <v>297</v>
      </c>
      <c r="B411" s="1738"/>
      <c r="C411" s="1734"/>
      <c r="D411" s="1768"/>
      <c r="E411" s="1738"/>
      <c r="F411" s="1748"/>
    </row>
    <row r="412" spans="1:7" ht="21.75" customHeight="1" x14ac:dyDescent="0.25">
      <c r="A412" s="1531">
        <f>+A184</f>
        <v>45688</v>
      </c>
      <c r="B412" s="976"/>
      <c r="C412" s="1527">
        <v>19</v>
      </c>
      <c r="D412" s="977"/>
      <c r="E412" s="1390"/>
      <c r="F412" s="1391"/>
      <c r="G412" s="144"/>
    </row>
    <row r="413" spans="1:7" ht="22.5" customHeight="1" x14ac:dyDescent="0.25">
      <c r="A413" s="1532"/>
      <c r="B413" s="1389">
        <v>199</v>
      </c>
      <c r="C413" s="1263" t="s">
        <v>42</v>
      </c>
      <c r="D413" s="975"/>
      <c r="E413" s="1385">
        <v>10568.720000001136</v>
      </c>
      <c r="F413" s="1386"/>
      <c r="G413" s="144"/>
    </row>
    <row r="414" spans="1:7" ht="21" customHeight="1" x14ac:dyDescent="0.25">
      <c r="A414" s="1532"/>
      <c r="B414" s="1389">
        <v>200</v>
      </c>
      <c r="C414" s="1263" t="s">
        <v>45</v>
      </c>
      <c r="D414" s="975"/>
      <c r="E414" s="1385"/>
      <c r="F414" s="1386">
        <v>10568.720000001136</v>
      </c>
      <c r="G414" s="144"/>
    </row>
    <row r="415" spans="1:7" ht="25.5" customHeight="1" x14ac:dyDescent="0.25">
      <c r="A415" s="1532"/>
      <c r="B415" s="857"/>
      <c r="C415" s="1234" t="s">
        <v>496</v>
      </c>
      <c r="D415" s="975"/>
      <c r="E415" s="986"/>
      <c r="F415" s="987"/>
      <c r="G415" s="144"/>
    </row>
    <row r="416" spans="1:7" ht="21" customHeight="1" x14ac:dyDescent="0.25">
      <c r="A416" s="1531">
        <f>+A412</f>
        <v>45688</v>
      </c>
      <c r="B416" s="1235"/>
      <c r="C416" s="1014">
        <v>20</v>
      </c>
      <c r="D416" s="975"/>
      <c r="E416" s="986"/>
      <c r="F416" s="987"/>
    </row>
    <row r="417" spans="1:7" ht="46.5" customHeight="1" x14ac:dyDescent="0.25">
      <c r="A417" s="1532"/>
      <c r="B417" s="857"/>
      <c r="C417" s="1236" t="s">
        <v>497</v>
      </c>
      <c r="D417" s="975"/>
      <c r="E417" s="986"/>
      <c r="F417" s="987"/>
    </row>
    <row r="418" spans="1:7" ht="19.5" customHeight="1" x14ac:dyDescent="0.25">
      <c r="A418" s="1532"/>
      <c r="B418" s="810"/>
      <c r="C418" s="972" t="s">
        <v>411</v>
      </c>
      <c r="D418" s="720"/>
      <c r="E418" s="988"/>
      <c r="F418" s="983"/>
    </row>
    <row r="419" spans="1:7" ht="19.5" customHeight="1" x14ac:dyDescent="0.25">
      <c r="A419" s="1532"/>
      <c r="B419" s="810">
        <v>100</v>
      </c>
      <c r="C419" s="997">
        <f>+[10]MAYORES!F386</f>
        <v>0</v>
      </c>
      <c r="D419" s="720"/>
      <c r="E419" s="988"/>
      <c r="F419" s="983"/>
    </row>
    <row r="420" spans="1:7" ht="19.5" customHeight="1" x14ac:dyDescent="0.25">
      <c r="A420" s="1532"/>
      <c r="B420" s="810">
        <v>102</v>
      </c>
      <c r="C420" s="998">
        <f>+MAYORES!F26</f>
        <v>32367.010000003502</v>
      </c>
      <c r="D420" s="720"/>
      <c r="E420" s="988"/>
      <c r="F420" s="983"/>
    </row>
    <row r="421" spans="1:7" ht="19.5" customHeight="1" x14ac:dyDescent="0.25">
      <c r="A421" s="1532"/>
      <c r="B421" s="810">
        <v>122</v>
      </c>
      <c r="C421" s="998">
        <f>+MAYORES!N26</f>
        <v>47018885.670000002</v>
      </c>
      <c r="D421" s="720"/>
      <c r="E421" s="988"/>
      <c r="F421" s="983"/>
    </row>
    <row r="422" spans="1:7" ht="19.5" customHeight="1" x14ac:dyDescent="0.25">
      <c r="A422" s="1532"/>
      <c r="B422" s="810">
        <v>132</v>
      </c>
      <c r="C422" s="999">
        <f>+MAYORES!F42</f>
        <v>203173.96</v>
      </c>
      <c r="D422" s="720"/>
      <c r="E422" s="988"/>
      <c r="F422" s="983"/>
    </row>
    <row r="423" spans="1:7" ht="19.5" customHeight="1" x14ac:dyDescent="0.25">
      <c r="A423" s="1532"/>
      <c r="B423" s="810"/>
      <c r="C423" s="1001">
        <f>SUM(C419:C422)</f>
        <v>47254426.640000008</v>
      </c>
      <c r="D423" s="720"/>
      <c r="E423" s="988"/>
      <c r="F423" s="983"/>
    </row>
    <row r="424" spans="1:7" ht="19.5" customHeight="1" x14ac:dyDescent="0.25">
      <c r="A424" s="1532"/>
      <c r="B424" s="810"/>
      <c r="C424" s="973" t="s">
        <v>412</v>
      </c>
      <c r="D424" s="720"/>
      <c r="E424" s="988"/>
      <c r="F424" s="983"/>
    </row>
    <row r="425" spans="1:7" ht="19.5" customHeight="1" x14ac:dyDescent="0.25">
      <c r="A425" s="1532"/>
      <c r="B425" s="810">
        <v>101</v>
      </c>
      <c r="C425" s="1000">
        <f>+MAYORES!F105</f>
        <v>0</v>
      </c>
      <c r="D425" s="721"/>
      <c r="E425" s="989"/>
      <c r="F425" s="990"/>
    </row>
    <row r="426" spans="1:7" ht="19.5" customHeight="1" x14ac:dyDescent="0.25">
      <c r="A426" s="1532"/>
      <c r="B426" s="810">
        <v>103</v>
      </c>
      <c r="C426" s="1000">
        <f>+MAYORES!N105</f>
        <v>1171877.2199999997</v>
      </c>
      <c r="D426" s="721"/>
      <c r="E426" s="989"/>
      <c r="F426" s="990"/>
    </row>
    <row r="427" spans="1:7" ht="24" customHeight="1" x14ac:dyDescent="0.25">
      <c r="A427" s="1532"/>
      <c r="B427" s="810">
        <v>133</v>
      </c>
      <c r="C427" s="1000">
        <f>+MAYORES!F121</f>
        <v>203173.96</v>
      </c>
      <c r="D427" s="721"/>
      <c r="E427" s="989"/>
      <c r="F427" s="990"/>
    </row>
    <row r="428" spans="1:7" ht="19.5" customHeight="1" x14ac:dyDescent="0.25">
      <c r="A428" s="1532"/>
      <c r="B428" s="854"/>
      <c r="C428" s="1001">
        <f>+C425+C426+C427</f>
        <v>1375051.1799999997</v>
      </c>
      <c r="D428" s="721"/>
      <c r="E428" s="989"/>
      <c r="F428" s="990"/>
    </row>
    <row r="429" spans="1:7" ht="19.5" customHeight="1" x14ac:dyDescent="0.25">
      <c r="A429" s="1532"/>
      <c r="B429" s="854"/>
      <c r="C429" s="974" t="s">
        <v>413</v>
      </c>
      <c r="D429" s="721"/>
      <c r="E429" s="989"/>
      <c r="F429" s="990"/>
    </row>
    <row r="430" spans="1:7" ht="19.5" customHeight="1" x14ac:dyDescent="0.25">
      <c r="A430" s="979"/>
      <c r="B430" s="854"/>
      <c r="C430" s="1001">
        <f>+C423-C428</f>
        <v>45879375.460000008</v>
      </c>
      <c r="D430" s="721"/>
      <c r="E430" s="989"/>
      <c r="F430" s="990"/>
    </row>
    <row r="431" spans="1:7" ht="19.5" customHeight="1" x14ac:dyDescent="0.25">
      <c r="A431" s="979"/>
      <c r="B431" s="810">
        <v>200</v>
      </c>
      <c r="C431" s="856" t="s">
        <v>45</v>
      </c>
      <c r="D431" s="721"/>
      <c r="E431" s="991">
        <f>+C430</f>
        <v>45879375.460000008</v>
      </c>
      <c r="F431" s="990"/>
    </row>
    <row r="432" spans="1:7" ht="19.5" customHeight="1" x14ac:dyDescent="0.25">
      <c r="A432" s="979"/>
      <c r="B432" s="810">
        <v>199</v>
      </c>
      <c r="C432" s="856" t="s">
        <v>42</v>
      </c>
      <c r="D432" s="721"/>
      <c r="E432" s="989"/>
      <c r="F432" s="992">
        <f>+C430</f>
        <v>45879375.460000008</v>
      </c>
      <c r="G432" s="144">
        <f>+ENERO!P15</f>
        <v>45879375.460000008</v>
      </c>
    </row>
    <row r="433" spans="1:6" ht="25.5" customHeight="1" x14ac:dyDescent="0.25">
      <c r="A433" s="980"/>
      <c r="B433" s="893"/>
      <c r="C433" s="981" t="s">
        <v>498</v>
      </c>
      <c r="D433" s="914"/>
      <c r="E433" s="1040"/>
      <c r="F433" s="994"/>
    </row>
    <row r="434" spans="1:6" ht="19.5" customHeight="1" x14ac:dyDescent="0.25">
      <c r="A434" s="979"/>
      <c r="B434" s="721"/>
      <c r="C434" s="961"/>
      <c r="D434" s="721"/>
      <c r="E434" s="961"/>
      <c r="F434" s="721"/>
    </row>
    <row r="435" spans="1:6" ht="19.5" customHeight="1" x14ac:dyDescent="0.25">
      <c r="A435" s="979"/>
      <c r="B435" s="721"/>
      <c r="C435" s="961"/>
      <c r="D435" s="721"/>
      <c r="E435" s="961"/>
      <c r="F435" s="721"/>
    </row>
    <row r="436" spans="1:6" ht="19.5" customHeight="1" x14ac:dyDescent="0.25">
      <c r="A436" s="979"/>
      <c r="B436" s="721"/>
      <c r="C436" s="961"/>
      <c r="D436" s="721"/>
      <c r="E436" s="961"/>
      <c r="F436" s="721"/>
    </row>
    <row r="437" spans="1:6" ht="19.5" customHeight="1" x14ac:dyDescent="0.25">
      <c r="A437" s="979"/>
      <c r="B437" s="721"/>
      <c r="C437" s="961"/>
      <c r="D437" s="721"/>
      <c r="E437" s="961"/>
      <c r="F437" s="721"/>
    </row>
    <row r="438" spans="1:6" ht="19.5" customHeight="1" x14ac:dyDescent="0.25">
      <c r="A438" s="979"/>
      <c r="B438" s="721"/>
      <c r="C438" s="961"/>
      <c r="D438" s="721"/>
      <c r="E438" s="961"/>
      <c r="F438" s="721"/>
    </row>
    <row r="439" spans="1:6" ht="19.5" customHeight="1" x14ac:dyDescent="0.25">
      <c r="A439" s="979"/>
      <c r="B439" s="721"/>
      <c r="C439" s="961"/>
      <c r="D439" s="721"/>
      <c r="E439" s="961"/>
      <c r="F439" s="721"/>
    </row>
    <row r="440" spans="1:6" ht="19.5" customHeight="1" x14ac:dyDescent="0.25">
      <c r="A440" s="979"/>
      <c r="B440" s="721"/>
      <c r="C440" s="961"/>
      <c r="D440" s="721"/>
      <c r="E440" s="961"/>
      <c r="F440" s="721"/>
    </row>
    <row r="441" spans="1:6" ht="19.5" customHeight="1" x14ac:dyDescent="0.25">
      <c r="A441" s="979"/>
      <c r="B441" s="721"/>
      <c r="C441" s="961"/>
      <c r="D441" s="721"/>
      <c r="E441" s="961"/>
      <c r="F441" s="721"/>
    </row>
    <row r="442" spans="1:6" ht="19.5" customHeight="1" x14ac:dyDescent="0.25">
      <c r="A442" s="979"/>
      <c r="B442" s="721"/>
      <c r="C442" s="961"/>
      <c r="D442" s="721"/>
      <c r="E442" s="961"/>
      <c r="F442" s="721"/>
    </row>
    <row r="443" spans="1:6" ht="19.5" customHeight="1" x14ac:dyDescent="0.25">
      <c r="A443" s="979"/>
      <c r="B443" s="721"/>
      <c r="C443" s="961"/>
      <c r="D443" s="721"/>
      <c r="E443" s="961"/>
      <c r="F443" s="721"/>
    </row>
    <row r="444" spans="1:6" ht="19.5" customHeight="1" x14ac:dyDescent="0.25">
      <c r="A444" s="979"/>
      <c r="B444" s="721"/>
      <c r="C444" s="961"/>
      <c r="D444" s="721"/>
      <c r="E444" s="961"/>
      <c r="F444" s="721"/>
    </row>
    <row r="445" spans="1:6" ht="19.5" customHeight="1" x14ac:dyDescent="0.25">
      <c r="A445" s="979"/>
      <c r="B445" s="721"/>
      <c r="C445" s="961"/>
      <c r="D445" s="721"/>
      <c r="E445" s="961"/>
      <c r="F445" s="721"/>
    </row>
    <row r="446" spans="1:6" ht="19.5" customHeight="1" x14ac:dyDescent="0.25">
      <c r="A446" s="979"/>
      <c r="B446" s="721"/>
      <c r="C446" s="961"/>
      <c r="D446" s="721"/>
      <c r="E446" s="961"/>
      <c r="F446" s="721"/>
    </row>
    <row r="447" spans="1:6" ht="19.5" customHeight="1" x14ac:dyDescent="0.25">
      <c r="A447" s="979"/>
      <c r="B447" s="721"/>
      <c r="C447" s="961"/>
      <c r="D447" s="721"/>
      <c r="E447" s="961"/>
      <c r="F447" s="721"/>
    </row>
    <row r="448" spans="1:6" ht="19.5" customHeight="1" x14ac:dyDescent="0.25">
      <c r="A448" s="979"/>
      <c r="B448" s="721"/>
      <c r="C448" s="961"/>
      <c r="D448" s="721"/>
      <c r="E448" s="961"/>
      <c r="F448" s="721"/>
    </row>
    <row r="449" spans="1:6" ht="19.5" customHeight="1" x14ac:dyDescent="0.25">
      <c r="A449" s="979"/>
      <c r="B449" s="721"/>
      <c r="C449" s="961"/>
      <c r="D449" s="721"/>
      <c r="E449" s="961"/>
      <c r="F449" s="721"/>
    </row>
    <row r="450" spans="1:6" ht="19.5" customHeight="1" x14ac:dyDescent="0.25">
      <c r="A450" s="979"/>
      <c r="B450" s="721"/>
      <c r="C450" s="961"/>
      <c r="D450" s="721"/>
      <c r="E450" s="961"/>
      <c r="F450" s="721"/>
    </row>
    <row r="451" spans="1:6" ht="19.5" customHeight="1" x14ac:dyDescent="0.25">
      <c r="A451" s="979"/>
      <c r="B451" s="721"/>
      <c r="C451" s="961"/>
      <c r="D451" s="721"/>
      <c r="E451" s="961"/>
      <c r="F451" s="721"/>
    </row>
    <row r="452" spans="1:6" ht="19.5" customHeight="1" x14ac:dyDescent="0.25">
      <c r="A452" s="979"/>
      <c r="B452" s="721"/>
      <c r="C452" s="961"/>
      <c r="D452" s="721"/>
      <c r="E452" s="961"/>
      <c r="F452" s="721"/>
    </row>
    <row r="453" spans="1:6" ht="19.5" customHeight="1" x14ac:dyDescent="0.25">
      <c r="A453" s="979"/>
      <c r="B453" s="721"/>
      <c r="C453" s="961"/>
      <c r="D453" s="721"/>
      <c r="E453" s="961"/>
      <c r="F453" s="721"/>
    </row>
    <row r="454" spans="1:6" ht="19.5" customHeight="1" x14ac:dyDescent="0.25">
      <c r="A454" s="979"/>
      <c r="B454" s="721"/>
      <c r="C454" s="961"/>
      <c r="D454" s="721"/>
      <c r="E454" s="961"/>
      <c r="F454" s="721"/>
    </row>
    <row r="455" spans="1:6" ht="19.5" customHeight="1" x14ac:dyDescent="0.25">
      <c r="A455" s="979"/>
      <c r="B455" s="721"/>
      <c r="C455" s="961"/>
      <c r="D455" s="721"/>
      <c r="E455" s="961"/>
      <c r="F455" s="721"/>
    </row>
    <row r="456" spans="1:6" ht="19.5" customHeight="1" x14ac:dyDescent="0.25">
      <c r="A456" s="979"/>
      <c r="B456" s="721"/>
      <c r="C456" s="961"/>
      <c r="D456" s="721"/>
      <c r="E456" s="961"/>
      <c r="F456" s="721"/>
    </row>
    <row r="457" spans="1:6" ht="19.5" customHeight="1" x14ac:dyDescent="0.25">
      <c r="A457" s="979"/>
      <c r="B457" s="721"/>
      <c r="C457" s="961"/>
      <c r="D457" s="721"/>
      <c r="E457" s="961"/>
      <c r="F457" s="721"/>
    </row>
    <row r="458" spans="1:6" ht="19.5" customHeight="1" x14ac:dyDescent="0.25">
      <c r="A458" s="979"/>
      <c r="B458" s="721"/>
      <c r="C458" s="961"/>
      <c r="D458" s="721"/>
      <c r="E458" s="961"/>
      <c r="F458" s="721"/>
    </row>
    <row r="459" spans="1:6" ht="19.5" customHeight="1" x14ac:dyDescent="0.25">
      <c r="A459" s="979"/>
      <c r="B459" s="721"/>
      <c r="C459" s="961"/>
      <c r="D459" s="721"/>
      <c r="E459" s="961"/>
      <c r="F459" s="721"/>
    </row>
    <row r="460" spans="1:6" ht="19.5" customHeight="1" x14ac:dyDescent="0.25">
      <c r="A460" s="979"/>
      <c r="B460" s="721"/>
      <c r="C460" s="961"/>
      <c r="D460" s="721"/>
      <c r="E460" s="961"/>
      <c r="F460" s="721"/>
    </row>
    <row r="461" spans="1:6" ht="19.5" customHeight="1" x14ac:dyDescent="0.25">
      <c r="A461" s="979"/>
      <c r="B461" s="721"/>
      <c r="C461" s="961"/>
      <c r="D461" s="721"/>
      <c r="E461" s="961"/>
      <c r="F461" s="721"/>
    </row>
    <row r="462" spans="1:6" ht="19.5" customHeight="1" x14ac:dyDescent="0.25">
      <c r="A462" s="979"/>
      <c r="B462" s="721"/>
      <c r="C462" s="961"/>
      <c r="D462" s="721"/>
      <c r="E462" s="961"/>
      <c r="F462" s="721"/>
    </row>
    <row r="463" spans="1:6" ht="19.5" customHeight="1" x14ac:dyDescent="0.25">
      <c r="A463" s="979"/>
      <c r="B463" s="721"/>
      <c r="C463" s="961"/>
      <c r="D463" s="721"/>
      <c r="E463" s="961"/>
      <c r="F463" s="721"/>
    </row>
    <row r="464" spans="1:6" ht="19.5" customHeight="1" x14ac:dyDescent="0.25">
      <c r="A464" s="979"/>
      <c r="B464" s="721"/>
      <c r="C464" s="961"/>
      <c r="D464" s="721"/>
      <c r="E464" s="961"/>
      <c r="F464" s="721"/>
    </row>
    <row r="465" spans="1:7" ht="19.5" customHeight="1" x14ac:dyDescent="0.25">
      <c r="A465" s="979"/>
      <c r="B465" s="721"/>
      <c r="C465" s="961"/>
      <c r="D465" s="721"/>
      <c r="E465" s="961"/>
      <c r="F465" s="721"/>
    </row>
    <row r="466" spans="1:7" ht="19.5" customHeight="1" x14ac:dyDescent="0.25">
      <c r="A466" s="979"/>
      <c r="B466" s="721"/>
      <c r="C466" s="961"/>
      <c r="D466" s="721"/>
      <c r="E466" s="961"/>
      <c r="F466" s="721"/>
    </row>
    <row r="467" spans="1:7" ht="19.5" customHeight="1" x14ac:dyDescent="0.25">
      <c r="A467" s="979"/>
      <c r="B467" s="721"/>
      <c r="C467" s="961"/>
      <c r="D467" s="721"/>
      <c r="E467" s="961"/>
      <c r="F467" s="721"/>
    </row>
    <row r="468" spans="1:7" ht="19.5" customHeight="1" x14ac:dyDescent="0.25">
      <c r="A468" s="979"/>
      <c r="B468" s="721"/>
      <c r="C468" s="961"/>
      <c r="D468" s="721"/>
      <c r="E468" s="961"/>
      <c r="F468" s="721"/>
    </row>
    <row r="469" spans="1:7" ht="19.5" customHeight="1" thickBot="1" x14ac:dyDescent="0.3">
      <c r="A469" s="979"/>
      <c r="B469" s="1241"/>
      <c r="C469" s="961"/>
      <c r="D469" s="1241"/>
      <c r="E469" s="961"/>
      <c r="F469" s="1241"/>
    </row>
    <row r="470" spans="1:7" ht="31.5" customHeight="1" thickBot="1" x14ac:dyDescent="0.3">
      <c r="A470" s="1711" t="s">
        <v>160</v>
      </c>
      <c r="B470" s="1712"/>
      <c r="C470" s="1712"/>
      <c r="D470" s="1712"/>
      <c r="E470" s="913">
        <f>SUM(E412:E469)</f>
        <v>45889944.180000007</v>
      </c>
      <c r="F470" s="915">
        <f>SUM(F412:F469)</f>
        <v>45889944.180000007</v>
      </c>
      <c r="G470" s="144">
        <f>+F62+F131+F232+F470</f>
        <v>107253703.37</v>
      </c>
    </row>
    <row r="471" spans="1:7" ht="11.25" customHeight="1" thickBot="1" x14ac:dyDescent="0.3">
      <c r="A471" s="1227"/>
      <c r="B471" s="1227"/>
      <c r="C471" s="1227"/>
      <c r="D471" s="1227"/>
      <c r="E471" s="544"/>
      <c r="F471" s="544"/>
    </row>
    <row r="472" spans="1:7" ht="23.25" customHeight="1" thickBot="1" x14ac:dyDescent="0.3">
      <c r="A472" s="1713" t="s">
        <v>163</v>
      </c>
      <c r="B472" s="1714"/>
      <c r="C472" s="1715"/>
      <c r="D472" s="1713" t="s">
        <v>84</v>
      </c>
      <c r="E472" s="1714"/>
      <c r="F472" s="1715"/>
    </row>
    <row r="473" spans="1:7" ht="60" customHeight="1" thickBot="1" x14ac:dyDescent="0.3">
      <c r="A473" s="1716"/>
      <c r="B473" s="1717"/>
      <c r="C473" s="1718"/>
      <c r="D473" s="1716"/>
      <c r="E473" s="1717"/>
      <c r="F473" s="1718"/>
    </row>
    <row r="474" spans="1:7" ht="21.75" customHeight="1" thickBot="1" x14ac:dyDescent="0.3">
      <c r="A474" s="1719" t="s">
        <v>315</v>
      </c>
      <c r="B474" s="1720"/>
      <c r="C474" s="1721"/>
      <c r="D474" s="1719" t="s">
        <v>335</v>
      </c>
      <c r="E474" s="1720"/>
      <c r="F474" s="1721"/>
    </row>
    <row r="475" spans="1:7" ht="21.75" customHeight="1" thickBot="1" x14ac:dyDescent="0.3">
      <c r="A475" s="1719" t="s">
        <v>272</v>
      </c>
      <c r="B475" s="1720"/>
      <c r="C475" s="1721"/>
      <c r="D475" s="1719" t="s">
        <v>337</v>
      </c>
      <c r="E475" s="1720"/>
      <c r="F475" s="1721"/>
    </row>
    <row r="476" spans="1:7" x14ac:dyDescent="0.25">
      <c r="A476" s="875"/>
      <c r="B476" s="875"/>
      <c r="C476" s="876"/>
      <c r="D476" s="145"/>
      <c r="E476" s="145"/>
      <c r="F476" s="145"/>
    </row>
    <row r="477" spans="1:7" x14ac:dyDescent="0.25">
      <c r="A477" s="875"/>
      <c r="B477" s="875"/>
      <c r="C477" s="145"/>
      <c r="D477" s="145"/>
      <c r="E477" s="145"/>
      <c r="F477" s="145"/>
    </row>
    <row r="478" spans="1:7" x14ac:dyDescent="0.25">
      <c r="A478" s="875"/>
      <c r="B478" s="875"/>
      <c r="C478" s="145"/>
      <c r="D478" s="145"/>
      <c r="E478" s="145"/>
      <c r="F478" s="145"/>
    </row>
    <row r="479" spans="1:7" x14ac:dyDescent="0.25">
      <c r="A479" s="875"/>
      <c r="B479" s="824"/>
      <c r="C479" s="825"/>
      <c r="D479" s="145"/>
      <c r="E479" s="145"/>
      <c r="F479" s="145"/>
    </row>
    <row r="480" spans="1:7" x14ac:dyDescent="0.25">
      <c r="A480" s="875"/>
      <c r="B480" s="826"/>
      <c r="C480" s="827"/>
      <c r="D480" s="145"/>
      <c r="E480" s="145"/>
      <c r="F480" s="145"/>
    </row>
    <row r="481" spans="1:6" x14ac:dyDescent="0.25">
      <c r="A481" s="875"/>
      <c r="B481" s="828"/>
      <c r="C481" s="825"/>
      <c r="D481" s="145"/>
      <c r="E481" s="145"/>
      <c r="F481" s="145"/>
    </row>
    <row r="482" spans="1:6" x14ac:dyDescent="0.25">
      <c r="A482" s="875"/>
      <c r="B482" s="824"/>
      <c r="C482" s="829"/>
      <c r="D482" s="145"/>
      <c r="E482" s="145"/>
      <c r="F482" s="145"/>
    </row>
    <row r="483" spans="1:6" x14ac:dyDescent="0.25">
      <c r="A483" s="875"/>
      <c r="B483" s="824"/>
      <c r="C483" s="830"/>
      <c r="D483" s="145"/>
      <c r="E483" s="145"/>
      <c r="F483" s="145"/>
    </row>
    <row r="484" spans="1:6" x14ac:dyDescent="0.25">
      <c r="B484" s="823"/>
      <c r="C484" s="143"/>
    </row>
  </sheetData>
  <sheetProtection formatCells="0" formatColumns="0" formatRows="0" insertColumns="0" insertRows="0" insertHyperlinks="0" deleteColumns="0" deleteRows="0" sort="0" autoFilter="0" pivotTables="0"/>
  <mergeCells count="133">
    <mergeCell ref="A402:B402"/>
    <mergeCell ref="D402:F402"/>
    <mergeCell ref="A403:B403"/>
    <mergeCell ref="D403:F403"/>
    <mergeCell ref="A347:C347"/>
    <mergeCell ref="D347:F347"/>
    <mergeCell ref="A348:C348"/>
    <mergeCell ref="A349:C349"/>
    <mergeCell ref="B350:B352"/>
    <mergeCell ref="C350:C352"/>
    <mergeCell ref="D350:D352"/>
    <mergeCell ref="E350:F350"/>
    <mergeCell ref="A405:B405"/>
    <mergeCell ref="D405:F405"/>
    <mergeCell ref="A408:C408"/>
    <mergeCell ref="B409:B411"/>
    <mergeCell ref="C409:C411"/>
    <mergeCell ref="D409:D411"/>
    <mergeCell ref="E409:F409"/>
    <mergeCell ref="E410:E411"/>
    <mergeCell ref="F410:F411"/>
    <mergeCell ref="A64:C64"/>
    <mergeCell ref="A65:C65"/>
    <mergeCell ref="A66:C66"/>
    <mergeCell ref="A67:C67"/>
    <mergeCell ref="A138:C138"/>
    <mergeCell ref="D243:D245"/>
    <mergeCell ref="D236:F236"/>
    <mergeCell ref="D237:F237"/>
    <mergeCell ref="A240:C240"/>
    <mergeCell ref="D240:F240"/>
    <mergeCell ref="D134:F134"/>
    <mergeCell ref="D140:D142"/>
    <mergeCell ref="E140:F140"/>
    <mergeCell ref="E141:E142"/>
    <mergeCell ref="F141:F142"/>
    <mergeCell ref="D137:F137"/>
    <mergeCell ref="F72:F73"/>
    <mergeCell ref="A234:C234"/>
    <mergeCell ref="D235:F235"/>
    <mergeCell ref="A139:C139"/>
    <mergeCell ref="B140:B142"/>
    <mergeCell ref="E243:F243"/>
    <mergeCell ref="E244:E245"/>
    <mergeCell ref="F244:F245"/>
    <mergeCell ref="D344:F344"/>
    <mergeCell ref="D307:D309"/>
    <mergeCell ref="E307:F307"/>
    <mergeCell ref="E308:E309"/>
    <mergeCell ref="F308:F309"/>
    <mergeCell ref="A345:C345"/>
    <mergeCell ref="A346:C346"/>
    <mergeCell ref="C307:C309"/>
    <mergeCell ref="A343:C343"/>
    <mergeCell ref="A1:C1"/>
    <mergeCell ref="D1:F1"/>
    <mergeCell ref="A2:C2"/>
    <mergeCell ref="A3:C3"/>
    <mergeCell ref="B4:B6"/>
    <mergeCell ref="C4:C6"/>
    <mergeCell ref="D4:D6"/>
    <mergeCell ref="E4:F4"/>
    <mergeCell ref="E5:E6"/>
    <mergeCell ref="F5:F6"/>
    <mergeCell ref="A62:D62"/>
    <mergeCell ref="D64:F64"/>
    <mergeCell ref="D66:F66"/>
    <mergeCell ref="A131:D131"/>
    <mergeCell ref="D133:F133"/>
    <mergeCell ref="D135:F135"/>
    <mergeCell ref="A406:C406"/>
    <mergeCell ref="D406:F406"/>
    <mergeCell ref="A407:C407"/>
    <mergeCell ref="A298:D298"/>
    <mergeCell ref="A300:B300"/>
    <mergeCell ref="D300:F300"/>
    <mergeCell ref="A301:B301"/>
    <mergeCell ref="D301:E301"/>
    <mergeCell ref="D65:F65"/>
    <mergeCell ref="A235:C235"/>
    <mergeCell ref="A236:C236"/>
    <mergeCell ref="A237:C237"/>
    <mergeCell ref="A133:C133"/>
    <mergeCell ref="A134:C134"/>
    <mergeCell ref="A135:C135"/>
    <mergeCell ref="A136:C136"/>
    <mergeCell ref="A232:D232"/>
    <mergeCell ref="D234:F234"/>
    <mergeCell ref="A404:B404"/>
    <mergeCell ref="D404:F404"/>
    <mergeCell ref="D346:F346"/>
    <mergeCell ref="A341:D341"/>
    <mergeCell ref="D343:F343"/>
    <mergeCell ref="D345:F345"/>
    <mergeCell ref="A344:C344"/>
    <mergeCell ref="A400:D400"/>
    <mergeCell ref="C140:C142"/>
    <mergeCell ref="A241:C241"/>
    <mergeCell ref="A242:C242"/>
    <mergeCell ref="B243:B245"/>
    <mergeCell ref="C243:C245"/>
    <mergeCell ref="E351:E352"/>
    <mergeCell ref="F351:F352"/>
    <mergeCell ref="A302:B302"/>
    <mergeCell ref="D302:F302"/>
    <mergeCell ref="A303:B303"/>
    <mergeCell ref="D303:F303"/>
    <mergeCell ref="A304:C304"/>
    <mergeCell ref="D304:F304"/>
    <mergeCell ref="A305:C305"/>
    <mergeCell ref="A306:C306"/>
    <mergeCell ref="B307:B309"/>
    <mergeCell ref="D136:F136"/>
    <mergeCell ref="A137:C137"/>
    <mergeCell ref="D67:F67"/>
    <mergeCell ref="A68:C68"/>
    <mergeCell ref="D68:F68"/>
    <mergeCell ref="A69:C69"/>
    <mergeCell ref="A70:C70"/>
    <mergeCell ref="C71:C73"/>
    <mergeCell ref="D71:D73"/>
    <mergeCell ref="E71:F71"/>
    <mergeCell ref="E72:E73"/>
    <mergeCell ref="B71:B73"/>
    <mergeCell ref="A470:D470"/>
    <mergeCell ref="A472:C472"/>
    <mergeCell ref="D472:F472"/>
    <mergeCell ref="A473:C473"/>
    <mergeCell ref="D473:F473"/>
    <mergeCell ref="A474:C474"/>
    <mergeCell ref="D474:F474"/>
    <mergeCell ref="A475:C475"/>
    <mergeCell ref="D475:F475"/>
  </mergeCells>
  <printOptions horizontalCentered="1"/>
  <pageMargins left="0.19685039370078741" right="0.39370078740157483" top="3.937007874015748E-2" bottom="0.19685039370078741" header="0.55118110236220474" footer="0.39370078740157483"/>
  <pageSetup scale="54" fitToWidth="2"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R182"/>
  <sheetViews>
    <sheetView view="pageBreakPreview" zoomScale="40" zoomScaleSheetLayoutView="40" workbookViewId="0">
      <selection activeCell="M147" sqref="M147"/>
    </sheetView>
  </sheetViews>
  <sheetFormatPr baseColWidth="10" defaultRowHeight="21" x14ac:dyDescent="0.25"/>
  <cols>
    <col min="1" max="1" width="20.7109375" style="355" customWidth="1"/>
    <col min="2" max="2" width="17" style="355" customWidth="1"/>
    <col min="3" max="3" width="31.7109375" style="355" customWidth="1"/>
    <col min="4" max="4" width="33.7109375" style="355" customWidth="1"/>
    <col min="5" max="5" width="33.42578125" style="355" customWidth="1"/>
    <col min="6" max="6" width="35.28515625" style="355" customWidth="1"/>
    <col min="7" max="7" width="15.5703125" style="353" customWidth="1"/>
    <col min="8" max="8" width="11.42578125" style="355"/>
    <col min="9" max="9" width="20.7109375" style="355" customWidth="1"/>
    <col min="10" max="10" width="16.85546875" style="355" customWidth="1"/>
    <col min="11" max="11" width="34.140625" style="355" customWidth="1"/>
    <col min="12" max="12" width="35.28515625" style="355" customWidth="1"/>
    <col min="13" max="14" width="36" style="355" customWidth="1"/>
    <col min="15" max="15" width="29.7109375" style="355" hidden="1" customWidth="1"/>
    <col min="16" max="16" width="40.140625" style="355" customWidth="1"/>
    <col min="17" max="17" width="47" style="355" customWidth="1"/>
    <col min="18" max="18" width="27.7109375" style="355" customWidth="1"/>
    <col min="19" max="19" width="32.85546875" style="355" customWidth="1"/>
    <col min="20" max="20" width="15.85546875" style="355" customWidth="1"/>
    <col min="21" max="21" width="15.42578125" style="355" bestFit="1" customWidth="1"/>
    <col min="22" max="22" width="33" style="355" customWidth="1"/>
    <col min="23" max="23" width="11.42578125" style="355"/>
    <col min="24" max="24" width="18.85546875" style="355" customWidth="1"/>
    <col min="25" max="16384" width="11.42578125" style="355"/>
  </cols>
  <sheetData>
    <row r="1" spans="1:44" ht="29.25" customHeight="1" x14ac:dyDescent="0.25">
      <c r="A1" s="1780" t="s">
        <v>157</v>
      </c>
      <c r="B1" s="1780"/>
      <c r="C1" s="1780"/>
      <c r="D1" s="1780"/>
      <c r="E1" s="1780"/>
      <c r="F1" s="1780"/>
      <c r="G1" s="1780"/>
      <c r="H1" s="1780"/>
      <c r="I1" s="1780"/>
      <c r="J1" s="1780"/>
      <c r="K1" s="1780"/>
      <c r="L1" s="1780"/>
      <c r="M1" s="1780"/>
      <c r="N1" s="1780"/>
      <c r="O1" s="1780"/>
      <c r="P1" s="351"/>
    </row>
    <row r="2" spans="1:44" ht="29.25" customHeight="1" x14ac:dyDescent="0.25">
      <c r="A2" s="1780" t="s">
        <v>158</v>
      </c>
      <c r="B2" s="1780"/>
      <c r="C2" s="1780"/>
      <c r="D2" s="1780"/>
      <c r="E2" s="1780"/>
      <c r="F2" s="1780"/>
      <c r="G2" s="1780"/>
      <c r="H2" s="1780"/>
      <c r="I2" s="1780"/>
      <c r="J2" s="1780"/>
      <c r="K2" s="1780"/>
      <c r="L2" s="1780"/>
      <c r="M2" s="1780"/>
      <c r="N2" s="1780"/>
      <c r="O2" s="1780"/>
      <c r="R2" s="351"/>
      <c r="S2" s="351"/>
      <c r="V2" s="351"/>
    </row>
    <row r="3" spans="1:44" ht="26.25" customHeight="1" x14ac:dyDescent="0.25">
      <c r="A3" s="1780" t="s">
        <v>161</v>
      </c>
      <c r="B3" s="1780"/>
      <c r="C3" s="1780"/>
      <c r="D3" s="1780"/>
      <c r="E3" s="1780"/>
      <c r="F3" s="1780"/>
      <c r="G3" s="1780"/>
      <c r="H3" s="1780"/>
      <c r="I3" s="1780"/>
      <c r="J3" s="1780"/>
      <c r="K3" s="1780"/>
      <c r="L3" s="1780"/>
      <c r="M3" s="1780"/>
      <c r="N3" s="1780"/>
      <c r="O3" s="1780"/>
      <c r="P3" s="351"/>
      <c r="Q3" s="351"/>
      <c r="R3" s="351"/>
      <c r="V3" s="351"/>
    </row>
    <row r="4" spans="1:44" ht="20.100000000000001" customHeight="1" x14ac:dyDescent="0.25">
      <c r="A4" s="383"/>
      <c r="B4" s="513"/>
      <c r="C4" s="513"/>
      <c r="D4" s="513"/>
      <c r="E4" s="1784"/>
      <c r="F4" s="1784"/>
      <c r="G4" s="1784"/>
      <c r="H4" s="1784"/>
      <c r="I4" s="1784"/>
      <c r="J4" s="1784"/>
      <c r="K4" s="1784"/>
      <c r="L4" s="1784"/>
      <c r="M4" s="1784"/>
      <c r="N4" s="384"/>
      <c r="O4" s="384"/>
      <c r="P4" s="351"/>
      <c r="Q4" s="351"/>
      <c r="R4" s="351"/>
      <c r="S4" s="351"/>
      <c r="V4" s="351"/>
    </row>
    <row r="5" spans="1:44" ht="33" customHeight="1" x14ac:dyDescent="0.25">
      <c r="A5" s="1785" t="s">
        <v>162</v>
      </c>
      <c r="B5" s="1785"/>
      <c r="C5" s="1785"/>
      <c r="D5" s="1785"/>
      <c r="E5" s="1785"/>
      <c r="F5" s="1785"/>
      <c r="G5" s="1785"/>
      <c r="H5" s="1785"/>
      <c r="I5" s="1785"/>
      <c r="J5" s="1785"/>
      <c r="K5" s="1785"/>
      <c r="L5" s="1785"/>
      <c r="M5" s="1785"/>
      <c r="N5" s="1785"/>
      <c r="O5" s="386"/>
      <c r="P5" s="351"/>
      <c r="Q5" s="351"/>
      <c r="R5" s="351"/>
      <c r="V5" s="351"/>
    </row>
    <row r="6" spans="1:44" ht="25.5" customHeight="1" x14ac:dyDescent="0.25">
      <c r="A6" s="877"/>
      <c r="B6" s="877"/>
      <c r="C6" s="877"/>
      <c r="D6" s="877"/>
      <c r="E6" s="877"/>
      <c r="F6" s="1772" t="s">
        <v>501</v>
      </c>
      <c r="G6" s="1772"/>
      <c r="H6" s="1772"/>
      <c r="I6" s="1772"/>
      <c r="J6" s="1772"/>
      <c r="K6" s="877"/>
      <c r="L6" s="351"/>
      <c r="N6" s="877"/>
      <c r="O6" s="386"/>
      <c r="P6" s="351"/>
      <c r="Q6" s="351"/>
      <c r="R6" s="351"/>
      <c r="V6" s="351"/>
    </row>
    <row r="7" spans="1:44" ht="20.100000000000001" customHeight="1" x14ac:dyDescent="0.25">
      <c r="A7" s="383"/>
      <c r="B7" s="383"/>
      <c r="C7" s="384"/>
      <c r="D7" s="384"/>
      <c r="E7" s="387"/>
      <c r="F7" s="387"/>
      <c r="G7" s="388"/>
      <c r="H7" s="388"/>
      <c r="I7" s="387"/>
      <c r="J7" s="387"/>
      <c r="K7" s="774"/>
      <c r="L7" s="774"/>
      <c r="M7" s="774"/>
      <c r="N7" s="387"/>
      <c r="O7" s="388"/>
      <c r="P7" s="351"/>
      <c r="Q7" s="351"/>
      <c r="R7" s="351"/>
      <c r="V7" s="351"/>
    </row>
    <row r="8" spans="1:44" s="353" customFormat="1" ht="40.5" customHeight="1" thickBot="1" x14ac:dyDescent="0.3">
      <c r="A8" s="1786" t="s">
        <v>16</v>
      </c>
      <c r="B8" s="1786"/>
      <c r="C8" s="1786"/>
      <c r="D8" s="1786"/>
      <c r="E8" s="1786"/>
      <c r="F8" s="1786"/>
      <c r="G8" s="521"/>
      <c r="H8" s="385"/>
      <c r="I8" s="1786" t="s">
        <v>17</v>
      </c>
      <c r="J8" s="1786"/>
      <c r="K8" s="1786"/>
      <c r="L8" s="1786"/>
      <c r="M8" s="1786"/>
      <c r="N8" s="1786"/>
      <c r="O8" s="352"/>
      <c r="P8" s="517"/>
      <c r="Q8" s="517"/>
      <c r="R8" s="451"/>
      <c r="V8" s="392"/>
    </row>
    <row r="9" spans="1:44" ht="48.75" customHeight="1" thickBot="1" x14ac:dyDescent="0.3">
      <c r="A9" s="356" t="s">
        <v>18</v>
      </c>
      <c r="B9" s="357" t="s">
        <v>5</v>
      </c>
      <c r="C9" s="358" t="s">
        <v>19</v>
      </c>
      <c r="D9" s="359" t="s">
        <v>10</v>
      </c>
      <c r="E9" s="359" t="s">
        <v>11</v>
      </c>
      <c r="F9" s="360" t="s">
        <v>20</v>
      </c>
      <c r="G9" s="361"/>
      <c r="H9" s="362"/>
      <c r="I9" s="356" t="s">
        <v>18</v>
      </c>
      <c r="J9" s="357" t="s">
        <v>5</v>
      </c>
      <c r="K9" s="358" t="s">
        <v>19</v>
      </c>
      <c r="L9" s="359" t="s">
        <v>10</v>
      </c>
      <c r="M9" s="359" t="s">
        <v>11</v>
      </c>
      <c r="N9" s="360" t="s">
        <v>20</v>
      </c>
      <c r="O9" s="361"/>
      <c r="P9" s="517"/>
      <c r="Q9" s="748">
        <f>+ENERO!C15+ENERO!D15</f>
        <v>49570937</v>
      </c>
      <c r="R9" s="366"/>
      <c r="S9" s="748"/>
      <c r="T9" s="747"/>
      <c r="U9" s="516"/>
      <c r="V9" s="351"/>
      <c r="W9" s="367"/>
      <c r="X9" s="368"/>
      <c r="Y9" s="368"/>
      <c r="Z9" s="516"/>
      <c r="AA9" s="516"/>
      <c r="AB9" s="516"/>
      <c r="AC9" s="516"/>
      <c r="AD9" s="516"/>
      <c r="AE9" s="516"/>
      <c r="AF9" s="516"/>
      <c r="AG9" s="516"/>
      <c r="AH9" s="516"/>
      <c r="AI9" s="516"/>
      <c r="AJ9" s="516"/>
      <c r="AK9" s="516"/>
      <c r="AL9" s="516"/>
      <c r="AM9" s="516"/>
      <c r="AN9" s="516"/>
      <c r="AO9" s="516"/>
      <c r="AP9" s="516"/>
      <c r="AQ9" s="516"/>
      <c r="AR9" s="516"/>
    </row>
    <row r="10" spans="1:44" ht="34.5" customHeight="1" x14ac:dyDescent="0.25">
      <c r="A10" s="408" t="s">
        <v>21</v>
      </c>
      <c r="B10" s="1303">
        <v>45657</v>
      </c>
      <c r="C10" s="1427">
        <v>11120.3</v>
      </c>
      <c r="D10" s="775"/>
      <c r="E10" s="775"/>
      <c r="F10" s="1301">
        <f>+C10</f>
        <v>11120.3</v>
      </c>
      <c r="G10" s="369"/>
      <c r="H10" s="389"/>
      <c r="I10" s="408" t="s">
        <v>21</v>
      </c>
      <c r="J10" s="1303">
        <f>+B10</f>
        <v>45657</v>
      </c>
      <c r="K10" s="1427">
        <v>0</v>
      </c>
      <c r="L10" s="1424"/>
      <c r="M10" s="1424"/>
      <c r="N10" s="1306">
        <f>+K10</f>
        <v>0</v>
      </c>
      <c r="O10" s="369"/>
      <c r="P10" s="517"/>
      <c r="Q10" s="361">
        <f>+Q9-M14</f>
        <v>47018885.670000002</v>
      </c>
      <c r="S10" s="568"/>
      <c r="T10" s="569"/>
      <c r="V10" s="351"/>
    </row>
    <row r="11" spans="1:44" ht="35.1" customHeight="1" x14ac:dyDescent="0.25">
      <c r="A11" s="375" t="s">
        <v>22</v>
      </c>
      <c r="B11" s="1303">
        <v>45688</v>
      </c>
      <c r="C11" s="1453" t="s">
        <v>502</v>
      </c>
      <c r="D11" s="1409"/>
      <c r="E11" s="1410">
        <f>+'ASIENTOS  '!F9</f>
        <v>576.47</v>
      </c>
      <c r="F11" s="1302">
        <f>+F10+D11-E11</f>
        <v>10543.83</v>
      </c>
      <c r="G11" s="369"/>
      <c r="H11" s="390"/>
      <c r="I11" s="375" t="s">
        <v>22</v>
      </c>
      <c r="J11" s="1303">
        <f>+B11</f>
        <v>45688</v>
      </c>
      <c r="K11" s="1453" t="s">
        <v>503</v>
      </c>
      <c r="L11" s="1409">
        <f>+'ASIENTOS  '!E13</f>
        <v>576.47</v>
      </c>
      <c r="M11" s="1409"/>
      <c r="N11" s="1302">
        <f>+N10+L11-M11</f>
        <v>576.47</v>
      </c>
      <c r="O11" s="369"/>
      <c r="P11" s="568"/>
      <c r="Q11" s="569"/>
      <c r="R11" s="73"/>
      <c r="S11" s="568"/>
      <c r="T11" s="569"/>
      <c r="V11" s="351"/>
    </row>
    <row r="12" spans="1:44" ht="35.1" customHeight="1" x14ac:dyDescent="0.25">
      <c r="A12" s="375" t="s">
        <v>22</v>
      </c>
      <c r="B12" s="1303">
        <v>45688</v>
      </c>
      <c r="C12" s="1453" t="s">
        <v>504</v>
      </c>
      <c r="D12" s="1409">
        <f>+'ASIENTOS  '!E19</f>
        <v>576.47</v>
      </c>
      <c r="E12" s="1409"/>
      <c r="F12" s="1302">
        <f t="shared" ref="F12:F25" si="0">+F11+D12-E12</f>
        <v>11120.3</v>
      </c>
      <c r="G12" s="369"/>
      <c r="H12" s="390"/>
      <c r="I12" s="375" t="s">
        <v>22</v>
      </c>
      <c r="J12" s="1303">
        <f>+B12</f>
        <v>45688</v>
      </c>
      <c r="K12" s="1453" t="s">
        <v>504</v>
      </c>
      <c r="L12" s="1413"/>
      <c r="M12" s="1409">
        <f>+'ASIENTOS  '!F21</f>
        <v>576.47</v>
      </c>
      <c r="N12" s="1302">
        <f t="shared" ref="N12:N25" si="1">+N11+L12-M12</f>
        <v>0</v>
      </c>
      <c r="O12" s="369"/>
      <c r="P12" s="568"/>
      <c r="Q12" s="569"/>
      <c r="R12" s="73"/>
      <c r="S12" s="568"/>
      <c r="T12" s="569"/>
      <c r="V12" s="351"/>
    </row>
    <row r="13" spans="1:44" ht="35.1" customHeight="1" x14ac:dyDescent="0.25">
      <c r="A13" s="375" t="s">
        <v>22</v>
      </c>
      <c r="B13" s="1303">
        <v>45688</v>
      </c>
      <c r="C13" s="1453" t="s">
        <v>506</v>
      </c>
      <c r="D13" s="1409">
        <f>+'ASIENTOS  '!E34</f>
        <v>2552051.33</v>
      </c>
      <c r="E13" s="1409"/>
      <c r="F13" s="1302">
        <f t="shared" si="0"/>
        <v>2563171.63</v>
      </c>
      <c r="G13" s="369"/>
      <c r="H13" s="390"/>
      <c r="I13" s="375" t="s">
        <v>22</v>
      </c>
      <c r="J13" s="1303">
        <f>+B13</f>
        <v>45688</v>
      </c>
      <c r="K13" s="1453" t="s">
        <v>505</v>
      </c>
      <c r="L13" s="1409">
        <f>+'ASIENTOS  '!E24</f>
        <v>49570937</v>
      </c>
      <c r="M13" s="1409"/>
      <c r="N13" s="1302">
        <f t="shared" si="1"/>
        <v>49570937</v>
      </c>
      <c r="O13" s="369"/>
      <c r="P13" s="570"/>
      <c r="Q13" s="569"/>
      <c r="R13" s="73"/>
      <c r="S13" s="570"/>
      <c r="T13" s="569"/>
      <c r="V13" s="351"/>
    </row>
    <row r="14" spans="1:44" ht="35.1" customHeight="1" x14ac:dyDescent="0.25">
      <c r="A14" s="375" t="s">
        <v>22</v>
      </c>
      <c r="B14" s="1303">
        <v>45688</v>
      </c>
      <c r="C14" s="1453" t="s">
        <v>507</v>
      </c>
      <c r="D14" s="1409"/>
      <c r="E14" s="1409">
        <f>+'ASIENTOS  '!F44</f>
        <v>9992.25</v>
      </c>
      <c r="F14" s="1302">
        <f t="shared" si="0"/>
        <v>2553179.38</v>
      </c>
      <c r="G14" s="369"/>
      <c r="H14" s="389"/>
      <c r="I14" s="375" t="s">
        <v>22</v>
      </c>
      <c r="J14" s="1303">
        <f>+B14</f>
        <v>45688</v>
      </c>
      <c r="K14" s="1453" t="s">
        <v>506</v>
      </c>
      <c r="L14" s="1409"/>
      <c r="M14" s="1409">
        <f>+'ASIENTOS  '!F38</f>
        <v>2552051.33</v>
      </c>
      <c r="N14" s="1302">
        <f t="shared" si="1"/>
        <v>47018885.670000002</v>
      </c>
      <c r="O14" s="369"/>
      <c r="P14" s="518"/>
      <c r="Q14" s="518"/>
      <c r="R14" s="567"/>
      <c r="S14" s="73"/>
      <c r="V14" s="351"/>
    </row>
    <row r="15" spans="1:44" ht="35.1" customHeight="1" x14ac:dyDescent="0.25">
      <c r="A15" s="375" t="s">
        <v>22</v>
      </c>
      <c r="B15" s="1303">
        <v>45688</v>
      </c>
      <c r="C15" s="1453" t="s">
        <v>508</v>
      </c>
      <c r="D15" s="1410">
        <f>+'ASIENTOS  '!E49</f>
        <v>24.89</v>
      </c>
      <c r="E15" s="1410"/>
      <c r="F15" s="1302">
        <f t="shared" si="0"/>
        <v>2553204.27</v>
      </c>
      <c r="G15" s="369"/>
      <c r="H15" s="389"/>
      <c r="I15" s="375" t="s">
        <v>22</v>
      </c>
      <c r="J15" s="1303"/>
      <c r="K15" s="1453"/>
      <c r="L15" s="1409"/>
      <c r="M15" s="1409"/>
      <c r="N15" s="1302">
        <f t="shared" si="1"/>
        <v>47018885.670000002</v>
      </c>
      <c r="O15" s="369"/>
      <c r="P15" s="904"/>
      <c r="Q15" s="518"/>
      <c r="R15" s="74"/>
      <c r="S15" s="74"/>
      <c r="V15" s="351"/>
    </row>
    <row r="16" spans="1:44" ht="35.1" customHeight="1" x14ac:dyDescent="0.35">
      <c r="A16" s="375" t="s">
        <v>22</v>
      </c>
      <c r="B16" s="1303">
        <v>45688</v>
      </c>
      <c r="C16" s="1453" t="s">
        <v>508</v>
      </c>
      <c r="D16" s="1409"/>
      <c r="E16" s="1409">
        <f>+'ASIENTOS  '!F51</f>
        <v>24.89</v>
      </c>
      <c r="F16" s="1302">
        <f t="shared" si="0"/>
        <v>2553179.38</v>
      </c>
      <c r="G16" s="369"/>
      <c r="H16" s="389"/>
      <c r="I16" s="375" t="s">
        <v>22</v>
      </c>
      <c r="J16" s="1304"/>
      <c r="K16" s="1454"/>
      <c r="L16" s="1409"/>
      <c r="M16" s="1409"/>
      <c r="N16" s="1302">
        <f t="shared" si="1"/>
        <v>47018885.670000002</v>
      </c>
      <c r="O16" s="369"/>
      <c r="P16" s="519"/>
      <c r="Q16" s="518"/>
      <c r="R16" s="74"/>
      <c r="S16" s="74"/>
    </row>
    <row r="17" spans="1:44" ht="35.1" customHeight="1" x14ac:dyDescent="0.3">
      <c r="A17" s="375" t="s">
        <v>22</v>
      </c>
      <c r="B17" s="1303">
        <v>45688</v>
      </c>
      <c r="C17" s="1453" t="s">
        <v>509</v>
      </c>
      <c r="D17" s="1409">
        <f>+'ASIENTOS  '!E55</f>
        <v>112.49</v>
      </c>
      <c r="E17" s="1411"/>
      <c r="F17" s="1302">
        <f t="shared" si="0"/>
        <v>2553291.87</v>
      </c>
      <c r="G17" s="369"/>
      <c r="H17" s="389"/>
      <c r="I17" s="375" t="s">
        <v>22</v>
      </c>
      <c r="J17" s="572"/>
      <c r="K17" s="1454"/>
      <c r="L17" s="1409"/>
      <c r="M17" s="1409"/>
      <c r="N17" s="1302">
        <f t="shared" si="1"/>
        <v>47018885.670000002</v>
      </c>
      <c r="O17" s="369"/>
      <c r="P17" s="519"/>
      <c r="Q17" s="518"/>
      <c r="R17" s="74"/>
      <c r="S17" s="146"/>
      <c r="V17" s="351"/>
    </row>
    <row r="18" spans="1:44" ht="35.1" customHeight="1" x14ac:dyDescent="0.3">
      <c r="A18" s="375" t="s">
        <v>22</v>
      </c>
      <c r="B18" s="1303">
        <v>45688</v>
      </c>
      <c r="C18" s="1453" t="s">
        <v>509</v>
      </c>
      <c r="D18" s="1409"/>
      <c r="E18" s="1409">
        <f>+'ASIENTOS  '!F57</f>
        <v>112.49</v>
      </c>
      <c r="F18" s="1302">
        <f t="shared" si="0"/>
        <v>2553179.38</v>
      </c>
      <c r="G18" s="369"/>
      <c r="H18" s="389"/>
      <c r="I18" s="375" t="s">
        <v>22</v>
      </c>
      <c r="J18" s="572"/>
      <c r="K18" s="1454"/>
      <c r="L18" s="1409"/>
      <c r="M18" s="1409"/>
      <c r="N18" s="1302">
        <f t="shared" si="1"/>
        <v>47018885.670000002</v>
      </c>
      <c r="O18" s="369"/>
      <c r="P18" s="519"/>
      <c r="Q18" s="520"/>
      <c r="R18" s="73"/>
      <c r="S18" s="146"/>
      <c r="T18" s="391"/>
      <c r="U18" s="353"/>
      <c r="V18" s="353"/>
      <c r="W18" s="353"/>
    </row>
    <row r="19" spans="1:44" ht="35.1" customHeight="1" x14ac:dyDescent="0.3">
      <c r="A19" s="375" t="s">
        <v>22</v>
      </c>
      <c r="B19" s="1303">
        <v>45688</v>
      </c>
      <c r="C19" s="1454" t="s">
        <v>512</v>
      </c>
      <c r="D19" s="1409"/>
      <c r="E19" s="1409">
        <f>+'ASIENTOS  '!F113</f>
        <v>551.57999999728054</v>
      </c>
      <c r="F19" s="1302">
        <f t="shared" si="0"/>
        <v>2552627.8000000026</v>
      </c>
      <c r="G19" s="369"/>
      <c r="H19" s="389"/>
      <c r="I19" s="375" t="s">
        <v>22</v>
      </c>
      <c r="J19" s="572"/>
      <c r="K19" s="1454"/>
      <c r="L19" s="1409"/>
      <c r="M19" s="1409"/>
      <c r="N19" s="1302">
        <f t="shared" si="1"/>
        <v>47018885.670000002</v>
      </c>
      <c r="O19" s="369"/>
      <c r="P19" s="519"/>
      <c r="Q19" s="520"/>
      <c r="R19" s="73"/>
      <c r="S19" s="571"/>
      <c r="T19" s="1787"/>
      <c r="U19" s="1787"/>
      <c r="V19" s="1787"/>
      <c r="W19" s="367"/>
      <c r="X19" s="368"/>
    </row>
    <row r="20" spans="1:44" ht="35.1" customHeight="1" x14ac:dyDescent="0.3">
      <c r="A20" s="375" t="s">
        <v>22</v>
      </c>
      <c r="B20" s="1303">
        <v>45688</v>
      </c>
      <c r="C20" s="1454" t="s">
        <v>513</v>
      </c>
      <c r="D20" s="1409"/>
      <c r="E20" s="1409">
        <f>+'ASIENTOS  '!F125</f>
        <v>2520260.7899999996</v>
      </c>
      <c r="F20" s="1302">
        <f t="shared" si="0"/>
        <v>32367.010000003036</v>
      </c>
      <c r="G20" s="369"/>
      <c r="H20" s="389"/>
      <c r="I20" s="375" t="s">
        <v>22</v>
      </c>
      <c r="J20" s="572"/>
      <c r="K20" s="1454"/>
      <c r="L20" s="1414"/>
      <c r="M20" s="1409"/>
      <c r="N20" s="1302">
        <f t="shared" si="1"/>
        <v>47018885.670000002</v>
      </c>
      <c r="O20" s="369"/>
      <c r="P20" s="519"/>
      <c r="Q20" s="730"/>
      <c r="R20" s="444"/>
      <c r="S20" s="749"/>
      <c r="T20" s="753"/>
      <c r="U20" s="353"/>
      <c r="V20" s="392"/>
      <c r="W20" s="353"/>
    </row>
    <row r="21" spans="1:44" ht="35.1" customHeight="1" x14ac:dyDescent="0.25">
      <c r="A21" s="375" t="s">
        <v>22</v>
      </c>
      <c r="B21" s="1303"/>
      <c r="C21" s="1454"/>
      <c r="D21" s="1409"/>
      <c r="E21" s="1409"/>
      <c r="F21" s="1302">
        <f t="shared" si="0"/>
        <v>32367.010000003036</v>
      </c>
      <c r="G21" s="369"/>
      <c r="H21" s="389"/>
      <c r="I21" s="375" t="s">
        <v>22</v>
      </c>
      <c r="J21" s="371"/>
      <c r="K21" s="1409"/>
      <c r="L21" s="1409"/>
      <c r="M21" s="1409"/>
      <c r="N21" s="1302">
        <f t="shared" si="1"/>
        <v>47018885.670000002</v>
      </c>
      <c r="O21" s="369"/>
      <c r="P21" s="750"/>
      <c r="Q21" s="750"/>
      <c r="R21" s="444"/>
      <c r="S21" s="749"/>
      <c r="T21" s="753"/>
      <c r="U21" s="353"/>
      <c r="V21" s="353"/>
      <c r="W21" s="353"/>
    </row>
    <row r="22" spans="1:44" ht="35.1" customHeight="1" x14ac:dyDescent="0.25">
      <c r="A22" s="375" t="s">
        <v>22</v>
      </c>
      <c r="B22" s="370"/>
      <c r="C22" s="1454"/>
      <c r="D22" s="1409"/>
      <c r="E22" s="1409"/>
      <c r="F22" s="1302">
        <f t="shared" si="0"/>
        <v>32367.010000003036</v>
      </c>
      <c r="G22" s="369"/>
      <c r="H22" s="389"/>
      <c r="I22" s="375" t="s">
        <v>22</v>
      </c>
      <c r="J22" s="371"/>
      <c r="K22" s="1409"/>
      <c r="L22" s="1409"/>
      <c r="M22" s="1409"/>
      <c r="N22" s="1302">
        <f t="shared" si="1"/>
        <v>47018885.670000002</v>
      </c>
      <c r="O22" s="369"/>
      <c r="P22" s="750"/>
      <c r="Q22" s="750"/>
      <c r="R22" s="452"/>
      <c r="S22" s="751"/>
      <c r="T22" s="753"/>
      <c r="U22" s="353"/>
      <c r="V22" s="392"/>
      <c r="W22" s="353"/>
    </row>
    <row r="23" spans="1:44" ht="35.1" customHeight="1" x14ac:dyDescent="0.25">
      <c r="A23" s="375" t="s">
        <v>22</v>
      </c>
      <c r="B23" s="370"/>
      <c r="C23" s="1454"/>
      <c r="D23" s="1409"/>
      <c r="E23" s="1409"/>
      <c r="F23" s="1302">
        <f t="shared" si="0"/>
        <v>32367.010000003036</v>
      </c>
      <c r="G23" s="369"/>
      <c r="H23" s="389"/>
      <c r="I23" s="375" t="s">
        <v>22</v>
      </c>
      <c r="J23" s="371"/>
      <c r="K23" s="1409"/>
      <c r="L23" s="1409"/>
      <c r="M23" s="1409"/>
      <c r="N23" s="1302">
        <f t="shared" si="1"/>
        <v>47018885.670000002</v>
      </c>
      <c r="O23" s="369"/>
      <c r="P23" s="750"/>
      <c r="Q23" s="750"/>
      <c r="R23" s="452"/>
      <c r="S23" s="570"/>
      <c r="T23" s="753"/>
      <c r="U23" s="353"/>
      <c r="V23" s="392"/>
      <c r="W23" s="353"/>
    </row>
    <row r="24" spans="1:44" ht="35.1" customHeight="1" x14ac:dyDescent="0.25">
      <c r="A24" s="375" t="s">
        <v>22</v>
      </c>
      <c r="B24" s="370"/>
      <c r="C24" s="1428"/>
      <c r="D24" s="1409"/>
      <c r="E24" s="1409"/>
      <c r="F24" s="1302">
        <f t="shared" si="0"/>
        <v>32367.010000003036</v>
      </c>
      <c r="G24" s="369"/>
      <c r="H24" s="389"/>
      <c r="I24" s="375" t="s">
        <v>22</v>
      </c>
      <c r="J24" s="371"/>
      <c r="K24" s="1409"/>
      <c r="L24" s="1409"/>
      <c r="M24" s="1409"/>
      <c r="N24" s="1302">
        <f t="shared" si="1"/>
        <v>47018885.670000002</v>
      </c>
      <c r="O24" s="369"/>
      <c r="P24" s="750"/>
      <c r="Q24" s="750"/>
      <c r="R24" s="452"/>
      <c r="S24" s="752"/>
      <c r="T24" s="353"/>
      <c r="U24" s="353"/>
      <c r="V24" s="392"/>
      <c r="W24" s="353"/>
    </row>
    <row r="25" spans="1:44" ht="35.1" customHeight="1" thickBot="1" x14ac:dyDescent="0.3">
      <c r="A25" s="377" t="s">
        <v>22</v>
      </c>
      <c r="B25" s="378"/>
      <c r="C25" s="1455"/>
      <c r="D25" s="1412"/>
      <c r="E25" s="1412"/>
      <c r="F25" s="1302">
        <f t="shared" si="0"/>
        <v>32367.010000003036</v>
      </c>
      <c r="G25" s="369"/>
      <c r="H25" s="389"/>
      <c r="I25" s="377" t="s">
        <v>22</v>
      </c>
      <c r="J25" s="403"/>
      <c r="K25" s="916"/>
      <c r="L25" s="1412"/>
      <c r="M25" s="1412"/>
      <c r="N25" s="1307">
        <f t="shared" si="1"/>
        <v>47018885.670000002</v>
      </c>
      <c r="O25" s="369"/>
      <c r="P25" s="750"/>
      <c r="Q25" s="750"/>
      <c r="R25" s="444"/>
      <c r="S25" s="752"/>
      <c r="T25" s="353"/>
      <c r="U25" s="353"/>
      <c r="V25" s="392"/>
      <c r="W25" s="353"/>
    </row>
    <row r="26" spans="1:44" ht="49.5" customHeight="1" thickBot="1" x14ac:dyDescent="0.3">
      <c r="A26" s="393"/>
      <c r="B26" s="394"/>
      <c r="C26" s="919"/>
      <c r="D26" s="1298">
        <f>SUM(D10:D25)</f>
        <v>2552765.1800000006</v>
      </c>
      <c r="E26" s="1299">
        <f>SUM(E10:E25)</f>
        <v>2531518.4699999969</v>
      </c>
      <c r="F26" s="1300">
        <f>+C10+D26-E26</f>
        <v>32367.010000003502</v>
      </c>
      <c r="G26" s="731"/>
      <c r="H26" s="395"/>
      <c r="I26" s="396"/>
      <c r="J26" s="397"/>
      <c r="K26" s="917"/>
      <c r="L26" s="1298">
        <f>SUM(L10:L25)</f>
        <v>49571513.469999999</v>
      </c>
      <c r="M26" s="1299">
        <f>SUM(M10:M25)</f>
        <v>2552627.8000000003</v>
      </c>
      <c r="N26" s="1305">
        <f>+K10+L26-M26</f>
        <v>47018885.670000002</v>
      </c>
      <c r="O26" s="373"/>
      <c r="P26" s="841">
        <f>+N42+F105+N105-F26</f>
        <v>47018885.670000002</v>
      </c>
      <c r="Q26" s="398">
        <f>+N26-P26</f>
        <v>0</v>
      </c>
      <c r="R26" s="392"/>
      <c r="S26" s="752"/>
      <c r="T26" s="353"/>
      <c r="U26" s="353"/>
      <c r="V26" s="353"/>
      <c r="W26" s="353"/>
      <c r="Y26" s="399"/>
      <c r="Z26" s="399"/>
      <c r="AA26" s="399"/>
      <c r="AB26" s="399"/>
      <c r="AC26" s="399"/>
      <c r="AD26" s="399"/>
      <c r="AE26" s="399"/>
      <c r="AF26" s="399"/>
      <c r="AG26" s="399"/>
      <c r="AH26" s="399"/>
      <c r="AI26" s="399"/>
      <c r="AJ26" s="399"/>
      <c r="AK26" s="399"/>
      <c r="AL26" s="399"/>
      <c r="AM26" s="399"/>
      <c r="AN26" s="399"/>
      <c r="AO26" s="399"/>
      <c r="AP26" s="399"/>
      <c r="AQ26" s="399"/>
      <c r="AR26" s="399"/>
    </row>
    <row r="27" spans="1:44" ht="48" customHeight="1" x14ac:dyDescent="0.25">
      <c r="A27" s="384"/>
      <c r="B27" s="383"/>
      <c r="C27" s="383"/>
      <c r="D27" s="380"/>
      <c r="E27" s="349"/>
      <c r="F27" s="1459"/>
      <c r="G27" s="381"/>
      <c r="H27" s="400"/>
      <c r="I27" s="380"/>
      <c r="J27" s="380"/>
      <c r="K27" s="380"/>
      <c r="L27" s="380"/>
      <c r="M27" s="380"/>
      <c r="N27" s="380"/>
      <c r="O27" s="349"/>
      <c r="P27" s="391"/>
      <c r="Q27" s="391"/>
      <c r="R27" s="351"/>
      <c r="S27" s="741"/>
      <c r="T27" s="353"/>
      <c r="U27" s="353"/>
      <c r="V27" s="392"/>
      <c r="W27" s="353"/>
    </row>
    <row r="28" spans="1:44" ht="24.95" customHeight="1" x14ac:dyDescent="0.25">
      <c r="A28" s="383"/>
      <c r="B28" s="383"/>
      <c r="C28" s="384"/>
      <c r="D28" s="384"/>
      <c r="E28" s="352"/>
      <c r="G28" s="352"/>
      <c r="H28" s="352"/>
      <c r="I28" s="380"/>
      <c r="J28" s="380"/>
      <c r="K28" s="380"/>
      <c r="L28" s="380"/>
      <c r="M28" s="380"/>
      <c r="N28" s="380"/>
      <c r="O28" s="349"/>
      <c r="P28" s="391"/>
      <c r="R28" s="391"/>
      <c r="S28" s="737"/>
      <c r="T28" s="391"/>
      <c r="U28" s="353"/>
      <c r="V28" s="353"/>
      <c r="W28" s="353"/>
    </row>
    <row r="29" spans="1:44" ht="24.95" customHeight="1" x14ac:dyDescent="0.25">
      <c r="A29" s="383"/>
      <c r="B29" s="383"/>
      <c r="C29" s="384"/>
      <c r="D29" s="384"/>
      <c r="E29" s="352"/>
      <c r="G29" s="352"/>
      <c r="H29" s="352"/>
      <c r="I29" s="380"/>
      <c r="J29" s="380"/>
      <c r="K29" s="380"/>
      <c r="L29" s="380"/>
      <c r="M29" s="380"/>
      <c r="N29" s="380"/>
      <c r="O29" s="349"/>
      <c r="P29" s="391"/>
      <c r="Q29" s="351"/>
      <c r="R29" s="391"/>
      <c r="S29" s="1788"/>
      <c r="T29" s="1788"/>
      <c r="U29" s="1788"/>
      <c r="V29" s="1788"/>
      <c r="W29" s="353"/>
    </row>
    <row r="30" spans="1:44" s="353" customFormat="1" ht="36" customHeight="1" thickBot="1" x14ac:dyDescent="0.3">
      <c r="A30" s="1786" t="s">
        <v>23</v>
      </c>
      <c r="B30" s="1786"/>
      <c r="C30" s="1786"/>
      <c r="D30" s="1786"/>
      <c r="E30" s="1786"/>
      <c r="F30" s="1786"/>
      <c r="G30" s="490"/>
      <c r="H30" s="400"/>
      <c r="I30" s="1786" t="s">
        <v>24</v>
      </c>
      <c r="J30" s="1786"/>
      <c r="K30" s="1786"/>
      <c r="L30" s="1786"/>
      <c r="M30" s="1786"/>
      <c r="N30" s="1786"/>
      <c r="O30" s="400"/>
      <c r="P30" s="352"/>
      <c r="Q30" s="398"/>
      <c r="R30" s="391"/>
      <c r="S30" s="344"/>
    </row>
    <row r="31" spans="1:44" ht="74.25" customHeight="1" thickBot="1" x14ac:dyDescent="0.3">
      <c r="A31" s="712" t="s">
        <v>18</v>
      </c>
      <c r="B31" s="713" t="s">
        <v>5</v>
      </c>
      <c r="C31" s="714" t="s">
        <v>19</v>
      </c>
      <c r="D31" s="715" t="s">
        <v>10</v>
      </c>
      <c r="E31" s="715" t="s">
        <v>11</v>
      </c>
      <c r="F31" s="716" t="s">
        <v>20</v>
      </c>
      <c r="G31" s="361"/>
      <c r="H31" s="488"/>
      <c r="I31" s="356" t="s">
        <v>18</v>
      </c>
      <c r="J31" s="357" t="s">
        <v>5</v>
      </c>
      <c r="K31" s="358" t="s">
        <v>19</v>
      </c>
      <c r="L31" s="359" t="s">
        <v>10</v>
      </c>
      <c r="M31" s="359" t="s">
        <v>11</v>
      </c>
      <c r="N31" s="360" t="s">
        <v>20</v>
      </c>
      <c r="O31" s="361"/>
      <c r="P31" s="1322"/>
      <c r="Q31" s="366"/>
      <c r="R31" s="516"/>
      <c r="S31" s="366"/>
      <c r="T31" s="516"/>
      <c r="U31" s="516"/>
      <c r="V31" s="516"/>
      <c r="W31" s="516"/>
      <c r="X31" s="516"/>
      <c r="Y31" s="516"/>
      <c r="Z31" s="516"/>
      <c r="AA31" s="516"/>
      <c r="AB31" s="516"/>
      <c r="AC31" s="516"/>
      <c r="AD31" s="516"/>
      <c r="AE31" s="516"/>
      <c r="AF31" s="516"/>
      <c r="AG31" s="516"/>
      <c r="AH31" s="516"/>
      <c r="AI31" s="516"/>
      <c r="AJ31" s="516"/>
      <c r="AK31" s="516"/>
      <c r="AL31" s="516"/>
      <c r="AM31" s="516"/>
      <c r="AN31" s="516"/>
      <c r="AO31" s="516"/>
      <c r="AP31" s="516"/>
      <c r="AQ31" s="516"/>
      <c r="AR31" s="516"/>
    </row>
    <row r="32" spans="1:44" ht="35.1" customHeight="1" x14ac:dyDescent="0.25">
      <c r="A32" s="408" t="s">
        <v>21</v>
      </c>
      <c r="B32" s="1308">
        <f>+B10</f>
        <v>45657</v>
      </c>
      <c r="C32" s="1427">
        <v>61484.600000000006</v>
      </c>
      <c r="D32" s="1424"/>
      <c r="E32" s="1446"/>
      <c r="F32" s="1306">
        <f>+C32</f>
        <v>61484.600000000006</v>
      </c>
      <c r="G32" s="369"/>
      <c r="H32" s="389"/>
      <c r="I32" s="408" t="s">
        <v>21</v>
      </c>
      <c r="J32" s="1314">
        <f>+B10</f>
        <v>45657</v>
      </c>
      <c r="K32" s="1432">
        <v>10568.719999996014</v>
      </c>
      <c r="L32" s="1415"/>
      <c r="M32" s="1415"/>
      <c r="N32" s="1319">
        <f>+K32</f>
        <v>10568.719999996014</v>
      </c>
      <c r="P32" s="391"/>
      <c r="Q32" s="349"/>
      <c r="R32" s="344"/>
      <c r="S32" s="351"/>
      <c r="V32" s="351"/>
    </row>
    <row r="33" spans="1:19" ht="35.1" customHeight="1" x14ac:dyDescent="0.25">
      <c r="A33" s="375" t="s">
        <v>22</v>
      </c>
      <c r="B33" s="1303">
        <f>+B11</f>
        <v>45688</v>
      </c>
      <c r="C33" s="1303" t="s">
        <v>517</v>
      </c>
      <c r="D33" s="1429">
        <f>+'ASIENTOS  '!E163</f>
        <v>112.49</v>
      </c>
      <c r="E33" s="1447"/>
      <c r="F33" s="1302">
        <f>+F32+D33-E33</f>
        <v>61597.090000000004</v>
      </c>
      <c r="G33" s="369"/>
      <c r="H33" s="389"/>
      <c r="I33" s="375" t="s">
        <v>22</v>
      </c>
      <c r="J33" s="1303">
        <f>+B11</f>
        <v>45688</v>
      </c>
      <c r="K33" s="1426" t="s">
        <v>520</v>
      </c>
      <c r="L33" s="1416"/>
      <c r="M33" s="1416">
        <f>+'ASIENTOS  '!F414</f>
        <v>10568.720000001136</v>
      </c>
      <c r="N33" s="1320">
        <f>+N32+L33-M33</f>
        <v>-5.1222741603851318E-9</v>
      </c>
      <c r="P33" s="391"/>
      <c r="Q33" s="349"/>
      <c r="R33" s="344"/>
      <c r="S33" s="351"/>
    </row>
    <row r="34" spans="1:19" ht="35.1" customHeight="1" x14ac:dyDescent="0.25">
      <c r="A34" s="375" t="s">
        <v>22</v>
      </c>
      <c r="B34" s="1303">
        <f t="shared" ref="B34:B35" si="2">+B12</f>
        <v>45688</v>
      </c>
      <c r="C34" s="1303" t="s">
        <v>518</v>
      </c>
      <c r="D34" s="1429">
        <f>+'ASIENTOS  '!E169</f>
        <v>187894.43</v>
      </c>
      <c r="E34" s="1448"/>
      <c r="F34" s="1302">
        <f t="shared" ref="F34:F41" si="3">+F33+D34-E34</f>
        <v>249491.52</v>
      </c>
      <c r="G34" s="369"/>
      <c r="H34" s="390"/>
      <c r="I34" s="375" t="s">
        <v>22</v>
      </c>
      <c r="J34" s="1303">
        <f>+B12</f>
        <v>45688</v>
      </c>
      <c r="K34" s="1426" t="s">
        <v>521</v>
      </c>
      <c r="L34" s="1416">
        <f>+'ASIENTOS  '!E431</f>
        <v>45879375.460000008</v>
      </c>
      <c r="M34" s="1416"/>
      <c r="N34" s="1320">
        <f t="shared" ref="N34:N41" si="4">+N33+L34-M34</f>
        <v>45879375.460000001</v>
      </c>
      <c r="P34" s="392"/>
      <c r="Q34" s="349"/>
      <c r="R34" s="391"/>
      <c r="S34" s="351"/>
    </row>
    <row r="35" spans="1:19" ht="35.1" customHeight="1" x14ac:dyDescent="0.25">
      <c r="A35" s="375" t="s">
        <v>22</v>
      </c>
      <c r="B35" s="1303">
        <f t="shared" si="2"/>
        <v>45688</v>
      </c>
      <c r="C35" s="1303" t="s">
        <v>519</v>
      </c>
      <c r="D35" s="1429"/>
      <c r="E35" s="1448">
        <f>+'ASIENTOS  '!F197</f>
        <v>46317.56</v>
      </c>
      <c r="F35" s="1302">
        <f t="shared" si="3"/>
        <v>203173.96</v>
      </c>
      <c r="G35" s="369"/>
      <c r="H35" s="390"/>
      <c r="I35" s="375" t="s">
        <v>22</v>
      </c>
      <c r="J35" s="1303"/>
      <c r="K35" s="1426"/>
      <c r="L35" s="1416"/>
      <c r="M35" s="1416"/>
      <c r="N35" s="1320">
        <f t="shared" si="4"/>
        <v>45879375.460000001</v>
      </c>
      <c r="P35" s="391"/>
      <c r="Q35" s="349"/>
      <c r="R35" s="351"/>
      <c r="S35" s="351"/>
    </row>
    <row r="36" spans="1:19" ht="35.1" customHeight="1" x14ac:dyDescent="0.25">
      <c r="A36" s="375" t="s">
        <v>22</v>
      </c>
      <c r="B36" s="1303"/>
      <c r="C36" s="1428"/>
      <c r="D36" s="1429"/>
      <c r="E36" s="1447"/>
      <c r="F36" s="1302">
        <f t="shared" si="3"/>
        <v>203173.96</v>
      </c>
      <c r="G36" s="369"/>
      <c r="H36" s="390"/>
      <c r="I36" s="375" t="s">
        <v>22</v>
      </c>
      <c r="J36" s="1303"/>
      <c r="K36" s="1426"/>
      <c r="L36" s="1416"/>
      <c r="M36" s="1416"/>
      <c r="N36" s="1320">
        <f t="shared" si="4"/>
        <v>45879375.460000001</v>
      </c>
      <c r="P36" s="391"/>
      <c r="Q36" s="349"/>
      <c r="R36" s="351"/>
    </row>
    <row r="37" spans="1:19" ht="35.1" customHeight="1" x14ac:dyDescent="0.25">
      <c r="A37" s="375" t="s">
        <v>22</v>
      </c>
      <c r="B37" s="1303"/>
      <c r="C37" s="1428"/>
      <c r="D37" s="1429"/>
      <c r="E37" s="1447"/>
      <c r="F37" s="1302">
        <f t="shared" si="3"/>
        <v>203173.96</v>
      </c>
      <c r="G37" s="369"/>
      <c r="H37" s="390"/>
      <c r="I37" s="375" t="s">
        <v>22</v>
      </c>
      <c r="J37" s="1303"/>
      <c r="K37" s="1426"/>
      <c r="L37" s="1416"/>
      <c r="M37" s="1416"/>
      <c r="N37" s="1320">
        <f t="shared" si="4"/>
        <v>45879375.460000001</v>
      </c>
      <c r="P37" s="391"/>
      <c r="Q37" s="349"/>
      <c r="R37" s="351"/>
    </row>
    <row r="38" spans="1:19" ht="35.1" customHeight="1" x14ac:dyDescent="0.25">
      <c r="A38" s="375" t="s">
        <v>22</v>
      </c>
      <c r="B38" s="1309"/>
      <c r="C38" s="1428"/>
      <c r="D38" s="1429"/>
      <c r="E38" s="1447"/>
      <c r="F38" s="1302">
        <f t="shared" si="3"/>
        <v>203173.96</v>
      </c>
      <c r="G38" s="369"/>
      <c r="H38" s="385"/>
      <c r="I38" s="375" t="s">
        <v>22</v>
      </c>
      <c r="J38" s="1315"/>
      <c r="K38" s="1416"/>
      <c r="L38" s="1416"/>
      <c r="M38" s="1416"/>
      <c r="N38" s="1320">
        <f t="shared" si="4"/>
        <v>45879375.460000001</v>
      </c>
      <c r="O38" s="349"/>
      <c r="P38" s="391"/>
      <c r="Q38" s="351"/>
      <c r="R38" s="401"/>
      <c r="S38" s="351"/>
    </row>
    <row r="39" spans="1:19" ht="35.1" customHeight="1" x14ac:dyDescent="0.25">
      <c r="A39" s="375" t="s">
        <v>22</v>
      </c>
      <c r="B39" s="1309"/>
      <c r="C39" s="1428"/>
      <c r="D39" s="1410"/>
      <c r="E39" s="1449"/>
      <c r="F39" s="1302">
        <f t="shared" si="3"/>
        <v>203173.96</v>
      </c>
      <c r="G39" s="369"/>
      <c r="H39" s="385"/>
      <c r="I39" s="375" t="s">
        <v>22</v>
      </c>
      <c r="J39" s="1315"/>
      <c r="K39" s="1416"/>
      <c r="L39" s="1416"/>
      <c r="M39" s="1416"/>
      <c r="N39" s="1320">
        <f>+N38+L39-M39</f>
        <v>45879375.460000001</v>
      </c>
      <c r="O39" s="349"/>
      <c r="P39" s="391"/>
      <c r="R39" s="401"/>
      <c r="S39" s="351"/>
    </row>
    <row r="40" spans="1:19" ht="35.1" customHeight="1" x14ac:dyDescent="0.25">
      <c r="A40" s="375" t="s">
        <v>22</v>
      </c>
      <c r="B40" s="1309"/>
      <c r="C40" s="1428"/>
      <c r="D40" s="1410"/>
      <c r="E40" s="1449"/>
      <c r="F40" s="1302">
        <f t="shared" si="3"/>
        <v>203173.96</v>
      </c>
      <c r="G40" s="369"/>
      <c r="H40" s="385"/>
      <c r="I40" s="375" t="s">
        <v>22</v>
      </c>
      <c r="J40" s="1315"/>
      <c r="K40" s="1416"/>
      <c r="L40" s="1416"/>
      <c r="M40" s="1416"/>
      <c r="N40" s="1320">
        <f t="shared" si="4"/>
        <v>45879375.460000001</v>
      </c>
      <c r="O40" s="349"/>
      <c r="P40" s="391"/>
      <c r="Q40" s="351"/>
      <c r="R40" s="401"/>
      <c r="S40" s="351"/>
    </row>
    <row r="41" spans="1:19" ht="35.1" customHeight="1" thickBot="1" x14ac:dyDescent="0.3">
      <c r="A41" s="710" t="s">
        <v>22</v>
      </c>
      <c r="B41" s="1310"/>
      <c r="C41" s="1450"/>
      <c r="D41" s="1451"/>
      <c r="E41" s="1452"/>
      <c r="F41" s="1313">
        <f t="shared" si="3"/>
        <v>203173.96</v>
      </c>
      <c r="G41" s="369"/>
      <c r="H41" s="385"/>
      <c r="I41" s="377" t="s">
        <v>22</v>
      </c>
      <c r="J41" s="1316"/>
      <c r="K41" s="1419"/>
      <c r="L41" s="1419"/>
      <c r="M41" s="1419"/>
      <c r="N41" s="1321">
        <f t="shared" si="4"/>
        <v>45879375.460000001</v>
      </c>
      <c r="O41" s="349"/>
      <c r="P41" s="391"/>
      <c r="Q41" s="351"/>
      <c r="R41" s="401"/>
      <c r="S41" s="351"/>
    </row>
    <row r="42" spans="1:19" ht="44.25" customHeight="1" thickBot="1" x14ac:dyDescent="0.3">
      <c r="A42" s="383"/>
      <c r="B42" s="372"/>
      <c r="C42" s="928"/>
      <c r="D42" s="1311">
        <f>SUM(D32:D41)</f>
        <v>188006.91999999998</v>
      </c>
      <c r="E42" s="1311">
        <f>SUM(E32:E41)</f>
        <v>46317.56</v>
      </c>
      <c r="F42" s="1312">
        <f>+C32+D42-E42</f>
        <v>203173.96</v>
      </c>
      <c r="G42" s="373"/>
      <c r="H42" s="385"/>
      <c r="I42" s="383"/>
      <c r="J42" s="383"/>
      <c r="K42" s="926"/>
      <c r="L42" s="1317">
        <f>SUM(L32:L41)</f>
        <v>45879375.460000008</v>
      </c>
      <c r="M42" s="1317">
        <f>SUM(M32:M41)</f>
        <v>10568.720000001136</v>
      </c>
      <c r="N42" s="1318">
        <f>N32+L42-M42</f>
        <v>45879375.460000008</v>
      </c>
      <c r="O42" s="381"/>
      <c r="P42" s="842">
        <f>+ENERO!P15</f>
        <v>45879375.460000008</v>
      </c>
      <c r="Q42" s="398">
        <f>+N42-P42</f>
        <v>0</v>
      </c>
      <c r="R42" s="351"/>
    </row>
    <row r="43" spans="1:19" s="353" customFormat="1" ht="35.1" customHeight="1" x14ac:dyDescent="0.25">
      <c r="A43" s="385"/>
      <c r="B43" s="845"/>
      <c r="C43" s="846"/>
      <c r="D43" s="847"/>
      <c r="E43" s="847"/>
      <c r="F43" s="847"/>
      <c r="G43" s="373"/>
      <c r="H43" s="385"/>
      <c r="I43" s="385"/>
      <c r="J43" s="385"/>
      <c r="K43" s="385"/>
      <c r="L43" s="848"/>
      <c r="M43" s="848"/>
      <c r="N43" s="848"/>
      <c r="O43" s="381"/>
      <c r="P43" s="849"/>
      <c r="Q43" s="391"/>
      <c r="R43" s="392"/>
    </row>
    <row r="44" spans="1:19" s="353" customFormat="1" ht="35.1" customHeight="1" x14ac:dyDescent="0.25">
      <c r="A44" s="385"/>
      <c r="B44" s="845"/>
      <c r="C44" s="846"/>
      <c r="D44" s="847"/>
      <c r="E44" s="847"/>
      <c r="F44" s="847"/>
      <c r="G44" s="373"/>
      <c r="H44" s="385"/>
      <c r="I44" s="385"/>
      <c r="J44" s="385"/>
      <c r="K44" s="385"/>
      <c r="L44" s="848"/>
      <c r="M44" s="848"/>
      <c r="N44" s="848"/>
      <c r="O44" s="381"/>
      <c r="P44" s="849"/>
      <c r="Q44" s="391"/>
      <c r="R44" s="392"/>
    </row>
    <row r="45" spans="1:19" s="353" customFormat="1" ht="35.1" customHeight="1" x14ac:dyDescent="0.25">
      <c r="A45" s="385"/>
      <c r="B45" s="845"/>
      <c r="C45" s="846"/>
      <c r="D45" s="847"/>
      <c r="E45" s="847"/>
      <c r="F45" s="847"/>
      <c r="G45" s="373"/>
      <c r="H45" s="385"/>
      <c r="I45" s="385"/>
      <c r="J45" s="385"/>
      <c r="K45" s="385"/>
      <c r="L45" s="848"/>
      <c r="M45" s="848"/>
      <c r="N45" s="848"/>
      <c r="O45" s="381"/>
      <c r="P45" s="849"/>
      <c r="Q45" s="391"/>
      <c r="R45" s="392"/>
    </row>
    <row r="46" spans="1:19" s="353" customFormat="1" ht="35.1" customHeight="1" x14ac:dyDescent="0.25">
      <c r="A46" s="385"/>
      <c r="B46" s="845"/>
      <c r="C46" s="846"/>
      <c r="D46" s="847"/>
      <c r="E46" s="847"/>
      <c r="F46" s="847"/>
      <c r="G46" s="373"/>
      <c r="H46" s="385"/>
      <c r="I46" s="385"/>
      <c r="J46" s="385"/>
      <c r="K46" s="385"/>
      <c r="L46" s="848"/>
      <c r="M46" s="848"/>
      <c r="N46" s="848"/>
      <c r="O46" s="381"/>
      <c r="P46" s="849"/>
      <c r="Q46" s="391"/>
      <c r="R46" s="392"/>
    </row>
    <row r="47" spans="1:19" ht="24.95" customHeight="1" x14ac:dyDescent="0.25">
      <c r="A47" s="383"/>
      <c r="B47" s="383"/>
      <c r="C47" s="384"/>
      <c r="D47" s="380"/>
      <c r="E47" s="380"/>
      <c r="F47" s="380"/>
      <c r="G47" s="349"/>
      <c r="H47" s="528"/>
      <c r="I47" s="383"/>
      <c r="J47" s="383"/>
      <c r="K47" s="383"/>
      <c r="L47" s="380"/>
      <c r="M47" s="380"/>
      <c r="N47" s="380"/>
      <c r="O47" s="349"/>
      <c r="P47" s="350"/>
      <c r="Q47" s="351"/>
      <c r="R47" s="351"/>
    </row>
    <row r="48" spans="1:19" ht="33.75" customHeight="1" x14ac:dyDescent="0.25">
      <c r="A48" s="1780" t="s">
        <v>157</v>
      </c>
      <c r="B48" s="1780"/>
      <c r="C48" s="1780"/>
      <c r="D48" s="1780"/>
      <c r="E48" s="1780"/>
      <c r="F48" s="1780"/>
      <c r="G48" s="1780"/>
      <c r="H48" s="1780"/>
      <c r="I48" s="1780"/>
      <c r="J48" s="1780"/>
      <c r="K48" s="1780"/>
      <c r="L48" s="1780"/>
      <c r="M48" s="1780"/>
      <c r="N48" s="1780"/>
      <c r="O48" s="1780"/>
      <c r="P48" s="398"/>
      <c r="Q48" s="398"/>
    </row>
    <row r="49" spans="1:44" ht="28.5" customHeight="1" x14ac:dyDescent="0.25">
      <c r="A49" s="1780" t="s">
        <v>158</v>
      </c>
      <c r="B49" s="1780"/>
      <c r="C49" s="1780"/>
      <c r="D49" s="1780"/>
      <c r="E49" s="1780"/>
      <c r="F49" s="1780"/>
      <c r="G49" s="1780"/>
      <c r="H49" s="1780"/>
      <c r="I49" s="1780"/>
      <c r="J49" s="1780"/>
      <c r="K49" s="1780"/>
      <c r="L49" s="1780"/>
      <c r="M49" s="1780"/>
      <c r="N49" s="1780"/>
      <c r="O49" s="1780"/>
      <c r="P49" s="398"/>
      <c r="Q49" s="399"/>
    </row>
    <row r="50" spans="1:44" ht="26.25" customHeight="1" x14ac:dyDescent="0.25">
      <c r="A50" s="1780" t="s">
        <v>161</v>
      </c>
      <c r="B50" s="1780"/>
      <c r="C50" s="1780"/>
      <c r="D50" s="1780"/>
      <c r="E50" s="1780"/>
      <c r="F50" s="1780"/>
      <c r="G50" s="1780"/>
      <c r="H50" s="1780"/>
      <c r="I50" s="1780"/>
      <c r="J50" s="1780"/>
      <c r="K50" s="1780"/>
      <c r="L50" s="1780"/>
      <c r="M50" s="1780"/>
      <c r="N50" s="1780"/>
      <c r="O50" s="1780"/>
      <c r="P50" s="398"/>
      <c r="Q50" s="399"/>
    </row>
    <row r="51" spans="1:44" ht="20.100000000000001" customHeight="1" x14ac:dyDescent="0.25">
      <c r="A51" s="383"/>
      <c r="B51" s="513"/>
      <c r="C51" s="513"/>
      <c r="D51" s="513"/>
      <c r="E51" s="1784"/>
      <c r="F51" s="1784"/>
      <c r="G51" s="1784"/>
      <c r="H51" s="1784"/>
      <c r="I51" s="1784"/>
      <c r="J51" s="1784"/>
      <c r="K51" s="1784"/>
      <c r="L51" s="1784"/>
      <c r="M51" s="1784"/>
      <c r="N51" s="384"/>
      <c r="O51" s="384"/>
      <c r="P51" s="398"/>
      <c r="Q51" s="399"/>
    </row>
    <row r="52" spans="1:44" ht="20.100000000000001" customHeight="1" x14ac:dyDescent="0.25">
      <c r="A52" s="383"/>
      <c r="B52" s="383"/>
      <c r="C52" s="383"/>
      <c r="D52" s="384"/>
      <c r="E52" s="384"/>
      <c r="F52" s="384"/>
      <c r="G52" s="352"/>
      <c r="H52" s="383"/>
      <c r="I52" s="385"/>
      <c r="J52" s="383"/>
      <c r="K52" s="383"/>
      <c r="L52" s="379"/>
      <c r="M52" s="379"/>
      <c r="N52" s="379"/>
      <c r="O52" s="379"/>
      <c r="P52" s="398"/>
      <c r="Q52" s="399"/>
    </row>
    <row r="53" spans="1:44" ht="29.25" customHeight="1" x14ac:dyDescent="0.25">
      <c r="A53" s="1785" t="s">
        <v>162</v>
      </c>
      <c r="B53" s="1785"/>
      <c r="C53" s="1785"/>
      <c r="D53" s="1785"/>
      <c r="E53" s="1785"/>
      <c r="F53" s="1785"/>
      <c r="G53" s="1785"/>
      <c r="H53" s="1785"/>
      <c r="I53" s="1785"/>
      <c r="J53" s="1785"/>
      <c r="K53" s="1785"/>
      <c r="L53" s="1785"/>
      <c r="M53" s="1785"/>
      <c r="N53" s="1785"/>
      <c r="O53" s="386"/>
      <c r="P53" s="398"/>
      <c r="Q53" s="399"/>
    </row>
    <row r="54" spans="1:44" ht="33" customHeight="1" x14ac:dyDescent="0.25">
      <c r="A54" s="383"/>
      <c r="B54" s="383"/>
      <c r="C54" s="384"/>
      <c r="D54" s="380"/>
      <c r="E54" s="380"/>
      <c r="F54" s="1773" t="str">
        <f>+F6</f>
        <v>AL 31/01/2025</v>
      </c>
      <c r="G54" s="1773"/>
      <c r="H54" s="1773"/>
      <c r="I54" s="1773"/>
      <c r="J54" s="1773"/>
      <c r="K54" s="383"/>
      <c r="L54" s="380"/>
      <c r="M54" s="380"/>
      <c r="N54" s="380"/>
      <c r="O54" s="349"/>
      <c r="P54" s="398"/>
      <c r="Q54" s="399"/>
    </row>
    <row r="55" spans="1:44" ht="20.100000000000001" customHeight="1" x14ac:dyDescent="0.25">
      <c r="A55" s="383"/>
      <c r="B55" s="383"/>
      <c r="C55" s="384"/>
      <c r="D55" s="380"/>
      <c r="E55" s="380"/>
      <c r="F55" s="349"/>
      <c r="G55" s="349"/>
      <c r="H55" s="385"/>
      <c r="I55" s="383"/>
      <c r="J55" s="383"/>
      <c r="K55" s="384"/>
      <c r="L55" s="380"/>
      <c r="M55" s="380"/>
      <c r="N55" s="380"/>
      <c r="O55" s="349"/>
      <c r="P55" s="398"/>
      <c r="Q55" s="399"/>
    </row>
    <row r="56" spans="1:44" ht="20.100000000000001" customHeight="1" x14ac:dyDescent="0.25">
      <c r="A56" s="383"/>
      <c r="B56" s="383"/>
      <c r="C56" s="384"/>
      <c r="D56" s="384"/>
      <c r="E56" s="881"/>
      <c r="F56" s="387"/>
      <c r="G56" s="388"/>
      <c r="H56" s="388"/>
      <c r="I56" s="387"/>
      <c r="J56" s="387"/>
      <c r="K56" s="774"/>
      <c r="L56" s="774"/>
      <c r="M56" s="774"/>
      <c r="N56" s="387"/>
      <c r="O56" s="388"/>
    </row>
    <row r="57" spans="1:44" s="353" customFormat="1" ht="31.5" customHeight="1" thickBot="1" x14ac:dyDescent="0.3">
      <c r="A57" s="1786" t="s">
        <v>25</v>
      </c>
      <c r="B57" s="1786"/>
      <c r="C57" s="1786"/>
      <c r="D57" s="1786"/>
      <c r="E57" s="1786"/>
      <c r="F57" s="1786"/>
      <c r="G57" s="521"/>
      <c r="H57" s="395"/>
      <c r="I57" s="1786" t="s">
        <v>26</v>
      </c>
      <c r="J57" s="1786"/>
      <c r="K57" s="1786"/>
      <c r="L57" s="1786"/>
      <c r="M57" s="1786"/>
      <c r="N57" s="1786"/>
      <c r="O57" s="400"/>
    </row>
    <row r="58" spans="1:44" ht="63" customHeight="1" thickBot="1" x14ac:dyDescent="0.3">
      <c r="A58" s="363" t="s">
        <v>18</v>
      </c>
      <c r="B58" s="364" t="s">
        <v>5</v>
      </c>
      <c r="C58" s="365" t="s">
        <v>19</v>
      </c>
      <c r="D58" s="359" t="s">
        <v>10</v>
      </c>
      <c r="E58" s="359" t="s">
        <v>11</v>
      </c>
      <c r="F58" s="360" t="s">
        <v>20</v>
      </c>
      <c r="G58" s="361"/>
      <c r="H58" s="362"/>
      <c r="I58" s="363" t="s">
        <v>18</v>
      </c>
      <c r="J58" s="364" t="s">
        <v>5</v>
      </c>
      <c r="K58" s="365" t="s">
        <v>19</v>
      </c>
      <c r="L58" s="359" t="s">
        <v>10</v>
      </c>
      <c r="M58" s="360" t="s">
        <v>11</v>
      </c>
      <c r="N58" s="374" t="s">
        <v>20</v>
      </c>
      <c r="O58" s="361"/>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row>
    <row r="59" spans="1:44" ht="39.950000000000003" customHeight="1" x14ac:dyDescent="0.25">
      <c r="A59" s="408" t="s">
        <v>21</v>
      </c>
      <c r="B59" s="1323">
        <f>+B10</f>
        <v>45657</v>
      </c>
      <c r="C59" s="1432">
        <v>0</v>
      </c>
      <c r="D59" s="1415"/>
      <c r="E59" s="1415"/>
      <c r="F59" s="1319">
        <f>+C59</f>
        <v>0</v>
      </c>
      <c r="G59" s="349"/>
      <c r="H59" s="389"/>
      <c r="I59" s="408" t="s">
        <v>21</v>
      </c>
      <c r="J59" s="1308">
        <f>+B10</f>
        <v>45657</v>
      </c>
      <c r="K59" s="1445">
        <v>1993279.07</v>
      </c>
      <c r="L59" s="1415"/>
      <c r="M59" s="1415"/>
      <c r="N59" s="1319">
        <f>K59</f>
        <v>1993279.07</v>
      </c>
      <c r="O59" s="349"/>
      <c r="P59" s="381"/>
    </row>
    <row r="60" spans="1:44" ht="39.950000000000003" customHeight="1" x14ac:dyDescent="0.25">
      <c r="A60" s="375" t="s">
        <v>22</v>
      </c>
      <c r="B60" s="1314"/>
      <c r="C60" s="1426"/>
      <c r="D60" s="1416"/>
      <c r="E60" s="1416"/>
      <c r="F60" s="1320">
        <f t="shared" ref="F60:F66" si="5">F59+D60-E60</f>
        <v>0</v>
      </c>
      <c r="G60" s="349"/>
      <c r="H60" s="385"/>
      <c r="I60" s="375" t="s">
        <v>22</v>
      </c>
      <c r="J60" s="1303">
        <f>+B11</f>
        <v>45688</v>
      </c>
      <c r="K60" s="1425" t="s">
        <v>516</v>
      </c>
      <c r="L60" s="1413">
        <f>+'ASIENTOS  '!E158</f>
        <v>131461.04999999999</v>
      </c>
      <c r="M60" s="1413"/>
      <c r="N60" s="1320">
        <f>+N59+L60-M60</f>
        <v>2124740.12</v>
      </c>
      <c r="O60" s="349"/>
    </row>
    <row r="61" spans="1:44" ht="39.950000000000003" customHeight="1" x14ac:dyDescent="0.25">
      <c r="A61" s="375" t="s">
        <v>22</v>
      </c>
      <c r="B61" s="1315"/>
      <c r="C61" s="1416"/>
      <c r="D61" s="1416"/>
      <c r="E61" s="1416"/>
      <c r="F61" s="1320">
        <f t="shared" si="5"/>
        <v>0</v>
      </c>
      <c r="G61" s="349"/>
      <c r="H61" s="385"/>
      <c r="I61" s="375" t="s">
        <v>22</v>
      </c>
      <c r="J61" s="1303"/>
      <c r="K61" s="1425"/>
      <c r="L61" s="1416"/>
      <c r="M61" s="1416"/>
      <c r="N61" s="1320">
        <f t="shared" ref="N61:N66" si="6">+N60+L61-M61</f>
        <v>2124740.12</v>
      </c>
      <c r="O61" s="349"/>
      <c r="P61" s="351"/>
      <c r="Q61" s="391"/>
    </row>
    <row r="62" spans="1:44" ht="39.950000000000003" customHeight="1" x14ac:dyDescent="0.25">
      <c r="A62" s="375" t="s">
        <v>22</v>
      </c>
      <c r="B62" s="1315"/>
      <c r="C62" s="1416"/>
      <c r="D62" s="1416"/>
      <c r="E62" s="1416"/>
      <c r="F62" s="1320">
        <f t="shared" si="5"/>
        <v>0</v>
      </c>
      <c r="G62" s="349"/>
      <c r="H62" s="385"/>
      <c r="I62" s="375" t="s">
        <v>22</v>
      </c>
      <c r="J62" s="1315"/>
      <c r="K62" s="1416"/>
      <c r="L62" s="1416"/>
      <c r="M62" s="1416"/>
      <c r="N62" s="1320">
        <f t="shared" si="6"/>
        <v>2124740.12</v>
      </c>
      <c r="O62" s="349"/>
    </row>
    <row r="63" spans="1:44" ht="39.950000000000003" customHeight="1" x14ac:dyDescent="0.25">
      <c r="A63" s="375" t="s">
        <v>22</v>
      </c>
      <c r="B63" s="1315"/>
      <c r="C63" s="1416"/>
      <c r="D63" s="1416"/>
      <c r="E63" s="1416"/>
      <c r="F63" s="1320">
        <f t="shared" si="5"/>
        <v>0</v>
      </c>
      <c r="G63" s="349"/>
      <c r="H63" s="385"/>
      <c r="I63" s="375" t="s">
        <v>22</v>
      </c>
      <c r="J63" s="1315"/>
      <c r="K63" s="1416"/>
      <c r="L63" s="1416"/>
      <c r="M63" s="1416"/>
      <c r="N63" s="1320">
        <f t="shared" si="6"/>
        <v>2124740.12</v>
      </c>
      <c r="O63" s="349"/>
      <c r="P63" s="351"/>
    </row>
    <row r="64" spans="1:44" ht="39.950000000000003" customHeight="1" x14ac:dyDescent="0.25">
      <c r="A64" s="375" t="s">
        <v>22</v>
      </c>
      <c r="B64" s="1315"/>
      <c r="C64" s="1416"/>
      <c r="D64" s="1416"/>
      <c r="E64" s="1416"/>
      <c r="F64" s="1320">
        <f t="shared" si="5"/>
        <v>0</v>
      </c>
      <c r="G64" s="349"/>
      <c r="H64" s="385"/>
      <c r="I64" s="375" t="s">
        <v>22</v>
      </c>
      <c r="J64" s="1315"/>
      <c r="K64" s="1416"/>
      <c r="L64" s="1416"/>
      <c r="M64" s="1416"/>
      <c r="N64" s="1320">
        <f t="shared" si="6"/>
        <v>2124740.12</v>
      </c>
      <c r="O64" s="349"/>
      <c r="P64" s="351"/>
    </row>
    <row r="65" spans="1:44" ht="39.950000000000003" customHeight="1" x14ac:dyDescent="0.25">
      <c r="A65" s="375" t="s">
        <v>22</v>
      </c>
      <c r="B65" s="1315"/>
      <c r="C65" s="1416"/>
      <c r="D65" s="1416"/>
      <c r="E65" s="1416"/>
      <c r="F65" s="1320">
        <f t="shared" si="5"/>
        <v>0</v>
      </c>
      <c r="G65" s="349"/>
      <c r="H65" s="385"/>
      <c r="I65" s="375" t="s">
        <v>22</v>
      </c>
      <c r="J65" s="1315"/>
      <c r="K65" s="1416"/>
      <c r="L65" s="1416"/>
      <c r="M65" s="1416"/>
      <c r="N65" s="1320">
        <f t="shared" si="6"/>
        <v>2124740.12</v>
      </c>
      <c r="O65" s="349"/>
      <c r="P65" s="351"/>
    </row>
    <row r="66" spans="1:44" ht="39.950000000000003" customHeight="1" thickBot="1" x14ac:dyDescent="0.3">
      <c r="A66" s="377" t="s">
        <v>22</v>
      </c>
      <c r="B66" s="1316"/>
      <c r="C66" s="1419"/>
      <c r="D66" s="1419"/>
      <c r="E66" s="1419"/>
      <c r="F66" s="1321">
        <f t="shared" si="5"/>
        <v>0</v>
      </c>
      <c r="G66" s="349"/>
      <c r="H66" s="385"/>
      <c r="I66" s="377" t="s">
        <v>22</v>
      </c>
      <c r="J66" s="1316"/>
      <c r="K66" s="1419"/>
      <c r="L66" s="1419"/>
      <c r="M66" s="1419"/>
      <c r="N66" s="1321">
        <f t="shared" si="6"/>
        <v>2124740.12</v>
      </c>
      <c r="O66" s="349"/>
      <c r="P66" s="351"/>
      <c r="Q66" s="718"/>
      <c r="R66" s="351"/>
    </row>
    <row r="67" spans="1:44" ht="47.25" customHeight="1" thickBot="1" x14ac:dyDescent="0.3">
      <c r="A67" s="396"/>
      <c r="B67" s="396"/>
      <c r="C67" s="386"/>
      <c r="D67" s="1317">
        <f>SUM(D59:D62)</f>
        <v>0</v>
      </c>
      <c r="E67" s="1324">
        <f>SUM(E59:E62)</f>
        <v>0</v>
      </c>
      <c r="F67" s="1318">
        <f>F59+D67-E67</f>
        <v>0</v>
      </c>
      <c r="G67" s="381"/>
      <c r="H67" s="395"/>
      <c r="I67" s="393"/>
      <c r="J67" s="393"/>
      <c r="K67" s="927"/>
      <c r="L67" s="1317">
        <f>SUM(L59:L62)</f>
        <v>131461.04999999999</v>
      </c>
      <c r="M67" s="1324">
        <f>SUM(M59:M62)</f>
        <v>0</v>
      </c>
      <c r="N67" s="1318">
        <f>+N66</f>
        <v>2124740.12</v>
      </c>
      <c r="O67" s="381"/>
      <c r="P67" s="842">
        <f>+'214 BM ENERO'!C51</f>
        <v>2124740.12</v>
      </c>
      <c r="Q67" s="398">
        <f>+N67-P67</f>
        <v>0</v>
      </c>
      <c r="R67" s="516"/>
      <c r="S67" s="516"/>
      <c r="T67" s="399"/>
      <c r="U67" s="399"/>
      <c r="V67" s="399"/>
      <c r="W67" s="399"/>
      <c r="X67" s="399"/>
      <c r="Y67" s="399"/>
      <c r="Z67" s="399"/>
      <c r="AA67" s="399"/>
      <c r="AB67" s="399"/>
      <c r="AC67" s="399"/>
      <c r="AD67" s="399"/>
      <c r="AE67" s="399"/>
      <c r="AF67" s="399"/>
      <c r="AG67" s="399"/>
      <c r="AH67" s="399"/>
      <c r="AI67" s="399"/>
      <c r="AJ67" s="399"/>
      <c r="AK67" s="399"/>
      <c r="AL67" s="399"/>
      <c r="AM67" s="399"/>
      <c r="AN67" s="399"/>
      <c r="AO67" s="399"/>
      <c r="AP67" s="399"/>
      <c r="AQ67" s="399"/>
      <c r="AR67" s="399"/>
    </row>
    <row r="68" spans="1:44" ht="39.950000000000003" customHeight="1" x14ac:dyDescent="0.25">
      <c r="A68" s="379"/>
      <c r="B68" s="379"/>
      <c r="C68" s="380"/>
      <c r="D68" s="380"/>
      <c r="E68" s="380"/>
      <c r="F68" s="380"/>
      <c r="G68" s="349"/>
      <c r="H68" s="385"/>
      <c r="I68" s="383"/>
      <c r="J68" s="383"/>
      <c r="K68" s="383"/>
      <c r="L68" s="637"/>
      <c r="M68" s="380"/>
      <c r="N68" s="380"/>
      <c r="O68" s="633"/>
      <c r="P68" s="391"/>
      <c r="Q68" s="391"/>
      <c r="R68" s="391"/>
      <c r="S68" s="391"/>
      <c r="T68" s="391"/>
    </row>
    <row r="69" spans="1:44" ht="20.100000000000001" customHeight="1" x14ac:dyDescent="0.25">
      <c r="A69" s="379"/>
      <c r="B69" s="379"/>
      <c r="C69" s="380"/>
      <c r="D69" s="380"/>
      <c r="E69" s="380"/>
      <c r="F69" s="380"/>
      <c r="G69" s="349"/>
      <c r="H69" s="385"/>
      <c r="I69" s="383"/>
      <c r="J69" s="383"/>
      <c r="K69" s="383"/>
      <c r="L69" s="380"/>
      <c r="M69" s="380"/>
      <c r="N69" s="380"/>
      <c r="O69" s="349"/>
      <c r="P69" s="391"/>
      <c r="Q69" s="391"/>
      <c r="R69" s="391"/>
      <c r="S69" s="391"/>
      <c r="T69" s="391"/>
    </row>
    <row r="70" spans="1:44" ht="20.100000000000001" customHeight="1" x14ac:dyDescent="0.25">
      <c r="A70" s="379"/>
      <c r="B70" s="379"/>
      <c r="C70" s="380"/>
      <c r="D70" s="380"/>
      <c r="E70" s="380"/>
      <c r="F70" s="380"/>
      <c r="G70" s="349"/>
      <c r="H70" s="385"/>
      <c r="I70" s="383"/>
      <c r="J70" s="383"/>
      <c r="K70" s="383"/>
      <c r="L70" s="380"/>
      <c r="M70" s="380"/>
      <c r="N70" s="380"/>
      <c r="O70" s="634"/>
      <c r="P70" s="391"/>
      <c r="Q70" s="391"/>
      <c r="R70" s="391"/>
      <c r="S70" s="391"/>
      <c r="T70" s="391"/>
    </row>
    <row r="71" spans="1:44" ht="20.100000000000001" customHeight="1" x14ac:dyDescent="0.25">
      <c r="A71" s="379"/>
      <c r="B71" s="379"/>
      <c r="C71" s="380"/>
      <c r="D71" s="380"/>
      <c r="E71" s="380"/>
      <c r="F71" s="380"/>
      <c r="G71" s="349"/>
      <c r="H71" s="385"/>
      <c r="I71" s="383"/>
      <c r="J71" s="383"/>
      <c r="K71" s="383"/>
      <c r="L71" s="380"/>
      <c r="M71" s="380"/>
      <c r="N71" s="380"/>
      <c r="O71" s="349"/>
      <c r="P71" s="391"/>
      <c r="Q71" s="391"/>
      <c r="R71" s="391"/>
      <c r="S71" s="391"/>
      <c r="T71" s="391"/>
    </row>
    <row r="72" spans="1:44" ht="20.100000000000001" customHeight="1" x14ac:dyDescent="0.25">
      <c r="A72" s="379"/>
      <c r="B72" s="379"/>
      <c r="C72" s="380"/>
      <c r="D72" s="380"/>
      <c r="E72" s="380"/>
      <c r="F72" s="380"/>
      <c r="G72" s="349"/>
      <c r="H72" s="385"/>
      <c r="I72" s="383"/>
      <c r="J72" s="384"/>
      <c r="K72" s="384"/>
      <c r="N72" s="384"/>
      <c r="O72" s="352"/>
      <c r="Q72" s="391"/>
      <c r="R72" s="398"/>
      <c r="S72" s="398"/>
      <c r="T72" s="391"/>
    </row>
    <row r="73" spans="1:44" s="353" customFormat="1" ht="33.75" customHeight="1" thickBot="1" x14ac:dyDescent="0.3">
      <c r="A73" s="1786" t="s">
        <v>185</v>
      </c>
      <c r="B73" s="1786"/>
      <c r="C73" s="1786"/>
      <c r="D73" s="1786"/>
      <c r="E73" s="1786"/>
      <c r="F73" s="1786"/>
      <c r="G73" s="521"/>
      <c r="H73" s="395"/>
      <c r="I73" s="1786" t="s">
        <v>27</v>
      </c>
      <c r="J73" s="1786"/>
      <c r="K73" s="1786"/>
      <c r="L73" s="1786"/>
      <c r="M73" s="1786"/>
      <c r="N73" s="1786"/>
      <c r="O73" s="400"/>
      <c r="P73" s="392"/>
      <c r="Q73" s="398"/>
    </row>
    <row r="74" spans="1:44" ht="56.25" customHeight="1" thickBot="1" x14ac:dyDescent="0.3">
      <c r="A74" s="712" t="s">
        <v>18</v>
      </c>
      <c r="B74" s="713" t="s">
        <v>5</v>
      </c>
      <c r="C74" s="714" t="s">
        <v>19</v>
      </c>
      <c r="D74" s="715" t="s">
        <v>10</v>
      </c>
      <c r="E74" s="715" t="s">
        <v>11</v>
      </c>
      <c r="F74" s="716" t="s">
        <v>20</v>
      </c>
      <c r="G74" s="361"/>
      <c r="H74" s="362"/>
      <c r="I74" s="363" t="s">
        <v>18</v>
      </c>
      <c r="J74" s="364" t="s">
        <v>5</v>
      </c>
      <c r="K74" s="365" t="s">
        <v>19</v>
      </c>
      <c r="L74" s="359" t="s">
        <v>10</v>
      </c>
      <c r="M74" s="359" t="s">
        <v>11</v>
      </c>
      <c r="N74" s="360" t="s">
        <v>20</v>
      </c>
      <c r="O74" s="361"/>
      <c r="P74" s="366"/>
      <c r="Q74" s="366"/>
      <c r="R74" s="516"/>
      <c r="S74" s="516"/>
      <c r="T74" s="516"/>
      <c r="U74" s="516"/>
      <c r="V74" s="516"/>
      <c r="W74" s="516"/>
      <c r="X74" s="516"/>
      <c r="Y74" s="516"/>
      <c r="Z74" s="516"/>
      <c r="AA74" s="516"/>
      <c r="AB74" s="516"/>
      <c r="AC74" s="516"/>
      <c r="AD74" s="516"/>
      <c r="AE74" s="516"/>
      <c r="AF74" s="516"/>
      <c r="AG74" s="516"/>
      <c r="AH74" s="516"/>
      <c r="AI74" s="516"/>
      <c r="AJ74" s="516"/>
      <c r="AK74" s="516"/>
      <c r="AL74" s="516"/>
      <c r="AM74" s="516"/>
      <c r="AN74" s="516"/>
      <c r="AO74" s="516"/>
      <c r="AP74" s="516"/>
      <c r="AQ74" s="516"/>
      <c r="AR74" s="516"/>
    </row>
    <row r="75" spans="1:44" ht="39.950000000000003" customHeight="1" x14ac:dyDescent="0.25">
      <c r="A75" s="711" t="s">
        <v>21</v>
      </c>
      <c r="B75" s="1325">
        <f>+B10</f>
        <v>45657</v>
      </c>
      <c r="C75" s="1444">
        <v>671048.29999999981</v>
      </c>
      <c r="D75" s="1418"/>
      <c r="E75" s="1418"/>
      <c r="F75" s="1326">
        <f>C75</f>
        <v>671048.29999999981</v>
      </c>
      <c r="G75" s="349"/>
      <c r="H75" s="389"/>
      <c r="I75" s="408" t="s">
        <v>21</v>
      </c>
      <c r="J75" s="1308">
        <f>+B10</f>
        <v>45657</v>
      </c>
      <c r="K75" s="1427">
        <v>0</v>
      </c>
      <c r="L75" s="1424"/>
      <c r="M75" s="1424"/>
      <c r="N75" s="1306">
        <f>+K75</f>
        <v>0</v>
      </c>
      <c r="O75" s="369"/>
      <c r="P75" s="384"/>
      <c r="Q75" s="384"/>
    </row>
    <row r="76" spans="1:44" ht="39.950000000000003" customHeight="1" x14ac:dyDescent="0.25">
      <c r="A76" s="375" t="s">
        <v>22</v>
      </c>
      <c r="B76" s="1303">
        <f>+B11</f>
        <v>45688</v>
      </c>
      <c r="C76" s="1426" t="s">
        <v>514</v>
      </c>
      <c r="D76" s="1429">
        <f>+'ASIENTOS  '!E144</f>
        <v>6094.99</v>
      </c>
      <c r="E76" s="1416"/>
      <c r="F76" s="1320">
        <f t="shared" ref="F76:F82" si="7">F75+D76-E76</f>
        <v>677143.2899999998</v>
      </c>
      <c r="G76" s="349"/>
      <c r="H76" s="390"/>
      <c r="I76" s="375" t="s">
        <v>22</v>
      </c>
      <c r="J76" s="1327">
        <f>+B11</f>
        <v>45688</v>
      </c>
      <c r="K76" s="1440" t="s">
        <v>510</v>
      </c>
      <c r="L76" s="1441">
        <f>+'ASIENTOS  '!E75</f>
        <v>3692138.01</v>
      </c>
      <c r="M76" s="1409"/>
      <c r="N76" s="1302">
        <f>+N75+L76-M76</f>
        <v>3692138.01</v>
      </c>
      <c r="O76" s="369"/>
      <c r="P76" s="398"/>
    </row>
    <row r="77" spans="1:44" ht="39.950000000000003" customHeight="1" x14ac:dyDescent="0.25">
      <c r="A77" s="375" t="s">
        <v>22</v>
      </c>
      <c r="B77" s="1303">
        <f>+B12</f>
        <v>45688</v>
      </c>
      <c r="C77" s="1426" t="s">
        <v>515</v>
      </c>
      <c r="D77" s="1416"/>
      <c r="E77" s="1416">
        <f>+'ASIENTOS  '!F150</f>
        <v>123820.13</v>
      </c>
      <c r="F77" s="1320">
        <f t="shared" si="7"/>
        <v>553323.1599999998</v>
      </c>
      <c r="G77" s="349"/>
      <c r="H77" s="390"/>
      <c r="I77" s="375" t="s">
        <v>22</v>
      </c>
      <c r="J77" s="1309"/>
      <c r="K77" s="1428"/>
      <c r="L77" s="1416"/>
      <c r="M77" s="1409"/>
      <c r="N77" s="1302">
        <f t="shared" ref="N77:N82" si="8">+N76+L77-M77</f>
        <v>3692138.01</v>
      </c>
      <c r="O77" s="369"/>
      <c r="P77" s="568"/>
      <c r="Q77" s="351"/>
    </row>
    <row r="78" spans="1:44" ht="39.950000000000003" customHeight="1" x14ac:dyDescent="0.25">
      <c r="A78" s="375" t="s">
        <v>22</v>
      </c>
      <c r="B78" s="1303"/>
      <c r="C78" s="1426"/>
      <c r="D78" s="1416"/>
      <c r="E78" s="1416"/>
      <c r="F78" s="1320">
        <f t="shared" si="7"/>
        <v>553323.1599999998</v>
      </c>
      <c r="G78" s="349"/>
      <c r="H78" s="385"/>
      <c r="I78" s="375" t="s">
        <v>22</v>
      </c>
      <c r="J78" s="1309"/>
      <c r="K78" s="1429"/>
      <c r="L78" s="1429"/>
      <c r="M78" s="1429"/>
      <c r="N78" s="1302">
        <f t="shared" si="8"/>
        <v>3692138.01</v>
      </c>
      <c r="O78" s="369"/>
      <c r="Q78" s="351"/>
    </row>
    <row r="79" spans="1:44" ht="39.950000000000003" customHeight="1" x14ac:dyDescent="0.25">
      <c r="A79" s="375" t="s">
        <v>22</v>
      </c>
      <c r="B79" s="1315"/>
      <c r="C79" s="1416"/>
      <c r="D79" s="1416"/>
      <c r="E79" s="1416"/>
      <c r="F79" s="1320">
        <f t="shared" si="7"/>
        <v>553323.1599999998</v>
      </c>
      <c r="G79" s="349"/>
      <c r="H79" s="385"/>
      <c r="I79" s="375" t="s">
        <v>22</v>
      </c>
      <c r="J79" s="1309"/>
      <c r="K79" s="1429"/>
      <c r="L79" s="1429"/>
      <c r="M79" s="1429"/>
      <c r="N79" s="1302">
        <f t="shared" si="8"/>
        <v>3692138.01</v>
      </c>
      <c r="O79" s="369"/>
      <c r="Q79" s="351"/>
    </row>
    <row r="80" spans="1:44" ht="39.950000000000003" customHeight="1" x14ac:dyDescent="0.25">
      <c r="A80" s="375" t="s">
        <v>22</v>
      </c>
      <c r="B80" s="1315"/>
      <c r="C80" s="1416"/>
      <c r="D80" s="1416"/>
      <c r="E80" s="1416"/>
      <c r="F80" s="1320">
        <f t="shared" si="7"/>
        <v>553323.1599999998</v>
      </c>
      <c r="G80" s="349"/>
      <c r="H80" s="385"/>
      <c r="I80" s="375" t="s">
        <v>22</v>
      </c>
      <c r="J80" s="1309"/>
      <c r="K80" s="1429"/>
      <c r="L80" s="1429"/>
      <c r="M80" s="1429"/>
      <c r="N80" s="1302">
        <f t="shared" si="8"/>
        <v>3692138.01</v>
      </c>
      <c r="O80" s="369"/>
      <c r="Q80" s="351"/>
    </row>
    <row r="81" spans="1:18" ht="39.950000000000003" customHeight="1" x14ac:dyDescent="0.25">
      <c r="A81" s="375" t="s">
        <v>22</v>
      </c>
      <c r="B81" s="1315"/>
      <c r="C81" s="1416"/>
      <c r="D81" s="1416"/>
      <c r="E81" s="1416"/>
      <c r="F81" s="1320">
        <f t="shared" si="7"/>
        <v>553323.1599999998</v>
      </c>
      <c r="G81" s="349"/>
      <c r="H81" s="385"/>
      <c r="I81" s="375" t="s">
        <v>22</v>
      </c>
      <c r="J81" s="1309"/>
      <c r="K81" s="1429"/>
      <c r="L81" s="1429"/>
      <c r="M81" s="1429"/>
      <c r="N81" s="1302">
        <f t="shared" si="8"/>
        <v>3692138.01</v>
      </c>
      <c r="O81" s="369"/>
      <c r="Q81" s="351"/>
    </row>
    <row r="82" spans="1:18" ht="39.950000000000003" customHeight="1" thickBot="1" x14ac:dyDescent="0.3">
      <c r="A82" s="377" t="s">
        <v>22</v>
      </c>
      <c r="B82" s="1316"/>
      <c r="C82" s="1419"/>
      <c r="D82" s="1419"/>
      <c r="E82" s="1419"/>
      <c r="F82" s="1321">
        <f t="shared" si="7"/>
        <v>553323.1599999998</v>
      </c>
      <c r="G82" s="349"/>
      <c r="H82" s="385"/>
      <c r="I82" s="377" t="s">
        <v>22</v>
      </c>
      <c r="J82" s="1328"/>
      <c r="K82" s="1431"/>
      <c r="L82" s="1431"/>
      <c r="M82" s="1431"/>
      <c r="N82" s="1307">
        <f t="shared" si="8"/>
        <v>3692138.01</v>
      </c>
      <c r="O82" s="369"/>
      <c r="P82" s="351"/>
      <c r="Q82" s="351"/>
    </row>
    <row r="83" spans="1:18" ht="49.5" customHeight="1" thickBot="1" x14ac:dyDescent="0.3">
      <c r="A83" s="379"/>
      <c r="B83" s="379"/>
      <c r="C83" s="924"/>
      <c r="D83" s="1317">
        <f>SUM(D75:D78)</f>
        <v>6094.99</v>
      </c>
      <c r="E83" s="1324">
        <f>SUM(E75:E78)</f>
        <v>123820.13</v>
      </c>
      <c r="F83" s="1318">
        <f>F75+D83-E83</f>
        <v>553323.1599999998</v>
      </c>
      <c r="G83" s="381"/>
      <c r="H83" s="385"/>
      <c r="I83" s="372"/>
      <c r="J83" s="372"/>
      <c r="K83" s="925"/>
      <c r="L83" s="1298">
        <f>SUM(L75:L78)</f>
        <v>3692138.01</v>
      </c>
      <c r="M83" s="1298">
        <f>SUM(M75:M78)</f>
        <v>0</v>
      </c>
      <c r="N83" s="1329">
        <f>+K75+L83-M83</f>
        <v>3692138.01</v>
      </c>
      <c r="O83" s="373">
        <f>+ENERO!M15</f>
        <v>3692138.01</v>
      </c>
      <c r="P83" s="841">
        <f>+ENERO!M15</f>
        <v>3692138.01</v>
      </c>
      <c r="Q83" s="398">
        <f>+N83-P83</f>
        <v>0</v>
      </c>
      <c r="R83" s="351"/>
    </row>
    <row r="84" spans="1:18" s="353" customFormat="1" ht="39.950000000000003" customHeight="1" x14ac:dyDescent="0.25">
      <c r="A84" s="404"/>
      <c r="B84" s="404"/>
      <c r="C84" s="349"/>
      <c r="D84" s="848"/>
      <c r="E84" s="848"/>
      <c r="F84" s="848"/>
      <c r="G84" s="381"/>
      <c r="H84" s="385"/>
      <c r="I84" s="845"/>
      <c r="J84" s="845"/>
      <c r="K84" s="845"/>
      <c r="L84" s="847"/>
      <c r="M84" s="847"/>
      <c r="N84" s="847"/>
      <c r="O84" s="373"/>
      <c r="P84" s="398"/>
      <c r="Q84" s="391"/>
    </row>
    <row r="85" spans="1:18" s="353" customFormat="1" ht="39.950000000000003" customHeight="1" x14ac:dyDescent="0.25">
      <c r="A85" s="404"/>
      <c r="B85" s="404"/>
      <c r="C85" s="349"/>
      <c r="D85" s="848"/>
      <c r="E85" s="848"/>
      <c r="F85" s="848"/>
      <c r="G85" s="381"/>
      <c r="H85" s="385"/>
      <c r="I85" s="845"/>
      <c r="J85" s="845"/>
      <c r="K85" s="845"/>
      <c r="L85" s="847"/>
      <c r="M85" s="847"/>
      <c r="N85" s="847"/>
      <c r="O85" s="373"/>
      <c r="P85" s="398"/>
      <c r="Q85" s="391"/>
    </row>
    <row r="86" spans="1:18" ht="39.950000000000003" customHeight="1" x14ac:dyDescent="0.25">
      <c r="A86" s="379"/>
      <c r="B86" s="379"/>
      <c r="C86" s="380"/>
      <c r="D86" s="380"/>
      <c r="E86" s="380"/>
      <c r="F86" s="380"/>
      <c r="G86" s="349"/>
      <c r="H86" s="385"/>
      <c r="I86" s="383"/>
      <c r="J86" s="383"/>
      <c r="K86" s="383"/>
      <c r="L86" s="380"/>
      <c r="M86" s="380"/>
      <c r="N86" s="380"/>
      <c r="O86" s="349"/>
      <c r="P86" s="392"/>
      <c r="Q86" s="351"/>
    </row>
    <row r="87" spans="1:18" ht="31.5" customHeight="1" x14ac:dyDescent="0.25">
      <c r="A87" s="1780" t="s">
        <v>157</v>
      </c>
      <c r="B87" s="1780"/>
      <c r="C87" s="1780"/>
      <c r="D87" s="1780"/>
      <c r="E87" s="1780"/>
      <c r="F87" s="1780"/>
      <c r="G87" s="1780"/>
      <c r="H87" s="1780"/>
      <c r="I87" s="1780"/>
      <c r="J87" s="1780"/>
      <c r="K87" s="1780"/>
      <c r="L87" s="1780"/>
      <c r="M87" s="1780"/>
      <c r="N87" s="1780"/>
      <c r="O87" s="1780"/>
      <c r="P87" s="351"/>
    </row>
    <row r="88" spans="1:18" ht="27" customHeight="1" x14ac:dyDescent="0.25">
      <c r="A88" s="1780" t="s">
        <v>158</v>
      </c>
      <c r="B88" s="1780"/>
      <c r="C88" s="1780"/>
      <c r="D88" s="1780"/>
      <c r="E88" s="1780"/>
      <c r="F88" s="1780"/>
      <c r="G88" s="1780"/>
      <c r="H88" s="1780"/>
      <c r="I88" s="1780"/>
      <c r="J88" s="1780"/>
      <c r="K88" s="1780"/>
      <c r="L88" s="1780"/>
      <c r="M88" s="1780"/>
      <c r="N88" s="1780"/>
      <c r="O88" s="1780"/>
    </row>
    <row r="89" spans="1:18" ht="22.5" customHeight="1" x14ac:dyDescent="0.25">
      <c r="A89" s="1780" t="s">
        <v>161</v>
      </c>
      <c r="B89" s="1780"/>
      <c r="C89" s="1780"/>
      <c r="D89" s="1780"/>
      <c r="E89" s="1780"/>
      <c r="F89" s="1780"/>
      <c r="G89" s="1780"/>
      <c r="H89" s="1780"/>
      <c r="I89" s="1780"/>
      <c r="J89" s="1780"/>
      <c r="K89" s="1780"/>
      <c r="L89" s="1780"/>
      <c r="M89" s="1780"/>
      <c r="N89" s="1780"/>
      <c r="O89" s="1780"/>
    </row>
    <row r="90" spans="1:18" ht="19.5" customHeight="1" x14ac:dyDescent="0.25">
      <c r="A90" s="383"/>
      <c r="B90" s="513"/>
      <c r="C90" s="513"/>
      <c r="D90" s="513"/>
      <c r="E90" s="1784"/>
      <c r="F90" s="1784"/>
      <c r="G90" s="1784"/>
      <c r="H90" s="1784"/>
      <c r="I90" s="1784"/>
      <c r="J90" s="1784"/>
      <c r="K90" s="1784"/>
      <c r="L90" s="1784"/>
      <c r="M90" s="1784"/>
      <c r="N90" s="384"/>
      <c r="O90" s="384"/>
    </row>
    <row r="91" spans="1:18" ht="17.25" customHeight="1" x14ac:dyDescent="0.25">
      <c r="A91" s="383"/>
      <c r="B91" s="383"/>
      <c r="C91" s="383"/>
      <c r="D91" s="384"/>
      <c r="E91" s="384"/>
      <c r="F91" s="384"/>
      <c r="G91" s="352"/>
      <c r="H91" s="383"/>
      <c r="I91" s="385"/>
      <c r="J91" s="383"/>
      <c r="K91" s="383"/>
      <c r="L91" s="379"/>
      <c r="M91" s="379"/>
      <c r="N91" s="379"/>
      <c r="O91" s="379"/>
    </row>
    <row r="92" spans="1:18" ht="36" customHeight="1" x14ac:dyDescent="0.25">
      <c r="A92" s="1785" t="s">
        <v>162</v>
      </c>
      <c r="B92" s="1785"/>
      <c r="C92" s="1785"/>
      <c r="D92" s="1785"/>
      <c r="E92" s="1785"/>
      <c r="F92" s="1785"/>
      <c r="G92" s="1785"/>
      <c r="H92" s="1785"/>
      <c r="I92" s="1785"/>
      <c r="J92" s="1785"/>
      <c r="K92" s="1785"/>
      <c r="L92" s="1785"/>
      <c r="M92" s="1785"/>
      <c r="N92" s="1785"/>
      <c r="O92" s="386"/>
    </row>
    <row r="93" spans="1:18" ht="33" customHeight="1" x14ac:dyDescent="0.25">
      <c r="A93" s="514"/>
      <c r="B93" s="514"/>
      <c r="C93" s="514"/>
      <c r="D93" s="514"/>
      <c r="E93" s="514"/>
      <c r="F93" s="1772" t="str">
        <f>+F54</f>
        <v>AL 31/01/2025</v>
      </c>
      <c r="G93" s="1772"/>
      <c r="H93" s="1772"/>
      <c r="I93" s="1772"/>
      <c r="J93" s="1772"/>
      <c r="K93" s="514"/>
      <c r="L93" s="514"/>
      <c r="M93" s="514"/>
      <c r="N93" s="514"/>
      <c r="O93" s="361"/>
    </row>
    <row r="94" spans="1:18" ht="19.5" customHeight="1" x14ac:dyDescent="0.25">
      <c r="A94" s="877"/>
      <c r="B94" s="877"/>
      <c r="C94" s="877"/>
      <c r="D94" s="877"/>
      <c r="E94" s="877"/>
      <c r="F94" s="882"/>
      <c r="G94" s="882"/>
      <c r="H94" s="882"/>
      <c r="I94" s="882"/>
      <c r="J94" s="882"/>
      <c r="K94" s="877"/>
      <c r="L94" s="877"/>
      <c r="M94" s="877"/>
      <c r="N94" s="877"/>
      <c r="O94" s="361"/>
    </row>
    <row r="95" spans="1:18" ht="19.5" customHeight="1" x14ac:dyDescent="0.25">
      <c r="A95" s="383"/>
      <c r="B95" s="383"/>
      <c r="C95" s="384"/>
      <c r="D95" s="384"/>
      <c r="E95" s="387"/>
      <c r="F95" s="387"/>
      <c r="G95" s="388"/>
      <c r="H95" s="388"/>
      <c r="I95" s="387"/>
      <c r="J95" s="387"/>
      <c r="K95" s="774"/>
      <c r="L95" s="774"/>
      <c r="M95" s="774"/>
      <c r="N95" s="387"/>
      <c r="O95" s="388"/>
    </row>
    <row r="96" spans="1:18" s="353" customFormat="1" ht="26.25" customHeight="1" thickBot="1" x14ac:dyDescent="0.3">
      <c r="A96" s="1786" t="s">
        <v>28</v>
      </c>
      <c r="B96" s="1786"/>
      <c r="C96" s="1786"/>
      <c r="D96" s="1786"/>
      <c r="E96" s="1786"/>
      <c r="F96" s="1786"/>
      <c r="G96" s="521"/>
      <c r="H96" s="395"/>
      <c r="I96" s="1786" t="s">
        <v>29</v>
      </c>
      <c r="J96" s="1786"/>
      <c r="K96" s="1786"/>
      <c r="L96" s="1786"/>
      <c r="M96" s="1786"/>
      <c r="N96" s="1786"/>
      <c r="O96" s="400"/>
    </row>
    <row r="97" spans="1:44" ht="57.75" customHeight="1" thickBot="1" x14ac:dyDescent="0.3">
      <c r="A97" s="356" t="s">
        <v>18</v>
      </c>
      <c r="B97" s="357" t="s">
        <v>5</v>
      </c>
      <c r="C97" s="358" t="s">
        <v>19</v>
      </c>
      <c r="D97" s="359" t="s">
        <v>10</v>
      </c>
      <c r="E97" s="359" t="s">
        <v>11</v>
      </c>
      <c r="F97" s="360" t="s">
        <v>20</v>
      </c>
      <c r="G97" s="361"/>
      <c r="H97" s="362"/>
      <c r="I97" s="712" t="s">
        <v>18</v>
      </c>
      <c r="J97" s="713" t="s">
        <v>5</v>
      </c>
      <c r="K97" s="714" t="s">
        <v>19</v>
      </c>
      <c r="L97" s="715" t="s">
        <v>10</v>
      </c>
      <c r="M97" s="715" t="s">
        <v>11</v>
      </c>
      <c r="N97" s="716" t="s">
        <v>20</v>
      </c>
      <c r="O97" s="361"/>
      <c r="P97" s="516"/>
      <c r="Q97" s="516"/>
      <c r="R97" s="516"/>
      <c r="S97" s="516"/>
      <c r="T97" s="516"/>
      <c r="U97" s="516"/>
      <c r="V97" s="516"/>
      <c r="W97" s="516"/>
      <c r="X97" s="516"/>
      <c r="Y97" s="516"/>
      <c r="Z97" s="516"/>
      <c r="AA97" s="516"/>
      <c r="AB97" s="516"/>
      <c r="AC97" s="516"/>
      <c r="AD97" s="516"/>
      <c r="AE97" s="516"/>
      <c r="AF97" s="516"/>
      <c r="AG97" s="516"/>
      <c r="AH97" s="516"/>
      <c r="AI97" s="516"/>
      <c r="AJ97" s="516"/>
      <c r="AK97" s="516"/>
      <c r="AL97" s="516"/>
      <c r="AM97" s="516"/>
      <c r="AN97" s="516"/>
      <c r="AO97" s="516"/>
      <c r="AP97" s="516"/>
      <c r="AQ97" s="516"/>
      <c r="AR97" s="516"/>
    </row>
    <row r="98" spans="1:44" ht="39.950000000000003" customHeight="1" x14ac:dyDescent="0.25">
      <c r="A98" s="409" t="s">
        <v>21</v>
      </c>
      <c r="B98" s="1330">
        <f>+B10</f>
        <v>45657</v>
      </c>
      <c r="C98" s="1437">
        <v>551.57999999867752</v>
      </c>
      <c r="D98" s="1415"/>
      <c r="E98" s="1415"/>
      <c r="F98" s="1319">
        <f>C98</f>
        <v>551.57999999867752</v>
      </c>
      <c r="G98" s="349"/>
      <c r="H98" s="389"/>
      <c r="I98" s="740" t="s">
        <v>21</v>
      </c>
      <c r="J98" s="1332">
        <f>+B10</f>
        <v>45657</v>
      </c>
      <c r="K98" s="1438">
        <v>0</v>
      </c>
      <c r="L98" s="1439"/>
      <c r="M98" s="1420"/>
      <c r="N98" s="1338">
        <f>+K98</f>
        <v>0</v>
      </c>
      <c r="O98" s="349"/>
    </row>
    <row r="99" spans="1:44" ht="39.950000000000003" customHeight="1" x14ac:dyDescent="0.25">
      <c r="A99" s="375" t="s">
        <v>22</v>
      </c>
      <c r="B99" s="1303">
        <f>+B11</f>
        <v>45688</v>
      </c>
      <c r="C99" s="1426" t="s">
        <v>511</v>
      </c>
      <c r="D99" s="1416"/>
      <c r="E99" s="1409">
        <f>+'ASIENTOS  '!F101</f>
        <v>2520260.79</v>
      </c>
      <c r="F99" s="1320">
        <f t="shared" ref="F99:F104" si="9">+F98+E99-D99</f>
        <v>2520812.3699999987</v>
      </c>
      <c r="G99" s="349"/>
      <c r="H99" s="389"/>
      <c r="I99" s="402" t="s">
        <v>22</v>
      </c>
      <c r="J99" s="1303">
        <f>+B11</f>
        <v>45688</v>
      </c>
      <c r="K99" s="1440" t="s">
        <v>510</v>
      </c>
      <c r="L99" s="1416"/>
      <c r="M99" s="1441">
        <f>+'ASIENTOS  '!F83</f>
        <v>3692138.01</v>
      </c>
      <c r="N99" s="1339">
        <f>+N98-L99+M99</f>
        <v>3692138.01</v>
      </c>
      <c r="O99" s="349"/>
    </row>
    <row r="100" spans="1:44" ht="39.950000000000003" customHeight="1" x14ac:dyDescent="0.25">
      <c r="A100" s="375" t="s">
        <v>22</v>
      </c>
      <c r="B100" s="1303">
        <f>+B12</f>
        <v>45688</v>
      </c>
      <c r="C100" s="1426" t="s">
        <v>512</v>
      </c>
      <c r="D100" s="1409">
        <f>+'ASIENTOS  '!E111</f>
        <v>551.57999999728054</v>
      </c>
      <c r="E100" s="1416"/>
      <c r="F100" s="1320">
        <f t="shared" si="9"/>
        <v>2520260.7900000014</v>
      </c>
      <c r="G100" s="349"/>
      <c r="H100" s="389"/>
      <c r="I100" s="402" t="s">
        <v>22</v>
      </c>
      <c r="J100" s="1303">
        <f>+B12</f>
        <v>45688</v>
      </c>
      <c r="K100" s="1440" t="s">
        <v>511</v>
      </c>
      <c r="L100" s="1441">
        <f>+'ASIENTOS  '!E93</f>
        <v>2520260.79</v>
      </c>
      <c r="M100" s="1410"/>
      <c r="N100" s="1339">
        <f t="shared" ref="N100:N104" si="10">+N99-L100+M100</f>
        <v>1171877.2199999997</v>
      </c>
      <c r="O100" s="349"/>
    </row>
    <row r="101" spans="1:44" ht="39.950000000000003" customHeight="1" x14ac:dyDescent="0.25">
      <c r="A101" s="375" t="s">
        <v>22</v>
      </c>
      <c r="B101" s="1303">
        <f>+B100</f>
        <v>45688</v>
      </c>
      <c r="C101" s="1426" t="s">
        <v>513</v>
      </c>
      <c r="D101" s="1413">
        <f>+'ASIENTOS  '!E117</f>
        <v>2520260.79</v>
      </c>
      <c r="E101" s="1416"/>
      <c r="F101" s="1320">
        <f t="shared" si="9"/>
        <v>0</v>
      </c>
      <c r="G101" s="349"/>
      <c r="H101" s="385"/>
      <c r="I101" s="402" t="s">
        <v>22</v>
      </c>
      <c r="J101" s="1333"/>
      <c r="K101" s="1426"/>
      <c r="L101" s="1413"/>
      <c r="M101" s="1413"/>
      <c r="N101" s="1339">
        <f t="shared" si="10"/>
        <v>1171877.2199999997</v>
      </c>
      <c r="O101" s="349"/>
    </row>
    <row r="102" spans="1:44" ht="39.950000000000003" customHeight="1" x14ac:dyDescent="0.25">
      <c r="A102" s="375" t="s">
        <v>22</v>
      </c>
      <c r="B102" s="1325"/>
      <c r="C102" s="1426"/>
      <c r="D102" s="1416"/>
      <c r="E102" s="1416"/>
      <c r="F102" s="1320">
        <f t="shared" si="9"/>
        <v>0</v>
      </c>
      <c r="G102" s="349"/>
      <c r="H102" s="385"/>
      <c r="I102" s="402" t="s">
        <v>22</v>
      </c>
      <c r="J102" s="1333"/>
      <c r="K102" s="1425"/>
      <c r="L102" s="1413"/>
      <c r="M102" s="1413"/>
      <c r="N102" s="1339">
        <f t="shared" si="10"/>
        <v>1171877.2199999997</v>
      </c>
      <c r="O102" s="349"/>
    </row>
    <row r="103" spans="1:44" ht="39.950000000000003" customHeight="1" x14ac:dyDescent="0.25">
      <c r="A103" s="375" t="s">
        <v>22</v>
      </c>
      <c r="B103" s="1325"/>
      <c r="C103" s="1426"/>
      <c r="D103" s="1416"/>
      <c r="E103" s="1416"/>
      <c r="F103" s="1320">
        <f t="shared" si="9"/>
        <v>0</v>
      </c>
      <c r="G103" s="349"/>
      <c r="H103" s="385"/>
      <c r="I103" s="402" t="s">
        <v>22</v>
      </c>
      <c r="J103" s="1334"/>
      <c r="K103" s="1442"/>
      <c r="L103" s="1443"/>
      <c r="M103" s="1443"/>
      <c r="N103" s="1339">
        <f t="shared" si="10"/>
        <v>1171877.2199999997</v>
      </c>
      <c r="O103" s="349"/>
      <c r="P103" s="611"/>
      <c r="Q103" s="611"/>
    </row>
    <row r="104" spans="1:44" ht="39.950000000000003" customHeight="1" thickBot="1" x14ac:dyDescent="0.3">
      <c r="A104" s="710" t="s">
        <v>22</v>
      </c>
      <c r="B104" s="1331"/>
      <c r="C104" s="1434"/>
      <c r="D104" s="1435"/>
      <c r="E104" s="1435"/>
      <c r="F104" s="1337">
        <f t="shared" si="9"/>
        <v>0</v>
      </c>
      <c r="G104" s="349"/>
      <c r="H104" s="385"/>
      <c r="I104" s="481" t="s">
        <v>22</v>
      </c>
      <c r="J104" s="1335"/>
      <c r="K104" s="1423"/>
      <c r="L104" s="1423"/>
      <c r="M104" s="1423"/>
      <c r="N104" s="1340">
        <f t="shared" si="10"/>
        <v>1171877.2199999997</v>
      </c>
      <c r="O104" s="349"/>
      <c r="P104" s="351"/>
      <c r="Q104" s="351"/>
      <c r="T104" s="351"/>
    </row>
    <row r="105" spans="1:44" ht="47.25" customHeight="1" thickBot="1" x14ac:dyDescent="0.3">
      <c r="A105" s="383"/>
      <c r="B105" s="383"/>
      <c r="C105" s="862"/>
      <c r="D105" s="1317">
        <f>SUM(D98:D104)</f>
        <v>2520812.3699999973</v>
      </c>
      <c r="E105" s="1324">
        <f>SUM(E98:E104)</f>
        <v>2520260.79</v>
      </c>
      <c r="F105" s="1318">
        <f>+C98-D105+E105</f>
        <v>0</v>
      </c>
      <c r="G105" s="381"/>
      <c r="H105" s="385"/>
      <c r="I105" s="383"/>
      <c r="J105" s="383"/>
      <c r="K105" s="926"/>
      <c r="L105" s="1317">
        <f>SUM(L98:L104)</f>
        <v>2520260.79</v>
      </c>
      <c r="M105" s="1324">
        <f>SUM(M98:M104)</f>
        <v>3692138.01</v>
      </c>
      <c r="N105" s="1336">
        <f>+K98-L105+M105</f>
        <v>1171877.2199999997</v>
      </c>
      <c r="O105" s="381">
        <f>+ENERO!R15</f>
        <v>1171877.22</v>
      </c>
      <c r="P105" s="930">
        <f>+ENERO!R15</f>
        <v>1171877.22</v>
      </c>
      <c r="Q105" s="968">
        <f>+N105-P105</f>
        <v>0</v>
      </c>
      <c r="T105" s="351"/>
    </row>
    <row r="106" spans="1:44" ht="39.950000000000003" customHeight="1" x14ac:dyDescent="0.25">
      <c r="A106" s="383"/>
      <c r="B106" s="383"/>
      <c r="C106" s="384"/>
      <c r="D106" s="381"/>
      <c r="E106" s="381"/>
      <c r="F106" s="381"/>
      <c r="G106" s="392"/>
      <c r="H106" s="385"/>
      <c r="I106" s="383"/>
      <c r="J106" s="383"/>
      <c r="K106" s="383"/>
      <c r="L106" s="381"/>
      <c r="M106" s="381"/>
      <c r="N106" s="381"/>
      <c r="O106" s="381"/>
      <c r="Q106" s="351"/>
      <c r="T106" s="351"/>
    </row>
    <row r="107" spans="1:44" ht="39.950000000000003" customHeight="1" x14ac:dyDescent="0.25">
      <c r="A107" s="383"/>
      <c r="B107" s="383"/>
      <c r="C107" s="384"/>
      <c r="D107" s="381"/>
      <c r="E107" s="381"/>
      <c r="F107" s="381"/>
      <c r="G107" s="381"/>
      <c r="H107" s="352"/>
      <c r="I107" s="383"/>
      <c r="J107" s="862"/>
      <c r="K107" s="384"/>
      <c r="L107" s="381"/>
      <c r="M107" s="381"/>
      <c r="N107" s="381"/>
      <c r="O107" s="381"/>
      <c r="Q107" s="351"/>
    </row>
    <row r="108" spans="1:44" ht="20.100000000000001" customHeight="1" x14ac:dyDescent="0.25">
      <c r="A108" s="383"/>
      <c r="B108" s="383"/>
      <c r="C108" s="384"/>
      <c r="D108" s="380"/>
      <c r="E108" s="380"/>
      <c r="F108" s="380"/>
      <c r="G108" s="349"/>
      <c r="H108" s="352"/>
      <c r="I108" s="383"/>
      <c r="J108" s="383"/>
      <c r="K108" s="383"/>
      <c r="L108" s="380"/>
      <c r="M108" s="380"/>
      <c r="N108" s="380"/>
      <c r="O108" s="349"/>
      <c r="P108" s="398"/>
      <c r="Q108" s="391"/>
    </row>
    <row r="109" spans="1:44" s="353" customFormat="1" ht="33" customHeight="1" thickBot="1" x14ac:dyDescent="0.3">
      <c r="A109" s="1786" t="s">
        <v>30</v>
      </c>
      <c r="B109" s="1786"/>
      <c r="C109" s="1786"/>
      <c r="D109" s="1786"/>
      <c r="E109" s="1786"/>
      <c r="F109" s="1786"/>
      <c r="G109" s="490"/>
      <c r="H109" s="395"/>
      <c r="I109" s="1786" t="s">
        <v>31</v>
      </c>
      <c r="J109" s="1786"/>
      <c r="K109" s="1786"/>
      <c r="L109" s="1786"/>
      <c r="M109" s="1786"/>
      <c r="N109" s="1786"/>
      <c r="O109" s="400"/>
    </row>
    <row r="110" spans="1:44" ht="60" customHeight="1" thickBot="1" x14ac:dyDescent="0.3">
      <c r="A110" s="363" t="s">
        <v>18</v>
      </c>
      <c r="B110" s="364" t="s">
        <v>5</v>
      </c>
      <c r="C110" s="365" t="s">
        <v>19</v>
      </c>
      <c r="D110" s="359" t="s">
        <v>10</v>
      </c>
      <c r="E110" s="359" t="s">
        <v>11</v>
      </c>
      <c r="F110" s="360" t="s">
        <v>20</v>
      </c>
      <c r="G110" s="361"/>
      <c r="H110" s="362"/>
      <c r="I110" s="363" t="s">
        <v>18</v>
      </c>
      <c r="J110" s="364" t="s">
        <v>5</v>
      </c>
      <c r="K110" s="365" t="s">
        <v>19</v>
      </c>
      <c r="L110" s="359" t="s">
        <v>10</v>
      </c>
      <c r="M110" s="359" t="s">
        <v>11</v>
      </c>
      <c r="N110" s="360" t="s">
        <v>20</v>
      </c>
      <c r="O110" s="361"/>
      <c r="P110" s="516"/>
      <c r="Q110" s="516"/>
      <c r="R110" s="516"/>
      <c r="S110" s="516"/>
      <c r="T110" s="516"/>
      <c r="U110" s="516"/>
      <c r="V110" s="516"/>
      <c r="W110" s="516"/>
      <c r="X110" s="516"/>
      <c r="Y110" s="516"/>
      <c r="Z110" s="516"/>
      <c r="AA110" s="516"/>
      <c r="AB110" s="516"/>
      <c r="AC110" s="516"/>
      <c r="AD110" s="516"/>
      <c r="AE110" s="516"/>
      <c r="AF110" s="516"/>
      <c r="AG110" s="516"/>
      <c r="AH110" s="516"/>
      <c r="AI110" s="516"/>
      <c r="AJ110" s="516"/>
      <c r="AK110" s="516"/>
      <c r="AL110" s="516"/>
      <c r="AM110" s="516"/>
      <c r="AN110" s="516"/>
      <c r="AO110" s="516"/>
      <c r="AP110" s="516"/>
      <c r="AQ110" s="516"/>
      <c r="AR110" s="516"/>
    </row>
    <row r="111" spans="1:44" ht="39.950000000000003" customHeight="1" x14ac:dyDescent="0.25">
      <c r="A111" s="408" t="s">
        <v>21</v>
      </c>
      <c r="B111" s="1330">
        <f>+B10</f>
        <v>45657</v>
      </c>
      <c r="C111" s="1432">
        <v>61484.600000000006</v>
      </c>
      <c r="D111" s="1415"/>
      <c r="E111" s="1415"/>
      <c r="F111" s="1319">
        <f>C111</f>
        <v>61484.600000000006</v>
      </c>
      <c r="G111" s="349"/>
      <c r="H111" s="389"/>
      <c r="I111" s="408" t="s">
        <v>21</v>
      </c>
      <c r="J111" s="1308">
        <f>+B10</f>
        <v>45657</v>
      </c>
      <c r="K111" s="1427">
        <v>10568.719999996014</v>
      </c>
      <c r="L111" s="1424"/>
      <c r="M111" s="1424"/>
      <c r="N111" s="1306">
        <f>+K111</f>
        <v>10568.719999996014</v>
      </c>
      <c r="O111" s="369"/>
      <c r="Q111" s="351"/>
    </row>
    <row r="112" spans="1:44" ht="39.950000000000003" customHeight="1" x14ac:dyDescent="0.25">
      <c r="A112" s="375" t="s">
        <v>22</v>
      </c>
      <c r="B112" s="1303">
        <f>+B11</f>
        <v>45688</v>
      </c>
      <c r="C112" s="1426" t="s">
        <v>517</v>
      </c>
      <c r="D112" s="1416"/>
      <c r="E112" s="1413">
        <f>+'ASIENTOS  '!F165</f>
        <v>112.49</v>
      </c>
      <c r="F112" s="1320">
        <f>+F111-D112+E112</f>
        <v>61597.090000000004</v>
      </c>
      <c r="G112" s="349"/>
      <c r="H112" s="389"/>
      <c r="I112" s="375" t="s">
        <v>22</v>
      </c>
      <c r="J112" s="1303">
        <f>+B11</f>
        <v>45688</v>
      </c>
      <c r="K112" s="1428" t="s">
        <v>520</v>
      </c>
      <c r="L112" s="1429">
        <f>+'ASIENTOS  '!E413</f>
        <v>10568.720000001136</v>
      </c>
      <c r="M112" s="1429"/>
      <c r="N112" s="1302">
        <f>+N111-L112+M112</f>
        <v>-5.1222741603851318E-9</v>
      </c>
      <c r="O112" s="369"/>
      <c r="Q112" s="351"/>
    </row>
    <row r="113" spans="1:18" ht="39.950000000000003" customHeight="1" x14ac:dyDescent="0.25">
      <c r="A113" s="375" t="s">
        <v>22</v>
      </c>
      <c r="B113" s="1303">
        <f>+B12</f>
        <v>45688</v>
      </c>
      <c r="C113" s="1426" t="s">
        <v>518</v>
      </c>
      <c r="D113" s="1410"/>
      <c r="E113" s="1413">
        <f>+'ASIENTOS  '!F173</f>
        <v>187894.43</v>
      </c>
      <c r="F113" s="1320">
        <f t="shared" ref="F113:F120" si="11">+F112-D113+E113</f>
        <v>249491.52</v>
      </c>
      <c r="G113" s="349"/>
      <c r="H113" s="385"/>
      <c r="I113" s="375" t="s">
        <v>22</v>
      </c>
      <c r="J113" s="1303">
        <f>+B12</f>
        <v>45688</v>
      </c>
      <c r="K113" s="1428" t="s">
        <v>521</v>
      </c>
      <c r="L113" s="1429"/>
      <c r="M113" s="1429">
        <f>+'ASIENTOS  '!F432</f>
        <v>45879375.460000008</v>
      </c>
      <c r="N113" s="1302">
        <f>+N112-L113+M113</f>
        <v>45879375.460000001</v>
      </c>
      <c r="O113" s="369"/>
      <c r="Q113" s="351"/>
    </row>
    <row r="114" spans="1:18" ht="39.950000000000003" customHeight="1" x14ac:dyDescent="0.25">
      <c r="A114" s="375" t="s">
        <v>22</v>
      </c>
      <c r="B114" s="1303">
        <f>+B13</f>
        <v>45688</v>
      </c>
      <c r="C114" s="1426" t="s">
        <v>519</v>
      </c>
      <c r="D114" s="1413">
        <f>+'ASIENTOS  '!E185</f>
        <v>46317.56</v>
      </c>
      <c r="E114" s="1416"/>
      <c r="F114" s="1320">
        <f t="shared" si="11"/>
        <v>203173.96</v>
      </c>
      <c r="G114" s="349"/>
      <c r="H114" s="385"/>
      <c r="I114" s="375" t="s">
        <v>22</v>
      </c>
      <c r="J114" s="1303"/>
      <c r="K114" s="1429"/>
      <c r="L114" s="1429"/>
      <c r="M114" s="1429"/>
      <c r="N114" s="1302">
        <f t="shared" ref="N114:N120" si="12">+N113-L114+M114</f>
        <v>45879375.460000001</v>
      </c>
      <c r="O114" s="369"/>
      <c r="R114" s="401"/>
    </row>
    <row r="115" spans="1:18" ht="39.950000000000003" customHeight="1" x14ac:dyDescent="0.25">
      <c r="A115" s="375" t="s">
        <v>22</v>
      </c>
      <c r="B115" s="1303"/>
      <c r="C115" s="1426"/>
      <c r="D115" s="1413"/>
      <c r="E115" s="1416"/>
      <c r="F115" s="1320">
        <f t="shared" si="11"/>
        <v>203173.96</v>
      </c>
      <c r="G115" s="349"/>
      <c r="H115" s="385"/>
      <c r="I115" s="375" t="s">
        <v>22</v>
      </c>
      <c r="J115" s="1343"/>
      <c r="K115" s="1429"/>
      <c r="L115" s="1429"/>
      <c r="M115" s="1429"/>
      <c r="N115" s="1302">
        <f t="shared" si="12"/>
        <v>45879375.460000001</v>
      </c>
      <c r="O115" s="369"/>
      <c r="Q115" s="392"/>
    </row>
    <row r="116" spans="1:18" ht="39.950000000000003" customHeight="1" x14ac:dyDescent="0.25">
      <c r="A116" s="375" t="s">
        <v>22</v>
      </c>
      <c r="B116" s="1303"/>
      <c r="C116" s="1426"/>
      <c r="D116" s="1416"/>
      <c r="E116" s="1416"/>
      <c r="F116" s="1320">
        <f t="shared" si="11"/>
        <v>203173.96</v>
      </c>
      <c r="G116" s="349"/>
      <c r="H116" s="385"/>
      <c r="I116" s="375" t="s">
        <v>22</v>
      </c>
      <c r="J116" s="1343"/>
      <c r="K116" s="1429"/>
      <c r="L116" s="1429"/>
      <c r="M116" s="1429"/>
      <c r="N116" s="1302">
        <f t="shared" si="12"/>
        <v>45879375.460000001</v>
      </c>
      <c r="O116" s="369"/>
      <c r="P116" s="351"/>
      <c r="Q116" s="392"/>
    </row>
    <row r="117" spans="1:18" ht="39.950000000000003" customHeight="1" x14ac:dyDescent="0.25">
      <c r="A117" s="375" t="s">
        <v>22</v>
      </c>
      <c r="B117" s="1341"/>
      <c r="C117" s="1426"/>
      <c r="D117" s="1416"/>
      <c r="E117" s="1416"/>
      <c r="F117" s="1320">
        <f t="shared" si="11"/>
        <v>203173.96</v>
      </c>
      <c r="G117" s="349"/>
      <c r="H117" s="385"/>
      <c r="I117" s="375" t="s">
        <v>22</v>
      </c>
      <c r="J117" s="1344"/>
      <c r="K117" s="1430"/>
      <c r="L117" s="1430"/>
      <c r="M117" s="1430"/>
      <c r="N117" s="1302">
        <f t="shared" si="12"/>
        <v>45879375.460000001</v>
      </c>
      <c r="O117" s="369"/>
      <c r="P117" s="351"/>
      <c r="Q117" s="392"/>
    </row>
    <row r="118" spans="1:18" ht="39.950000000000003" customHeight="1" x14ac:dyDescent="0.25">
      <c r="A118" s="375" t="s">
        <v>22</v>
      </c>
      <c r="B118" s="1341"/>
      <c r="C118" s="1433"/>
      <c r="D118" s="1417"/>
      <c r="E118" s="1417"/>
      <c r="F118" s="1320">
        <f t="shared" si="11"/>
        <v>203173.96</v>
      </c>
      <c r="G118" s="349"/>
      <c r="H118" s="385"/>
      <c r="I118" s="375" t="s">
        <v>22</v>
      </c>
      <c r="J118" s="1344"/>
      <c r="K118" s="1430"/>
      <c r="L118" s="1430"/>
      <c r="M118" s="1430"/>
      <c r="N118" s="1302">
        <f t="shared" si="12"/>
        <v>45879375.460000001</v>
      </c>
      <c r="O118" s="369"/>
      <c r="P118" s="351"/>
      <c r="Q118" s="392"/>
    </row>
    <row r="119" spans="1:18" ht="39.950000000000003" customHeight="1" x14ac:dyDescent="0.25">
      <c r="A119" s="375" t="s">
        <v>22</v>
      </c>
      <c r="B119" s="1341"/>
      <c r="C119" s="1426"/>
      <c r="D119" s="1416"/>
      <c r="E119" s="1416"/>
      <c r="F119" s="1320">
        <f t="shared" si="11"/>
        <v>203173.96</v>
      </c>
      <c r="G119" s="349"/>
      <c r="H119" s="385"/>
      <c r="I119" s="375" t="s">
        <v>22</v>
      </c>
      <c r="J119" s="1344"/>
      <c r="K119" s="1430"/>
      <c r="L119" s="1430"/>
      <c r="M119" s="1430"/>
      <c r="N119" s="1302">
        <f t="shared" si="12"/>
        <v>45879375.460000001</v>
      </c>
      <c r="O119" s="369"/>
      <c r="P119" s="351"/>
      <c r="Q119" s="392"/>
    </row>
    <row r="120" spans="1:18" ht="39.950000000000003" customHeight="1" thickBot="1" x14ac:dyDescent="0.3">
      <c r="A120" s="710" t="s">
        <v>22</v>
      </c>
      <c r="B120" s="1331"/>
      <c r="C120" s="1434"/>
      <c r="D120" s="1435"/>
      <c r="E120" s="1436"/>
      <c r="F120" s="1342">
        <f t="shared" si="11"/>
        <v>203173.96</v>
      </c>
      <c r="G120" s="349"/>
      <c r="H120" s="385"/>
      <c r="I120" s="377" t="s">
        <v>22</v>
      </c>
      <c r="J120" s="1345"/>
      <c r="K120" s="1431"/>
      <c r="L120" s="1431"/>
      <c r="M120" s="1431"/>
      <c r="N120" s="1313">
        <f t="shared" si="12"/>
        <v>45879375.460000001</v>
      </c>
      <c r="O120" s="369"/>
      <c r="P120" s="351"/>
      <c r="Q120" s="392"/>
    </row>
    <row r="121" spans="1:18" ht="48.75" customHeight="1" thickBot="1" x14ac:dyDescent="0.3">
      <c r="A121" s="379"/>
      <c r="B121" s="379"/>
      <c r="C121" s="924"/>
      <c r="D121" s="1317">
        <f>SUM(D111:D120)</f>
        <v>46317.56</v>
      </c>
      <c r="E121" s="1317">
        <f>SUM(E111:E120)</f>
        <v>188006.91999999998</v>
      </c>
      <c r="F121" s="1336">
        <f>+C111-D121+E121</f>
        <v>203173.96</v>
      </c>
      <c r="G121" s="381"/>
      <c r="H121" s="385"/>
      <c r="I121" s="383"/>
      <c r="J121" s="372"/>
      <c r="K121" s="372"/>
      <c r="L121" s="1298">
        <f>SUM(L111:L120)</f>
        <v>10568.720000001136</v>
      </c>
      <c r="M121" s="1299">
        <f>SUM(M111:M120)</f>
        <v>45879375.460000008</v>
      </c>
      <c r="N121" s="1300">
        <f>+K111-L121+M121</f>
        <v>45879375.460000001</v>
      </c>
      <c r="O121" s="373">
        <f>+ENERO!P15</f>
        <v>45879375.460000008</v>
      </c>
      <c r="P121" s="930">
        <f>+ENERO!P15</f>
        <v>45879375.460000008</v>
      </c>
      <c r="Q121" s="757">
        <f>+N121-P121</f>
        <v>0</v>
      </c>
      <c r="R121" s="351"/>
    </row>
    <row r="122" spans="1:18" ht="39.950000000000003" customHeight="1" x14ac:dyDescent="0.25">
      <c r="A122" s="379"/>
      <c r="B122" s="379"/>
      <c r="C122" s="380"/>
      <c r="D122" s="381"/>
      <c r="E122" s="381"/>
      <c r="F122" s="381"/>
      <c r="G122" s="381"/>
      <c r="H122" s="385"/>
      <c r="I122" s="383"/>
      <c r="J122" s="372"/>
      <c r="K122" s="372"/>
      <c r="L122" s="373"/>
      <c r="M122" s="373"/>
      <c r="N122" s="373"/>
      <c r="O122" s="373"/>
      <c r="P122" s="351"/>
      <c r="Q122" s="398"/>
    </row>
    <row r="123" spans="1:18" ht="39.950000000000003" customHeight="1" x14ac:dyDescent="0.25">
      <c r="A123" s="379"/>
      <c r="B123" s="379"/>
      <c r="C123" s="380"/>
      <c r="D123" s="381"/>
      <c r="E123" s="381"/>
      <c r="F123" s="918"/>
      <c r="G123" s="381"/>
      <c r="H123" s="385"/>
      <c r="I123" s="383"/>
      <c r="J123" s="372"/>
      <c r="K123" s="372"/>
      <c r="L123" s="373"/>
      <c r="M123" s="373"/>
      <c r="N123" s="373"/>
      <c r="O123" s="373"/>
      <c r="P123" s="351"/>
      <c r="Q123" s="398"/>
    </row>
    <row r="124" spans="1:18" ht="39.950000000000003" customHeight="1" x14ac:dyDescent="0.25">
      <c r="A124" s="379"/>
      <c r="B124" s="379"/>
      <c r="C124" s="380"/>
      <c r="D124" s="381"/>
      <c r="E124" s="381"/>
      <c r="F124" s="381"/>
      <c r="G124" s="381"/>
      <c r="H124" s="385"/>
      <c r="I124" s="383"/>
      <c r="J124" s="372"/>
      <c r="K124" s="372"/>
      <c r="L124" s="373"/>
      <c r="M124" s="373"/>
      <c r="N124" s="373"/>
      <c r="O124" s="373"/>
      <c r="P124" s="351"/>
      <c r="Q124" s="398"/>
    </row>
    <row r="125" spans="1:18" ht="39.950000000000003" customHeight="1" x14ac:dyDescent="0.25">
      <c r="A125" s="379"/>
      <c r="B125" s="379"/>
      <c r="C125" s="380"/>
      <c r="D125" s="381"/>
      <c r="E125" s="381"/>
      <c r="F125" s="381"/>
      <c r="G125" s="381"/>
      <c r="H125" s="385"/>
      <c r="I125" s="383"/>
      <c r="J125" s="372"/>
      <c r="K125" s="372"/>
      <c r="L125" s="373"/>
      <c r="M125" s="373"/>
      <c r="N125" s="373"/>
      <c r="O125" s="373"/>
      <c r="Q125" s="398"/>
    </row>
    <row r="126" spans="1:18" ht="39.950000000000003" customHeight="1" x14ac:dyDescent="0.25">
      <c r="A126" s="379"/>
      <c r="B126" s="379"/>
      <c r="C126" s="380"/>
      <c r="D126" s="381"/>
      <c r="E126" s="381"/>
      <c r="F126" s="381"/>
      <c r="G126" s="381"/>
      <c r="H126" s="385"/>
      <c r="I126" s="383"/>
      <c r="J126" s="372"/>
      <c r="K126" s="372"/>
      <c r="L126" s="373"/>
      <c r="M126" s="373"/>
      <c r="N126" s="373"/>
      <c r="O126" s="373"/>
      <c r="Q126" s="398"/>
    </row>
    <row r="127" spans="1:18" ht="39.950000000000003" customHeight="1" x14ac:dyDescent="0.25">
      <c r="A127" s="1780" t="s">
        <v>157</v>
      </c>
      <c r="B127" s="1780"/>
      <c r="C127" s="1780"/>
      <c r="D127" s="1780"/>
      <c r="E127" s="1780"/>
      <c r="F127" s="1780"/>
      <c r="G127" s="1780"/>
      <c r="H127" s="1780"/>
      <c r="I127" s="1780"/>
      <c r="J127" s="1780"/>
      <c r="K127" s="1780"/>
      <c r="L127" s="1780"/>
      <c r="M127" s="1780"/>
      <c r="N127" s="1780"/>
      <c r="O127" s="1780"/>
      <c r="Q127" s="398"/>
    </row>
    <row r="128" spans="1:18" ht="24.95" customHeight="1" x14ac:dyDescent="0.25">
      <c r="A128" s="1780" t="s">
        <v>158</v>
      </c>
      <c r="B128" s="1780"/>
      <c r="C128" s="1780"/>
      <c r="D128" s="1780"/>
      <c r="E128" s="1780"/>
      <c r="F128" s="1780"/>
      <c r="G128" s="1780"/>
      <c r="H128" s="1780"/>
      <c r="I128" s="1780"/>
      <c r="J128" s="1780"/>
      <c r="K128" s="1780"/>
      <c r="L128" s="1780"/>
      <c r="M128" s="1780"/>
      <c r="N128" s="1780"/>
      <c r="O128" s="1780"/>
    </row>
    <row r="129" spans="1:16" ht="39.950000000000003" customHeight="1" x14ac:dyDescent="0.25">
      <c r="A129" s="1780" t="s">
        <v>161</v>
      </c>
      <c r="B129" s="1780"/>
      <c r="C129" s="1780"/>
      <c r="D129" s="1780"/>
      <c r="E129" s="1780"/>
      <c r="F129" s="1780"/>
      <c r="G129" s="1780"/>
      <c r="H129" s="1780"/>
      <c r="I129" s="1780"/>
      <c r="J129" s="1780"/>
      <c r="K129" s="1780"/>
      <c r="L129" s="1780"/>
      <c r="M129" s="1780"/>
      <c r="N129" s="1780"/>
      <c r="O129" s="1780"/>
    </row>
    <row r="130" spans="1:16" ht="39.75" customHeight="1" x14ac:dyDescent="0.25">
      <c r="A130" s="383"/>
      <c r="B130" s="513"/>
      <c r="C130" s="513"/>
      <c r="D130" s="513"/>
      <c r="E130" s="1784"/>
      <c r="F130" s="1784"/>
      <c r="G130" s="1784"/>
      <c r="H130" s="1784"/>
      <c r="I130" s="1784"/>
      <c r="J130" s="1784"/>
      <c r="K130" s="1784"/>
      <c r="L130" s="1784"/>
      <c r="M130" s="1784"/>
      <c r="N130" s="384"/>
      <c r="O130" s="384"/>
    </row>
    <row r="131" spans="1:16" ht="33.75" customHeight="1" x14ac:dyDescent="0.25">
      <c r="A131" s="1785" t="s">
        <v>162</v>
      </c>
      <c r="B131" s="1785"/>
      <c r="C131" s="1785"/>
      <c r="D131" s="1785"/>
      <c r="E131" s="1785"/>
      <c r="F131" s="1785"/>
      <c r="G131" s="1785"/>
      <c r="H131" s="1785"/>
      <c r="I131" s="1785"/>
      <c r="J131" s="1785"/>
      <c r="K131" s="1785"/>
      <c r="L131" s="1785"/>
      <c r="M131" s="1785"/>
      <c r="N131" s="1785"/>
      <c r="O131" s="386"/>
    </row>
    <row r="132" spans="1:16" ht="27.75" customHeight="1" x14ac:dyDescent="0.25">
      <c r="A132" s="877"/>
      <c r="B132" s="877"/>
      <c r="C132" s="877"/>
      <c r="D132" s="877"/>
      <c r="E132" s="877"/>
      <c r="F132" s="1772" t="str">
        <f>+F93</f>
        <v>AL 31/01/2025</v>
      </c>
      <c r="G132" s="1772"/>
      <c r="H132" s="1772"/>
      <c r="I132" s="1772"/>
      <c r="J132" s="1772"/>
      <c r="K132" s="877"/>
      <c r="L132" s="877"/>
      <c r="M132" s="877"/>
      <c r="N132" s="877"/>
      <c r="O132" s="386"/>
    </row>
    <row r="133" spans="1:16" ht="39.950000000000003" customHeight="1" x14ac:dyDescent="0.25">
      <c r="A133" s="404"/>
      <c r="B133" s="404"/>
      <c r="C133" s="349"/>
      <c r="D133" s="381"/>
      <c r="E133" s="381"/>
      <c r="F133" s="381"/>
      <c r="G133" s="381"/>
      <c r="H133" s="385"/>
      <c r="I133" s="383"/>
      <c r="J133" s="372"/>
      <c r="K133" s="372"/>
      <c r="L133" s="373"/>
      <c r="M133" s="373"/>
      <c r="N133" s="373"/>
      <c r="O133" s="373"/>
    </row>
    <row r="134" spans="1:16" ht="39.950000000000003" customHeight="1" thickBot="1" x14ac:dyDescent="0.3">
      <c r="A134" s="1786" t="s">
        <v>464</v>
      </c>
      <c r="B134" s="1786"/>
      <c r="C134" s="1786"/>
      <c r="D134" s="1786"/>
      <c r="E134" s="1786"/>
      <c r="F134" s="1786"/>
      <c r="G134" s="515"/>
      <c r="H134" s="385"/>
      <c r="I134" s="1786" t="s">
        <v>252</v>
      </c>
      <c r="J134" s="1786"/>
      <c r="K134" s="1786"/>
      <c r="L134" s="1786"/>
      <c r="M134" s="1786"/>
      <c r="N134" s="1786"/>
      <c r="O134" s="352"/>
    </row>
    <row r="135" spans="1:16" s="353" customFormat="1" ht="60.75" customHeight="1" thickBot="1" x14ac:dyDescent="0.3">
      <c r="A135" s="363" t="s">
        <v>18</v>
      </c>
      <c r="B135" s="364" t="s">
        <v>5</v>
      </c>
      <c r="C135" s="365" t="s">
        <v>19</v>
      </c>
      <c r="D135" s="359" t="s">
        <v>10</v>
      </c>
      <c r="E135" s="359" t="s">
        <v>11</v>
      </c>
      <c r="F135" s="360" t="s">
        <v>20</v>
      </c>
      <c r="G135" s="361"/>
      <c r="H135" s="385"/>
      <c r="I135" s="363" t="s">
        <v>18</v>
      </c>
      <c r="J135" s="364" t="s">
        <v>5</v>
      </c>
      <c r="K135" s="365" t="s">
        <v>19</v>
      </c>
      <c r="L135" s="359" t="s">
        <v>10</v>
      </c>
      <c r="M135" s="359" t="s">
        <v>11</v>
      </c>
      <c r="N135" s="360" t="s">
        <v>20</v>
      </c>
      <c r="O135" s="352"/>
    </row>
    <row r="136" spans="1:16" s="353" customFormat="1" ht="39.950000000000003" customHeight="1" x14ac:dyDescent="0.25">
      <c r="A136" s="408" t="s">
        <v>21</v>
      </c>
      <c r="B136" s="1330">
        <f>+B111</f>
        <v>45657</v>
      </c>
      <c r="C136" s="1432">
        <v>0</v>
      </c>
      <c r="D136" s="777"/>
      <c r="E136" s="777"/>
      <c r="F136" s="1319">
        <f>C136</f>
        <v>0</v>
      </c>
      <c r="G136" s="349"/>
      <c r="H136" s="385"/>
      <c r="I136" s="408" t="s">
        <v>21</v>
      </c>
      <c r="J136" s="1330">
        <f>+B10</f>
        <v>45657</v>
      </c>
      <c r="K136" s="1432">
        <v>0</v>
      </c>
      <c r="L136" s="777"/>
      <c r="M136" s="777"/>
      <c r="N136" s="1319">
        <f>K136</f>
        <v>0</v>
      </c>
      <c r="O136" s="352"/>
    </row>
    <row r="137" spans="1:16" s="353" customFormat="1" ht="39.950000000000003" hidden="1" customHeight="1" x14ac:dyDescent="0.25">
      <c r="A137" s="375" t="s">
        <v>22</v>
      </c>
      <c r="B137" s="1303"/>
      <c r="C137" s="921"/>
      <c r="D137" s="819"/>
      <c r="E137" s="820"/>
      <c r="F137" s="1320">
        <f>+F136-D137+E137</f>
        <v>0</v>
      </c>
      <c r="G137" s="349"/>
      <c r="H137" s="385"/>
      <c r="I137" s="375" t="s">
        <v>22</v>
      </c>
      <c r="J137" s="1303"/>
      <c r="K137" s="921"/>
      <c r="L137" s="819"/>
      <c r="M137" s="820"/>
      <c r="N137" s="1320">
        <f>+N136-L137+M137</f>
        <v>0</v>
      </c>
      <c r="O137" s="352"/>
    </row>
    <row r="138" spans="1:16" s="353" customFormat="1" ht="39.950000000000003" customHeight="1" x14ac:dyDescent="0.25">
      <c r="A138" s="376" t="s">
        <v>22</v>
      </c>
      <c r="B138" s="1303"/>
      <c r="C138" s="819"/>
      <c r="D138" s="822"/>
      <c r="E138" s="822"/>
      <c r="F138" s="1320">
        <f>+F137-D138+E138</f>
        <v>0</v>
      </c>
      <c r="G138" s="349"/>
      <c r="H138" s="385"/>
      <c r="I138" s="376" t="s">
        <v>22</v>
      </c>
      <c r="J138" s="1303"/>
      <c r="K138" s="819"/>
      <c r="L138" s="822"/>
      <c r="M138" s="822"/>
      <c r="N138" s="1320">
        <f>+N137-L138+M138</f>
        <v>0</v>
      </c>
      <c r="O138" s="352"/>
    </row>
    <row r="139" spans="1:16" s="353" customFormat="1" ht="39.950000000000003" customHeight="1" x14ac:dyDescent="0.25">
      <c r="A139" s="376" t="s">
        <v>22</v>
      </c>
      <c r="B139" s="1346"/>
      <c r="C139" s="822"/>
      <c r="D139" s="822"/>
      <c r="E139" s="822"/>
      <c r="F139" s="1320">
        <f>+F138-D139+E139</f>
        <v>0</v>
      </c>
      <c r="G139" s="349"/>
      <c r="H139" s="385"/>
      <c r="I139" s="376" t="s">
        <v>22</v>
      </c>
      <c r="J139" s="1346"/>
      <c r="K139" s="822"/>
      <c r="L139" s="822"/>
      <c r="M139" s="822"/>
      <c r="N139" s="1320">
        <f>+N138-L139+M139</f>
        <v>0</v>
      </c>
      <c r="O139" s="352"/>
    </row>
    <row r="140" spans="1:16" s="353" customFormat="1" ht="39.950000000000003" customHeight="1" thickBot="1" x14ac:dyDescent="0.3">
      <c r="A140" s="377" t="s">
        <v>22</v>
      </c>
      <c r="B140" s="1316"/>
      <c r="C140" s="821"/>
      <c r="D140" s="821"/>
      <c r="E140" s="821"/>
      <c r="F140" s="1321">
        <f>+F138-D140+E140</f>
        <v>0</v>
      </c>
      <c r="G140" s="349"/>
      <c r="H140" s="385"/>
      <c r="I140" s="377" t="s">
        <v>22</v>
      </c>
      <c r="J140" s="1316"/>
      <c r="K140" s="821"/>
      <c r="L140" s="821"/>
      <c r="M140" s="821"/>
      <c r="N140" s="1321">
        <f>+N138-L140+M140</f>
        <v>0</v>
      </c>
      <c r="O140" s="352"/>
    </row>
    <row r="141" spans="1:16" s="353" customFormat="1" ht="47.25" customHeight="1" thickBot="1" x14ac:dyDescent="0.3">
      <c r="A141" s="379"/>
      <c r="B141" s="379"/>
      <c r="C141" s="380"/>
      <c r="D141" s="1347">
        <f>SUM(D136:D140)</f>
        <v>0</v>
      </c>
      <c r="E141" s="1347">
        <f>SUM(E136:E140)</f>
        <v>0</v>
      </c>
      <c r="F141" s="1348">
        <f>+C136-D141+E141</f>
        <v>0</v>
      </c>
      <c r="G141" s="381"/>
      <c r="H141" s="385"/>
      <c r="I141" s="379"/>
      <c r="J141" s="379"/>
      <c r="K141" s="380"/>
      <c r="L141" s="1347">
        <f>SUM(L136:L140)</f>
        <v>0</v>
      </c>
      <c r="M141" s="1347">
        <f>SUM(M136:M140)</f>
        <v>0</v>
      </c>
      <c r="N141" s="1348">
        <f>+K136-L141+M141</f>
        <v>0</v>
      </c>
      <c r="O141" s="352"/>
      <c r="P141" s="392"/>
    </row>
    <row r="142" spans="1:16" s="353" customFormat="1" ht="39.950000000000003" customHeight="1" x14ac:dyDescent="0.25">
      <c r="A142" s="404"/>
      <c r="B142" s="404"/>
      <c r="C142" s="349"/>
      <c r="D142" s="381"/>
      <c r="E142" s="381"/>
      <c r="F142" s="381"/>
      <c r="G142" s="381"/>
      <c r="H142" s="385"/>
      <c r="I142" s="385"/>
      <c r="J142" s="385"/>
      <c r="K142" s="385"/>
      <c r="L142" s="385"/>
      <c r="M142" s="352"/>
      <c r="N142" s="352"/>
      <c r="O142" s="352"/>
    </row>
    <row r="143" spans="1:16" s="353" customFormat="1" ht="39.950000000000003" customHeight="1" x14ac:dyDescent="0.25">
      <c r="A143" s="404"/>
      <c r="B143" s="404"/>
      <c r="C143" s="349"/>
      <c r="D143" s="392"/>
      <c r="E143" s="948"/>
      <c r="F143" s="381"/>
      <c r="G143" s="381"/>
      <c r="H143" s="385"/>
      <c r="I143" s="385"/>
      <c r="J143" s="385"/>
      <c r="K143" s="352"/>
      <c r="L143" s="392"/>
      <c r="N143" s="352"/>
      <c r="O143" s="352"/>
    </row>
    <row r="144" spans="1:16" s="353" customFormat="1" ht="39.950000000000003" customHeight="1" thickBot="1" x14ac:dyDescent="0.3">
      <c r="A144" s="1786" t="s">
        <v>33</v>
      </c>
      <c r="B144" s="1786"/>
      <c r="C144" s="1786"/>
      <c r="D144" s="1786"/>
      <c r="E144" s="1786"/>
      <c r="F144" s="1786"/>
      <c r="G144" s="515"/>
      <c r="H144" s="395"/>
      <c r="I144" s="1786" t="s">
        <v>34</v>
      </c>
      <c r="J144" s="1786"/>
      <c r="K144" s="1786"/>
      <c r="L144" s="1786"/>
      <c r="M144" s="1786"/>
      <c r="N144" s="1786"/>
      <c r="O144" s="352"/>
    </row>
    <row r="145" spans="1:19" s="353" customFormat="1" ht="55.5" customHeight="1" thickBot="1" x14ac:dyDescent="0.3">
      <c r="A145" s="363" t="s">
        <v>18</v>
      </c>
      <c r="B145" s="364" t="s">
        <v>5</v>
      </c>
      <c r="C145" s="365" t="s">
        <v>19</v>
      </c>
      <c r="D145" s="359" t="s">
        <v>10</v>
      </c>
      <c r="E145" s="359" t="s">
        <v>11</v>
      </c>
      <c r="F145" s="360" t="s">
        <v>20</v>
      </c>
      <c r="G145" s="361"/>
      <c r="H145" s="362"/>
      <c r="I145" s="363" t="s">
        <v>18</v>
      </c>
      <c r="J145" s="364" t="s">
        <v>5</v>
      </c>
      <c r="K145" s="365" t="s">
        <v>19</v>
      </c>
      <c r="L145" s="359" t="s">
        <v>10</v>
      </c>
      <c r="M145" s="359" t="s">
        <v>11</v>
      </c>
      <c r="N145" s="360" t="s">
        <v>20</v>
      </c>
      <c r="O145" s="352"/>
    </row>
    <row r="146" spans="1:19" s="353" customFormat="1" ht="39.950000000000003" customHeight="1" x14ac:dyDescent="0.25">
      <c r="A146" s="408" t="s">
        <v>21</v>
      </c>
      <c r="B146" s="1330">
        <f t="shared" ref="B146:B151" si="13">+B10</f>
        <v>45657</v>
      </c>
      <c r="C146" s="779">
        <v>2674896.0899999989</v>
      </c>
      <c r="D146" s="1420"/>
      <c r="E146" s="1420"/>
      <c r="F146" s="1319">
        <f>C146</f>
        <v>2674896.0899999989</v>
      </c>
      <c r="G146" s="349"/>
      <c r="H146" s="389"/>
      <c r="I146" s="408" t="s">
        <v>21</v>
      </c>
      <c r="J146" s="1330">
        <f>+B10</f>
        <v>45657</v>
      </c>
      <c r="K146" s="776">
        <v>0</v>
      </c>
      <c r="L146" s="1415"/>
      <c r="M146" s="1415"/>
      <c r="N146" s="1319">
        <f>K146</f>
        <v>0</v>
      </c>
      <c r="O146" s="352"/>
      <c r="P146" s="392"/>
    </row>
    <row r="147" spans="1:19" s="353" customFormat="1" ht="39.950000000000003" customHeight="1" x14ac:dyDescent="0.25">
      <c r="A147" s="375" t="s">
        <v>22</v>
      </c>
      <c r="B147" s="1314">
        <f t="shared" si="13"/>
        <v>45688</v>
      </c>
      <c r="C147" s="1425" t="s">
        <v>502</v>
      </c>
      <c r="D147" s="1413">
        <f>+'ASIENTOS  '!E8</f>
        <v>576.47</v>
      </c>
      <c r="E147" s="1413"/>
      <c r="F147" s="1320">
        <f t="shared" ref="F147:F156" si="14">+F146-D147+E147</f>
        <v>2674319.6199999987</v>
      </c>
      <c r="G147" s="349"/>
      <c r="H147" s="390"/>
      <c r="I147" s="375" t="s">
        <v>22</v>
      </c>
      <c r="J147" s="1314">
        <f>+B11</f>
        <v>45688</v>
      </c>
      <c r="K147" s="1426" t="s">
        <v>503</v>
      </c>
      <c r="L147" s="1416"/>
      <c r="M147" s="1416">
        <f>+'ASIENTOS  '!F15</f>
        <v>576.47</v>
      </c>
      <c r="N147" s="1320">
        <f>+N146-L147+M147</f>
        <v>576.47</v>
      </c>
      <c r="O147" s="352"/>
      <c r="P147" s="392"/>
    </row>
    <row r="148" spans="1:19" s="353" customFormat="1" ht="39.950000000000003" customHeight="1" x14ac:dyDescent="0.25">
      <c r="A148" s="375" t="s">
        <v>22</v>
      </c>
      <c r="B148" s="1314">
        <f t="shared" si="13"/>
        <v>45688</v>
      </c>
      <c r="C148" s="1425" t="s">
        <v>507</v>
      </c>
      <c r="D148" s="1416">
        <f>+'ASIENTOS  '!E43</f>
        <v>9992.25</v>
      </c>
      <c r="E148" s="1413"/>
      <c r="F148" s="1320">
        <f t="shared" si="14"/>
        <v>2664327.3699999987</v>
      </c>
      <c r="G148" s="349"/>
      <c r="H148" s="390"/>
      <c r="I148" s="375" t="s">
        <v>22</v>
      </c>
      <c r="J148" s="1314">
        <f>+B12</f>
        <v>45688</v>
      </c>
      <c r="K148" s="1426" t="s">
        <v>504</v>
      </c>
      <c r="L148" s="1416"/>
      <c r="M148" s="1416">
        <f>+'ASIENTOS  '!F29</f>
        <v>49570937</v>
      </c>
      <c r="N148" s="1320">
        <f t="shared" ref="N148:N156" si="15">+N147-L148+M148</f>
        <v>49571513.469999999</v>
      </c>
      <c r="O148" s="352"/>
      <c r="P148" s="352"/>
      <c r="Q148" s="352"/>
    </row>
    <row r="149" spans="1:19" s="353" customFormat="1" ht="39.950000000000003" customHeight="1" x14ac:dyDescent="0.25">
      <c r="A149" s="375" t="s">
        <v>22</v>
      </c>
      <c r="B149" s="1314">
        <f t="shared" si="13"/>
        <v>45688</v>
      </c>
      <c r="C149" s="920" t="s">
        <v>514</v>
      </c>
      <c r="D149" s="1416"/>
      <c r="E149" s="1416">
        <f>+'ASIENTOS  '!F146</f>
        <v>6094.99</v>
      </c>
      <c r="F149" s="1320">
        <f t="shared" si="14"/>
        <v>2670422.3599999989</v>
      </c>
      <c r="G149" s="349"/>
      <c r="H149" s="385"/>
      <c r="I149" s="375" t="s">
        <v>22</v>
      </c>
      <c r="J149" s="1303"/>
      <c r="K149" s="921"/>
      <c r="L149" s="1416"/>
      <c r="M149" s="1416"/>
      <c r="N149" s="1320">
        <f t="shared" si="15"/>
        <v>49571513.469999999</v>
      </c>
      <c r="O149" s="352"/>
      <c r="P149" s="568"/>
      <c r="Q149" s="392"/>
    </row>
    <row r="150" spans="1:19" s="353" customFormat="1" ht="39.950000000000003" customHeight="1" x14ac:dyDescent="0.25">
      <c r="A150" s="375" t="s">
        <v>22</v>
      </c>
      <c r="B150" s="1314">
        <f t="shared" si="13"/>
        <v>45688</v>
      </c>
      <c r="C150" s="920" t="s">
        <v>515</v>
      </c>
      <c r="D150" s="1417">
        <f>+'ASIENTOS  '!E149</f>
        <v>123820.13</v>
      </c>
      <c r="E150" s="1417"/>
      <c r="F150" s="1320">
        <f t="shared" si="14"/>
        <v>2546602.2299999991</v>
      </c>
      <c r="G150" s="349"/>
      <c r="H150" s="385"/>
      <c r="I150" s="375" t="s">
        <v>22</v>
      </c>
      <c r="J150" s="1346"/>
      <c r="K150" s="929"/>
      <c r="L150" s="1417"/>
      <c r="M150" s="1417"/>
      <c r="N150" s="1320">
        <f t="shared" si="15"/>
        <v>49571513.469999999</v>
      </c>
      <c r="O150" s="352"/>
      <c r="P150" s="392"/>
      <c r="S150" s="392"/>
    </row>
    <row r="151" spans="1:19" s="353" customFormat="1" ht="39.950000000000003" customHeight="1" x14ac:dyDescent="0.25">
      <c r="A151" s="375" t="s">
        <v>22</v>
      </c>
      <c r="B151" s="1314">
        <f t="shared" si="13"/>
        <v>45688</v>
      </c>
      <c r="C151" s="920" t="s">
        <v>516</v>
      </c>
      <c r="D151" s="1416"/>
      <c r="E151" s="1413">
        <f>+'ASIENTOS  '!F160</f>
        <v>131461.04999999999</v>
      </c>
      <c r="F151" s="1320">
        <f t="shared" si="14"/>
        <v>2678063.2799999989</v>
      </c>
      <c r="G151" s="349"/>
      <c r="H151" s="355"/>
      <c r="I151" s="375" t="s">
        <v>22</v>
      </c>
      <c r="J151" s="1315"/>
      <c r="K151" s="921"/>
      <c r="L151" s="1416"/>
      <c r="M151" s="1416"/>
      <c r="N151" s="1320">
        <f t="shared" si="15"/>
        <v>49571513.469999999</v>
      </c>
      <c r="O151" s="352"/>
      <c r="P151" s="392"/>
      <c r="S151" s="392"/>
    </row>
    <row r="152" spans="1:19" s="353" customFormat="1" ht="39.950000000000003" customHeight="1" x14ac:dyDescent="0.25">
      <c r="A152" s="482" t="s">
        <v>22</v>
      </c>
      <c r="B152" s="1314"/>
      <c r="C152" s="920"/>
      <c r="D152" s="1418"/>
      <c r="E152" s="1421"/>
      <c r="F152" s="1320">
        <f t="shared" si="14"/>
        <v>2678063.2799999989</v>
      </c>
      <c r="G152" s="349"/>
      <c r="H152" s="355"/>
      <c r="I152" s="482" t="s">
        <v>22</v>
      </c>
      <c r="J152" s="1350"/>
      <c r="K152" s="778"/>
      <c r="L152" s="1418"/>
      <c r="M152" s="1418"/>
      <c r="N152" s="1326">
        <f t="shared" si="15"/>
        <v>49571513.469999999</v>
      </c>
      <c r="O152" s="352"/>
      <c r="Q152" s="392"/>
    </row>
    <row r="153" spans="1:19" s="353" customFormat="1" ht="39.950000000000003" customHeight="1" x14ac:dyDescent="0.25">
      <c r="A153" s="375" t="s">
        <v>22</v>
      </c>
      <c r="B153" s="1303"/>
      <c r="C153" s="921"/>
      <c r="D153" s="1416"/>
      <c r="E153" s="1413"/>
      <c r="F153" s="1320">
        <f t="shared" si="14"/>
        <v>2678063.2799999989</v>
      </c>
      <c r="G153" s="349"/>
      <c r="H153" s="355"/>
      <c r="I153" s="482" t="s">
        <v>22</v>
      </c>
      <c r="J153" s="1315"/>
      <c r="K153" s="819"/>
      <c r="L153" s="1416"/>
      <c r="M153" s="1416"/>
      <c r="N153" s="1320">
        <f t="shared" si="15"/>
        <v>49571513.469999999</v>
      </c>
      <c r="O153" s="352"/>
      <c r="P153" s="392"/>
      <c r="Q153" s="392"/>
      <c r="R153" s="392"/>
    </row>
    <row r="154" spans="1:19" s="353" customFormat="1" ht="39.950000000000003" customHeight="1" x14ac:dyDescent="0.25">
      <c r="A154" s="375" t="s">
        <v>22</v>
      </c>
      <c r="B154" s="1303"/>
      <c r="C154" s="921"/>
      <c r="D154" s="1416"/>
      <c r="E154" s="1413"/>
      <c r="F154" s="1320">
        <f t="shared" si="14"/>
        <v>2678063.2799999989</v>
      </c>
      <c r="G154" s="349"/>
      <c r="H154" s="355"/>
      <c r="I154" s="482" t="s">
        <v>22</v>
      </c>
      <c r="J154" s="1315"/>
      <c r="K154" s="819"/>
      <c r="L154" s="1416"/>
      <c r="M154" s="1416"/>
      <c r="N154" s="1320">
        <f t="shared" si="15"/>
        <v>49571513.469999999</v>
      </c>
      <c r="O154" s="352"/>
      <c r="P154" s="392"/>
      <c r="Q154" s="392"/>
    </row>
    <row r="155" spans="1:19" s="353" customFormat="1" ht="39.950000000000003" customHeight="1" x14ac:dyDescent="0.25">
      <c r="A155" s="375" t="s">
        <v>22</v>
      </c>
      <c r="B155" s="1303"/>
      <c r="C155" s="921"/>
      <c r="D155" s="1413"/>
      <c r="E155" s="1422"/>
      <c r="F155" s="1320">
        <f t="shared" si="14"/>
        <v>2678063.2799999989</v>
      </c>
      <c r="G155" s="349"/>
      <c r="H155" s="355"/>
      <c r="I155" s="482" t="s">
        <v>22</v>
      </c>
      <c r="J155" s="1315"/>
      <c r="K155" s="819"/>
      <c r="L155" s="1416"/>
      <c r="M155" s="1416"/>
      <c r="N155" s="1320">
        <f t="shared" si="15"/>
        <v>49571513.469999999</v>
      </c>
      <c r="O155" s="352"/>
      <c r="P155" s="392"/>
      <c r="Q155" s="392"/>
    </row>
    <row r="156" spans="1:19" s="353" customFormat="1" ht="39.950000000000003" customHeight="1" thickBot="1" x14ac:dyDescent="0.3">
      <c r="A156" s="377" t="s">
        <v>22</v>
      </c>
      <c r="B156" s="1349"/>
      <c r="C156" s="922"/>
      <c r="D156" s="1419"/>
      <c r="E156" s="1423"/>
      <c r="F156" s="1321">
        <f t="shared" si="14"/>
        <v>2678063.2799999989</v>
      </c>
      <c r="G156" s="349"/>
      <c r="H156" s="355"/>
      <c r="I156" s="710" t="s">
        <v>22</v>
      </c>
      <c r="J156" s="1316"/>
      <c r="K156" s="821"/>
      <c r="L156" s="1419"/>
      <c r="M156" s="1419"/>
      <c r="N156" s="1321">
        <f t="shared" si="15"/>
        <v>49571513.469999999</v>
      </c>
      <c r="O156" s="352"/>
      <c r="P156" s="392"/>
      <c r="Q156" s="392"/>
    </row>
    <row r="157" spans="1:19" s="353" customFormat="1" ht="51" customHeight="1" thickBot="1" x14ac:dyDescent="0.3">
      <c r="A157" s="355"/>
      <c r="B157" s="355"/>
      <c r="C157" s="923"/>
      <c r="D157" s="1317">
        <f>SUM(D146:D156)</f>
        <v>134388.85</v>
      </c>
      <c r="E157" s="1317">
        <f>SUM(E146:E156)</f>
        <v>137556.03999999998</v>
      </c>
      <c r="F157" s="1318">
        <f>+F156</f>
        <v>2678063.2799999989</v>
      </c>
      <c r="G157" s="381"/>
      <c r="H157" s="355"/>
      <c r="I157" s="355"/>
      <c r="J157" s="355"/>
      <c r="K157" s="355"/>
      <c r="L157" s="1298">
        <f>SUM(L146:L151)</f>
        <v>0</v>
      </c>
      <c r="M157" s="1324">
        <f>SUM(M146:M152)</f>
        <v>49571513.469999999</v>
      </c>
      <c r="N157" s="1318">
        <f>+N152</f>
        <v>49571513.469999999</v>
      </c>
      <c r="O157" s="352">
        <f>+ENERO!L15</f>
        <v>49571513.469999999</v>
      </c>
      <c r="P157" s="930">
        <f>+ENERO!L15</f>
        <v>49571513.469999999</v>
      </c>
      <c r="Q157" s="969">
        <f>+N157-P157</f>
        <v>0</v>
      </c>
      <c r="R157" s="392"/>
    </row>
    <row r="158" spans="1:19" s="353" customFormat="1" ht="20.100000000000001" customHeight="1" x14ac:dyDescent="0.25">
      <c r="A158" s="355"/>
      <c r="B158" s="355"/>
      <c r="C158" s="355"/>
      <c r="D158" s="355"/>
      <c r="E158" s="351"/>
      <c r="F158" s="355"/>
      <c r="H158" s="355"/>
      <c r="I158" s="355"/>
      <c r="J158" s="355"/>
      <c r="K158" s="355"/>
      <c r="L158" s="355"/>
      <c r="M158" s="355"/>
      <c r="N158" s="405"/>
      <c r="O158" s="352"/>
      <c r="P158" s="392"/>
      <c r="Q158" s="392"/>
    </row>
    <row r="159" spans="1:19" ht="24.95" customHeight="1" x14ac:dyDescent="0.25">
      <c r="E159" s="850"/>
      <c r="F159" s="851"/>
      <c r="G159" s="851"/>
      <c r="N159" s="405"/>
      <c r="O159" s="352"/>
      <c r="P159" s="351"/>
      <c r="Q159" s="351"/>
    </row>
    <row r="160" spans="1:19" ht="24.95" customHeight="1" x14ac:dyDescent="0.25">
      <c r="E160" s="851"/>
      <c r="F160" s="851"/>
      <c r="G160" s="851"/>
      <c r="O160" s="352"/>
      <c r="P160" s="391"/>
      <c r="Q160" s="351"/>
    </row>
    <row r="161" spans="1:44" ht="24.95" customHeight="1" x14ac:dyDescent="0.25">
      <c r="D161" s="351"/>
      <c r="E161" s="851"/>
      <c r="F161" s="381"/>
      <c r="G161" s="851"/>
      <c r="O161" s="352"/>
      <c r="P161" s="391"/>
      <c r="Q161" s="351"/>
    </row>
    <row r="162" spans="1:44" ht="24.95" customHeight="1" x14ac:dyDescent="0.25">
      <c r="E162" s="851"/>
      <c r="F162" s="851"/>
      <c r="G162" s="851"/>
      <c r="O162" s="352"/>
      <c r="P162" s="391"/>
      <c r="Q162" s="351"/>
    </row>
    <row r="163" spans="1:44" ht="24.95" customHeight="1" x14ac:dyDescent="0.25">
      <c r="E163" s="851"/>
      <c r="F163" s="851"/>
      <c r="G163" s="851"/>
      <c r="O163" s="352"/>
      <c r="P163" s="391"/>
      <c r="Q163" s="351"/>
    </row>
    <row r="164" spans="1:44" ht="24.95" customHeight="1" thickBot="1" x14ac:dyDescent="0.3">
      <c r="E164" s="391"/>
      <c r="F164" s="391"/>
      <c r="G164" s="391"/>
      <c r="O164" s="352"/>
      <c r="P164" s="391"/>
      <c r="Q164" s="351"/>
    </row>
    <row r="165" spans="1:44" s="406" customFormat="1" ht="30" customHeight="1" thickBot="1" x14ac:dyDescent="0.3">
      <c r="A165" s="1781" t="s">
        <v>163</v>
      </c>
      <c r="B165" s="1782"/>
      <c r="C165" s="1782"/>
      <c r="D165" s="1782"/>
      <c r="E165" s="1782"/>
      <c r="F165" s="1782"/>
      <c r="G165" s="1783"/>
      <c r="H165" s="1781" t="s">
        <v>84</v>
      </c>
      <c r="I165" s="1782"/>
      <c r="J165" s="1782"/>
      <c r="K165" s="1782"/>
      <c r="L165" s="1782"/>
      <c r="M165" s="1782"/>
      <c r="N165" s="1783"/>
      <c r="O165" s="355"/>
      <c r="P165" s="398"/>
      <c r="Q165" s="399"/>
      <c r="R165" s="399"/>
      <c r="S165" s="399"/>
      <c r="T165" s="399"/>
      <c r="U165" s="399"/>
      <c r="V165" s="399"/>
      <c r="W165" s="399"/>
      <c r="X165" s="399"/>
      <c r="Y165" s="399"/>
      <c r="Z165" s="399"/>
      <c r="AA165" s="399"/>
      <c r="AB165" s="399"/>
      <c r="AC165" s="399"/>
      <c r="AD165" s="399"/>
      <c r="AE165" s="399"/>
      <c r="AF165" s="399"/>
      <c r="AG165" s="399"/>
      <c r="AH165" s="399"/>
      <c r="AI165" s="399"/>
      <c r="AJ165" s="399"/>
      <c r="AK165" s="399"/>
      <c r="AL165" s="399"/>
      <c r="AM165" s="399"/>
      <c r="AN165" s="399"/>
      <c r="AO165" s="399"/>
      <c r="AP165" s="399"/>
      <c r="AQ165" s="399"/>
      <c r="AR165" s="399"/>
    </row>
    <row r="166" spans="1:44" s="407" customFormat="1" ht="107.25" customHeight="1" thickBot="1" x14ac:dyDescent="0.3">
      <c r="A166" s="1777"/>
      <c r="B166" s="1778"/>
      <c r="C166" s="1778"/>
      <c r="D166" s="1778"/>
      <c r="E166" s="1778"/>
      <c r="F166" s="1778"/>
      <c r="G166" s="1779"/>
      <c r="H166" s="1777"/>
      <c r="I166" s="1778"/>
      <c r="J166" s="1778"/>
      <c r="K166" s="1778"/>
      <c r="L166" s="1778"/>
      <c r="M166" s="1778"/>
      <c r="N166" s="1779"/>
      <c r="O166" s="355"/>
      <c r="P166" s="344"/>
      <c r="Q166" s="344"/>
      <c r="R166" s="344"/>
      <c r="S166" s="344"/>
      <c r="T166" s="344"/>
      <c r="U166" s="344"/>
      <c r="V166" s="344"/>
      <c r="W166" s="344"/>
      <c r="X166" s="344"/>
      <c r="Y166" s="344"/>
      <c r="Z166" s="344"/>
      <c r="AA166" s="344"/>
      <c r="AB166" s="344"/>
      <c r="AC166" s="344"/>
      <c r="AD166" s="344"/>
      <c r="AE166" s="344"/>
      <c r="AF166" s="344"/>
      <c r="AG166" s="344"/>
      <c r="AH166" s="344"/>
      <c r="AI166" s="344"/>
      <c r="AJ166" s="344"/>
      <c r="AK166" s="344"/>
      <c r="AL166" s="344"/>
      <c r="AM166" s="344"/>
      <c r="AN166" s="344"/>
      <c r="AO166" s="344"/>
      <c r="AP166" s="344"/>
      <c r="AQ166" s="344"/>
      <c r="AR166" s="344"/>
    </row>
    <row r="167" spans="1:44" s="407" customFormat="1" ht="33.75" customHeight="1" thickBot="1" x14ac:dyDescent="0.3">
      <c r="A167" s="1774" t="s">
        <v>315</v>
      </c>
      <c r="B167" s="1775"/>
      <c r="C167" s="1775"/>
      <c r="D167" s="1775"/>
      <c r="E167" s="1775"/>
      <c r="F167" s="1775"/>
      <c r="G167" s="1776"/>
      <c r="H167" s="1774" t="s">
        <v>335</v>
      </c>
      <c r="I167" s="1775"/>
      <c r="J167" s="1775"/>
      <c r="K167" s="1775"/>
      <c r="L167" s="1775"/>
      <c r="M167" s="1775"/>
      <c r="N167" s="1776"/>
      <c r="O167" s="355"/>
      <c r="P167" s="344"/>
      <c r="Q167" s="344"/>
      <c r="R167" s="344"/>
      <c r="S167" s="344"/>
      <c r="T167" s="344"/>
      <c r="U167" s="344"/>
      <c r="V167" s="344"/>
      <c r="W167" s="344"/>
      <c r="X167" s="344"/>
      <c r="Y167" s="344"/>
      <c r="Z167" s="344"/>
      <c r="AA167" s="344"/>
      <c r="AB167" s="344"/>
      <c r="AC167" s="344"/>
      <c r="AD167" s="344"/>
      <c r="AE167" s="344"/>
      <c r="AF167" s="344"/>
      <c r="AG167" s="344"/>
      <c r="AH167" s="344"/>
      <c r="AI167" s="344"/>
      <c r="AJ167" s="344"/>
      <c r="AK167" s="344"/>
      <c r="AL167" s="344"/>
      <c r="AM167" s="344"/>
      <c r="AN167" s="344"/>
      <c r="AO167" s="344"/>
      <c r="AP167" s="344"/>
      <c r="AQ167" s="344"/>
      <c r="AR167" s="344"/>
    </row>
    <row r="168" spans="1:44" s="407" customFormat="1" ht="42" customHeight="1" thickBot="1" x14ac:dyDescent="0.3">
      <c r="A168" s="1774" t="s">
        <v>272</v>
      </c>
      <c r="B168" s="1775"/>
      <c r="C168" s="1775"/>
      <c r="D168" s="1775"/>
      <c r="E168" s="1775"/>
      <c r="F168" s="1775"/>
      <c r="G168" s="1776"/>
      <c r="H168" s="1774" t="s">
        <v>337</v>
      </c>
      <c r="I168" s="1775"/>
      <c r="J168" s="1775"/>
      <c r="K168" s="1775"/>
      <c r="L168" s="1775"/>
      <c r="M168" s="1775"/>
      <c r="N168" s="1776"/>
      <c r="O168" s="355"/>
      <c r="P168" s="344"/>
      <c r="Q168" s="344"/>
      <c r="R168" s="344"/>
      <c r="S168" s="344"/>
      <c r="T168" s="344"/>
      <c r="U168" s="344"/>
      <c r="V168" s="344"/>
      <c r="W168" s="344"/>
      <c r="X168" s="344"/>
      <c r="Y168" s="344"/>
      <c r="Z168" s="344"/>
      <c r="AA168" s="344"/>
      <c r="AB168" s="344"/>
      <c r="AC168" s="344"/>
      <c r="AD168" s="344"/>
      <c r="AE168" s="344"/>
      <c r="AF168" s="344"/>
      <c r="AG168" s="344"/>
      <c r="AH168" s="344"/>
      <c r="AI168" s="344"/>
      <c r="AJ168" s="344"/>
      <c r="AK168" s="344"/>
      <c r="AL168" s="344"/>
      <c r="AM168" s="344"/>
      <c r="AN168" s="344"/>
      <c r="AO168" s="344"/>
      <c r="AP168" s="344"/>
      <c r="AQ168" s="344"/>
      <c r="AR168" s="344"/>
    </row>
    <row r="171" spans="1:44" x14ac:dyDescent="0.25">
      <c r="F171" s="522"/>
      <c r="G171" s="406"/>
      <c r="H171" s="406"/>
      <c r="I171" s="406"/>
      <c r="J171" s="406"/>
      <c r="K171" s="406"/>
      <c r="L171" s="406"/>
      <c r="M171" s="406"/>
      <c r="N171" s="406"/>
      <c r="O171" s="382"/>
    </row>
    <row r="172" spans="1:44" x14ac:dyDescent="0.25">
      <c r="F172" s="405"/>
      <c r="G172" s="407"/>
      <c r="H172" s="407"/>
      <c r="I172" s="407"/>
      <c r="J172" s="407"/>
      <c r="K172" s="407"/>
      <c r="L172" s="407"/>
      <c r="M172" s="407"/>
      <c r="N172" s="407"/>
      <c r="O172" s="382"/>
    </row>
    <row r="173" spans="1:44" x14ac:dyDescent="0.25">
      <c r="F173" s="405"/>
      <c r="G173" s="407"/>
      <c r="H173" s="407"/>
      <c r="I173" s="407"/>
      <c r="J173" s="407"/>
      <c r="K173" s="407"/>
      <c r="L173" s="407"/>
      <c r="M173" s="407"/>
      <c r="N173" s="407"/>
      <c r="O173" s="382"/>
    </row>
    <row r="174" spans="1:44" x14ac:dyDescent="0.25">
      <c r="F174" s="405"/>
      <c r="G174" s="407"/>
      <c r="H174" s="407"/>
      <c r="I174" s="407"/>
      <c r="J174" s="407"/>
      <c r="K174" s="407"/>
      <c r="L174" s="407"/>
      <c r="M174" s="407"/>
      <c r="N174" s="407"/>
      <c r="O174" s="382"/>
    </row>
    <row r="175" spans="1:44" x14ac:dyDescent="0.25">
      <c r="F175" s="405"/>
    </row>
    <row r="176" spans="1:44" x14ac:dyDescent="0.25">
      <c r="F176" s="405"/>
    </row>
    <row r="179" spans="1:6" x14ac:dyDescent="0.25">
      <c r="A179" s="406"/>
      <c r="B179" s="406"/>
      <c r="C179" s="406"/>
      <c r="D179" s="406"/>
      <c r="E179" s="406"/>
      <c r="F179" s="406"/>
    </row>
    <row r="180" spans="1:6" x14ac:dyDescent="0.25">
      <c r="A180" s="407"/>
      <c r="B180" s="407"/>
      <c r="C180" s="407"/>
      <c r="D180" s="407"/>
      <c r="E180" s="407"/>
      <c r="F180" s="407"/>
    </row>
    <row r="181" spans="1:6" x14ac:dyDescent="0.25">
      <c r="A181" s="407"/>
      <c r="B181" s="407"/>
      <c r="C181" s="407"/>
      <c r="D181" s="407"/>
      <c r="E181" s="407"/>
      <c r="F181" s="407"/>
    </row>
    <row r="182" spans="1:6" x14ac:dyDescent="0.25">
      <c r="A182" s="407"/>
      <c r="B182" s="407"/>
      <c r="C182" s="407"/>
      <c r="D182" s="407"/>
      <c r="E182" s="407"/>
      <c r="F182" s="407"/>
    </row>
  </sheetData>
  <mergeCells count="50">
    <mergeCell ref="T19:V19"/>
    <mergeCell ref="S29:V29"/>
    <mergeCell ref="E51:M51"/>
    <mergeCell ref="A53:N53"/>
    <mergeCell ref="A30:F30"/>
    <mergeCell ref="I30:N30"/>
    <mergeCell ref="A48:O48"/>
    <mergeCell ref="A49:O49"/>
    <mergeCell ref="A50:O50"/>
    <mergeCell ref="A1:O1"/>
    <mergeCell ref="A2:O2"/>
    <mergeCell ref="A3:O3"/>
    <mergeCell ref="E4:M4"/>
    <mergeCell ref="A5:N5"/>
    <mergeCell ref="A88:O88"/>
    <mergeCell ref="A87:O87"/>
    <mergeCell ref="A8:F8"/>
    <mergeCell ref="I8:N8"/>
    <mergeCell ref="A109:F109"/>
    <mergeCell ref="I109:N109"/>
    <mergeCell ref="A57:F57"/>
    <mergeCell ref="I57:N57"/>
    <mergeCell ref="A73:F73"/>
    <mergeCell ref="I73:N73"/>
    <mergeCell ref="A89:O89"/>
    <mergeCell ref="E90:M90"/>
    <mergeCell ref="A92:N92"/>
    <mergeCell ref="A96:F96"/>
    <mergeCell ref="I96:N96"/>
    <mergeCell ref="A131:N131"/>
    <mergeCell ref="A134:F134"/>
    <mergeCell ref="A144:F144"/>
    <mergeCell ref="I144:N144"/>
    <mergeCell ref="I134:N134"/>
    <mergeCell ref="F6:J6"/>
    <mergeCell ref="F54:J54"/>
    <mergeCell ref="F93:J93"/>
    <mergeCell ref="F132:J132"/>
    <mergeCell ref="A168:G168"/>
    <mergeCell ref="H166:N166"/>
    <mergeCell ref="H167:N167"/>
    <mergeCell ref="H168:N168"/>
    <mergeCell ref="A127:O127"/>
    <mergeCell ref="A128:O128"/>
    <mergeCell ref="A129:O129"/>
    <mergeCell ref="A166:G166"/>
    <mergeCell ref="A167:G167"/>
    <mergeCell ref="A165:G165"/>
    <mergeCell ref="H165:N165"/>
    <mergeCell ref="E130:M130"/>
  </mergeCells>
  <printOptions horizontalCentered="1"/>
  <pageMargins left="0.27559055118110237" right="0.39370078740157483" top="0.19685039370078741" bottom="0.19685039370078741" header="0.31496062992125984" footer="0.31496062992125984"/>
  <pageSetup scale="33" orientation="landscape" r:id="rId1"/>
  <rowBreaks count="3" manualBreakCount="3">
    <brk id="47" max="23" man="1"/>
    <brk id="86" max="23" man="1"/>
    <brk id="126" max="23" man="1"/>
  </rowBreaks>
  <colBreaks count="1" manualBreakCount="1">
    <brk id="14" max="157"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M48"/>
  <sheetViews>
    <sheetView view="pageBreakPreview" zoomScale="80" zoomScaleSheetLayoutView="80" workbookViewId="0">
      <selection activeCell="E36" sqref="E36"/>
    </sheetView>
  </sheetViews>
  <sheetFormatPr baseColWidth="10" defaultRowHeight="15" x14ac:dyDescent="0.25"/>
  <cols>
    <col min="1" max="1" width="43.140625" style="73" customWidth="1"/>
    <col min="2" max="2" width="23.140625" style="73" customWidth="1"/>
    <col min="3" max="3" width="22" style="73" customWidth="1"/>
    <col min="4" max="4" width="21" style="73" customWidth="1"/>
    <col min="5" max="5" width="20.85546875" style="73" customWidth="1"/>
    <col min="6" max="6" width="22" style="73" customWidth="1"/>
    <col min="7" max="7" width="24.42578125" style="73" customWidth="1"/>
    <col min="8" max="8" width="18.85546875" style="73" customWidth="1"/>
    <col min="9" max="9" width="11.42578125" style="73"/>
    <col min="10" max="10" width="19.85546875" style="73" customWidth="1"/>
    <col min="11" max="11" width="11.42578125" style="73"/>
    <col min="12" max="12" width="19.140625" style="73" customWidth="1"/>
    <col min="13" max="16384" width="11.42578125" style="73"/>
  </cols>
  <sheetData>
    <row r="1" spans="1:13" ht="15.75" x14ac:dyDescent="0.25">
      <c r="A1" s="1794" t="str">
        <f>[4]MAYORES!A1</f>
        <v>REPÚBLICA BOLIVARIANA DE VENEZUELA</v>
      </c>
      <c r="B1" s="1794"/>
      <c r="C1" s="1794"/>
      <c r="D1" s="1794"/>
      <c r="E1" s="1794"/>
      <c r="F1" s="456"/>
      <c r="G1" s="456"/>
      <c r="H1" s="456"/>
      <c r="I1" s="456"/>
      <c r="L1" s="457"/>
      <c r="M1" s="457"/>
    </row>
    <row r="2" spans="1:13" ht="15.75" x14ac:dyDescent="0.25">
      <c r="A2" s="1795" t="str">
        <f>[4]MAYORES!A2</f>
        <v>SERVICIO ADMINISTRATIVO DE PROTECCIÓN DEL NIÑO, NIÑA Y ADOLESCENTE DEL ESTADO TRUJILLO</v>
      </c>
      <c r="B2" s="1795"/>
      <c r="C2" s="1795"/>
      <c r="D2" s="1795"/>
      <c r="E2" s="1795"/>
      <c r="F2" s="458"/>
      <c r="G2" s="458"/>
      <c r="H2" s="458"/>
      <c r="I2" s="458"/>
      <c r="L2" s="457"/>
      <c r="M2" s="457"/>
    </row>
    <row r="3" spans="1:13" ht="15.75" x14ac:dyDescent="0.25">
      <c r="A3" s="1794" t="str">
        <f>[4]MAYORES!A3</f>
        <v>DIRECCIÓN DE ADMINISTRACIÓN - UNIDAD DE CONTABILIDAD</v>
      </c>
      <c r="B3" s="1794"/>
      <c r="C3" s="1794"/>
      <c r="D3" s="1794"/>
      <c r="E3" s="1794"/>
      <c r="F3" s="456"/>
      <c r="G3" s="456"/>
      <c r="H3" s="456"/>
      <c r="I3" s="456"/>
      <c r="L3" s="457"/>
      <c r="M3" s="457"/>
    </row>
    <row r="4" spans="1:13" ht="15.75" x14ac:dyDescent="0.25">
      <c r="A4" s="142"/>
      <c r="B4" s="142"/>
      <c r="C4" s="142"/>
      <c r="D4" s="459"/>
      <c r="E4" s="460"/>
    </row>
    <row r="5" spans="1:13" ht="18.75" x14ac:dyDescent="0.25">
      <c r="A5" s="1796" t="s">
        <v>194</v>
      </c>
      <c r="B5" s="1796"/>
      <c r="C5" s="1796"/>
      <c r="D5" s="1796"/>
      <c r="E5" s="1796"/>
      <c r="F5" s="311"/>
      <c r="G5" s="443">
        <f>+E10+E11+E12+E13+E15+E16+E18+0.002</f>
        <v>99504003.392000034</v>
      </c>
      <c r="H5" s="443">
        <f>+MAYORES!F42</f>
        <v>203173.96</v>
      </c>
      <c r="I5" s="311"/>
    </row>
    <row r="6" spans="1:13" ht="19.5" thickBot="1" x14ac:dyDescent="0.3">
      <c r="A6" s="1797" t="s">
        <v>499</v>
      </c>
      <c r="B6" s="1797"/>
      <c r="C6" s="1797"/>
      <c r="D6" s="1797"/>
      <c r="E6" s="1797"/>
      <c r="F6" s="443">
        <f>+B20+D20-C20</f>
        <v>0</v>
      </c>
      <c r="G6" s="443"/>
      <c r="H6" s="311"/>
      <c r="I6" s="311"/>
    </row>
    <row r="7" spans="1:13" ht="19.5" hidden="1" thickBot="1" x14ac:dyDescent="0.3">
      <c r="A7" s="318"/>
      <c r="B7" s="461"/>
      <c r="C7" s="461"/>
      <c r="D7" s="461"/>
      <c r="E7" s="461"/>
      <c r="F7" s="311"/>
      <c r="G7" s="311"/>
      <c r="H7" s="311"/>
      <c r="I7" s="311"/>
    </row>
    <row r="8" spans="1:13" ht="18" customHeight="1" thickBot="1" x14ac:dyDescent="0.3">
      <c r="A8" s="318"/>
      <c r="B8" s="1789">
        <v>45657</v>
      </c>
      <c r="C8" s="1791" t="s">
        <v>500</v>
      </c>
      <c r="D8" s="1792"/>
      <c r="E8" s="1793"/>
      <c r="F8" s="311"/>
      <c r="G8" s="311"/>
      <c r="H8" s="311"/>
      <c r="I8" s="311"/>
    </row>
    <row r="9" spans="1:13" ht="18" customHeight="1" thickBot="1" x14ac:dyDescent="0.3">
      <c r="A9" s="153"/>
      <c r="B9" s="1790"/>
      <c r="C9" s="952" t="s">
        <v>10</v>
      </c>
      <c r="D9" s="952" t="s">
        <v>11</v>
      </c>
      <c r="E9" s="952" t="s">
        <v>20</v>
      </c>
    </row>
    <row r="10" spans="1:13" ht="18" customHeight="1" x14ac:dyDescent="0.25">
      <c r="A10" s="154" t="s">
        <v>209</v>
      </c>
      <c r="B10" s="203">
        <f>+MAYORES!$C$10</f>
        <v>11120.3</v>
      </c>
      <c r="C10" s="932">
        <f>+MAYORES!D26</f>
        <v>2552765.1800000006</v>
      </c>
      <c r="D10" s="201">
        <f>+MAYORES!E26</f>
        <v>2531518.4699999969</v>
      </c>
      <c r="E10" s="203">
        <f>+B10+C10-D10</f>
        <v>32367.010000003502</v>
      </c>
      <c r="F10" s="158">
        <f>+E10-MAYORES!F26</f>
        <v>0</v>
      </c>
      <c r="G10" s="74">
        <f>+B10+C10-D10</f>
        <v>32367.010000003502</v>
      </c>
      <c r="H10" s="74">
        <f>+E10-G10</f>
        <v>0</v>
      </c>
      <c r="J10" s="74">
        <f>+E10+E11+E12+E13+E15+E16</f>
        <v>95811865.380000025</v>
      </c>
      <c r="L10" s="74"/>
      <c r="M10" s="74"/>
    </row>
    <row r="11" spans="1:13" ht="18" customHeight="1" x14ac:dyDescent="0.25">
      <c r="A11" s="154" t="s">
        <v>210</v>
      </c>
      <c r="B11" s="203">
        <f>+MAYORES!$K$10</f>
        <v>0</v>
      </c>
      <c r="C11" s="932">
        <f>+MAYORES!L26</f>
        <v>49571513.469999999</v>
      </c>
      <c r="D11" s="201">
        <f>+MAYORES!M26</f>
        <v>2552627.8000000003</v>
      </c>
      <c r="E11" s="203">
        <f t="shared" ref="E11:E17" si="0">+B11+C11-D11</f>
        <v>47018885.670000002</v>
      </c>
      <c r="F11" s="158">
        <f>+E11-MAYORES!N26</f>
        <v>0</v>
      </c>
      <c r="G11" s="74">
        <f>+B11+C11-D11</f>
        <v>47018885.670000002</v>
      </c>
      <c r="H11" s="74">
        <f t="shared" ref="H11:H29" si="1">+E11-G11</f>
        <v>0</v>
      </c>
      <c r="J11" s="73">
        <f>1559691.63+2065962.77+376556.79+3625375.58+12841.39+3604486.12</f>
        <v>11244914.279999999</v>
      </c>
      <c r="L11" s="74"/>
      <c r="M11" s="74"/>
    </row>
    <row r="12" spans="1:13" ht="18" customHeight="1" x14ac:dyDescent="0.25">
      <c r="A12" s="154" t="s">
        <v>211</v>
      </c>
      <c r="B12" s="203">
        <f>+MAYORES!$C$32</f>
        <v>61484.600000000006</v>
      </c>
      <c r="C12" s="932">
        <f>+MAYORES!D42</f>
        <v>188006.91999999998</v>
      </c>
      <c r="D12" s="201">
        <f>+MAYORES!E42</f>
        <v>46317.56</v>
      </c>
      <c r="E12" s="203">
        <f t="shared" si="0"/>
        <v>203173.96</v>
      </c>
      <c r="F12" s="158">
        <f>+E12-MAYORES!F42</f>
        <v>0</v>
      </c>
      <c r="G12" s="74">
        <f t="shared" ref="G12:G19" si="2">+B12+C12-D12</f>
        <v>203173.96</v>
      </c>
      <c r="H12" s="74">
        <f t="shared" si="1"/>
        <v>0</v>
      </c>
      <c r="J12" s="73">
        <f>278.83+376556.79+3625375.58+7254714.19</f>
        <v>11256925.390000001</v>
      </c>
      <c r="L12" s="74"/>
      <c r="M12" s="74"/>
    </row>
    <row r="13" spans="1:13" ht="18" customHeight="1" x14ac:dyDescent="0.25">
      <c r="A13" s="154" t="s">
        <v>212</v>
      </c>
      <c r="B13" s="203">
        <f>+MAYORES!$K$32</f>
        <v>10568.719999996014</v>
      </c>
      <c r="C13" s="932">
        <f>+MAYORES!L42</f>
        <v>45879375.460000008</v>
      </c>
      <c r="D13" s="201">
        <f>+MAYORES!M42</f>
        <v>10568.720000001136</v>
      </c>
      <c r="E13" s="203">
        <f t="shared" si="0"/>
        <v>45879375.460000008</v>
      </c>
      <c r="F13" s="158">
        <f>+E13-MAYORES!N42</f>
        <v>0</v>
      </c>
      <c r="G13" s="74">
        <f t="shared" si="2"/>
        <v>45879375.460000008</v>
      </c>
      <c r="H13" s="74">
        <f t="shared" si="1"/>
        <v>0</v>
      </c>
      <c r="L13" s="74"/>
      <c r="M13" s="74"/>
    </row>
    <row r="14" spans="1:13" ht="18" customHeight="1" x14ac:dyDescent="0.25">
      <c r="A14" s="154" t="s">
        <v>213</v>
      </c>
      <c r="B14" s="203">
        <f>+MAYORES!$C$59</f>
        <v>0</v>
      </c>
      <c r="C14" s="932">
        <v>0</v>
      </c>
      <c r="D14" s="201">
        <v>0</v>
      </c>
      <c r="E14" s="203">
        <f t="shared" si="0"/>
        <v>0</v>
      </c>
      <c r="F14" s="158">
        <f>+E14-MAYORES!F67</f>
        <v>0</v>
      </c>
      <c r="G14" s="74">
        <f t="shared" si="2"/>
        <v>0</v>
      </c>
      <c r="H14" s="74">
        <f t="shared" si="1"/>
        <v>0</v>
      </c>
      <c r="L14" s="759"/>
      <c r="M14" s="74"/>
    </row>
    <row r="15" spans="1:13" ht="18" customHeight="1" x14ac:dyDescent="0.25">
      <c r="A15" s="154" t="s">
        <v>214</v>
      </c>
      <c r="B15" s="620">
        <f>+MAYORES!$K$59</f>
        <v>1993279.07</v>
      </c>
      <c r="C15" s="932">
        <f>+MAYORES!L67</f>
        <v>131461.04999999999</v>
      </c>
      <c r="D15" s="201">
        <f>+MAYORES!M67</f>
        <v>0</v>
      </c>
      <c r="E15" s="620">
        <f>+B15+C15-D15</f>
        <v>2124740.12</v>
      </c>
      <c r="F15" s="158">
        <f>+E15-MAYORES!N67</f>
        <v>0</v>
      </c>
      <c r="G15" s="74">
        <f t="shared" si="2"/>
        <v>2124740.12</v>
      </c>
      <c r="H15" s="74">
        <f t="shared" si="1"/>
        <v>0</v>
      </c>
      <c r="L15" s="74"/>
      <c r="M15" s="74"/>
    </row>
    <row r="16" spans="1:13" ht="18" customHeight="1" x14ac:dyDescent="0.25">
      <c r="A16" s="154" t="s">
        <v>215</v>
      </c>
      <c r="B16" s="203">
        <f>+MAYORES!$C$75</f>
        <v>671048.29999999981</v>
      </c>
      <c r="C16" s="932">
        <f>+MAYORES!D83</f>
        <v>6094.99</v>
      </c>
      <c r="D16" s="201">
        <f>+MAYORES!E83</f>
        <v>123820.13</v>
      </c>
      <c r="E16" s="203">
        <f t="shared" si="0"/>
        <v>553323.1599999998</v>
      </c>
      <c r="F16" s="158">
        <f>+E16-MAYORES!F83</f>
        <v>0</v>
      </c>
      <c r="G16" s="74">
        <f t="shared" si="2"/>
        <v>553323.1599999998</v>
      </c>
      <c r="H16" s="74">
        <f t="shared" si="1"/>
        <v>0</v>
      </c>
      <c r="L16" s="74"/>
      <c r="M16" s="74"/>
    </row>
    <row r="17" spans="1:13" ht="18" customHeight="1" x14ac:dyDescent="0.25">
      <c r="A17" s="154" t="s">
        <v>463</v>
      </c>
      <c r="B17" s="203">
        <f>+MAYORES!C136</f>
        <v>0</v>
      </c>
      <c r="C17" s="932">
        <f>+MAYORES!D141</f>
        <v>0</v>
      </c>
      <c r="D17" s="201">
        <f>+MAYORES!E141</f>
        <v>0</v>
      </c>
      <c r="E17" s="203">
        <f t="shared" si="0"/>
        <v>0</v>
      </c>
      <c r="F17" s="158"/>
      <c r="G17" s="74"/>
      <c r="H17" s="74"/>
      <c r="L17" s="74"/>
      <c r="M17" s="74"/>
    </row>
    <row r="18" spans="1:13" ht="18" customHeight="1" x14ac:dyDescent="0.25">
      <c r="A18" s="154" t="s">
        <v>216</v>
      </c>
      <c r="B18" s="203">
        <f>+MAYORES!$K$75</f>
        <v>0</v>
      </c>
      <c r="C18" s="932">
        <f>+MAYORES!L83</f>
        <v>3692138.01</v>
      </c>
      <c r="D18" s="201">
        <f>+MAYORES!M83</f>
        <v>0</v>
      </c>
      <c r="E18" s="203">
        <f>+B18+C18-D18</f>
        <v>3692138.01</v>
      </c>
      <c r="F18" s="158">
        <f>+E18-MAYORES!N83</f>
        <v>0</v>
      </c>
      <c r="G18" s="74">
        <f t="shared" si="2"/>
        <v>3692138.01</v>
      </c>
      <c r="H18" s="74">
        <f t="shared" si="1"/>
        <v>0</v>
      </c>
      <c r="L18" s="74"/>
      <c r="M18" s="74"/>
    </row>
    <row r="19" spans="1:13" ht="18" customHeight="1" x14ac:dyDescent="0.25">
      <c r="A19" s="154"/>
      <c r="B19" s="613">
        <f>SUM(B10:B18)</f>
        <v>2747500.9899999956</v>
      </c>
      <c r="C19" s="932"/>
      <c r="D19" s="201"/>
      <c r="E19" s="621">
        <f>SUM(E10:E18)</f>
        <v>99504003.39000003</v>
      </c>
      <c r="F19" s="74">
        <f>+E10+E11+E12+E13+E14+E15+E16+E18</f>
        <v>99504003.39000003</v>
      </c>
      <c r="G19" s="74">
        <f t="shared" si="2"/>
        <v>2747500.9899999956</v>
      </c>
      <c r="H19" s="74">
        <f>+E19-G19</f>
        <v>96756502.400000036</v>
      </c>
      <c r="L19" s="74"/>
      <c r="M19" s="74"/>
    </row>
    <row r="20" spans="1:13" ht="18" customHeight="1" x14ac:dyDescent="0.25">
      <c r="A20" s="154" t="s">
        <v>217</v>
      </c>
      <c r="B20" s="203">
        <f>+MAYORES!$C$98</f>
        <v>551.57999999867752</v>
      </c>
      <c r="C20" s="932">
        <f>+MAYORES!D105</f>
        <v>2520812.3699999973</v>
      </c>
      <c r="D20" s="201">
        <f>+MAYORES!E105</f>
        <v>2520260.79</v>
      </c>
      <c r="E20" s="203">
        <f t="shared" ref="E20:E26" si="3">+B20-C20+D20</f>
        <v>0</v>
      </c>
      <c r="F20" s="158">
        <f>+E20-MAYORES!F105</f>
        <v>0</v>
      </c>
      <c r="G20" s="74">
        <f>+B20-C20+D20</f>
        <v>0</v>
      </c>
      <c r="H20" s="74">
        <f t="shared" si="1"/>
        <v>0</v>
      </c>
      <c r="L20" s="74"/>
      <c r="M20" s="74"/>
    </row>
    <row r="21" spans="1:13" ht="18" customHeight="1" x14ac:dyDescent="0.25">
      <c r="A21" s="155" t="s">
        <v>218</v>
      </c>
      <c r="B21" s="203">
        <f>+MAYORES!$K$98</f>
        <v>0</v>
      </c>
      <c r="C21" s="932">
        <f>+MAYORES!L105</f>
        <v>2520260.79</v>
      </c>
      <c r="D21" s="201">
        <f>+MAYORES!M105</f>
        <v>3692138.01</v>
      </c>
      <c r="E21" s="203">
        <f t="shared" si="3"/>
        <v>1171877.2199999997</v>
      </c>
      <c r="F21" s="158">
        <f>+E21-MAYORES!N105</f>
        <v>0</v>
      </c>
      <c r="G21" s="74">
        <f t="shared" ref="G21:G29" si="4">+B21-C21+D21</f>
        <v>1171877.2199999997</v>
      </c>
      <c r="H21" s="74">
        <f t="shared" si="1"/>
        <v>0</v>
      </c>
      <c r="L21" s="74"/>
      <c r="M21" s="74"/>
    </row>
    <row r="22" spans="1:13" ht="18" customHeight="1" x14ac:dyDescent="0.25">
      <c r="A22" s="154" t="s">
        <v>219</v>
      </c>
      <c r="B22" s="203">
        <f>+MAYORES!$C$111</f>
        <v>61484.600000000006</v>
      </c>
      <c r="C22" s="932">
        <f>+MAYORES!D121</f>
        <v>46317.56</v>
      </c>
      <c r="D22" s="201">
        <f>+MAYORES!E121</f>
        <v>188006.91999999998</v>
      </c>
      <c r="E22" s="203">
        <f t="shared" si="3"/>
        <v>203173.96</v>
      </c>
      <c r="F22" s="158">
        <f>+E22-MAYORES!F121</f>
        <v>0</v>
      </c>
      <c r="G22" s="74">
        <f t="shared" si="4"/>
        <v>203173.96</v>
      </c>
      <c r="H22" s="74">
        <f t="shared" si="1"/>
        <v>0</v>
      </c>
      <c r="L22" s="74"/>
      <c r="M22" s="74"/>
    </row>
    <row r="23" spans="1:13" ht="31.5" customHeight="1" x14ac:dyDescent="0.25">
      <c r="A23" s="154" t="s">
        <v>220</v>
      </c>
      <c r="B23" s="203">
        <f>+MAYORES!$K$111</f>
        <v>10568.719999996014</v>
      </c>
      <c r="C23" s="932">
        <f>+MAYORES!L121</f>
        <v>10568.720000001136</v>
      </c>
      <c r="D23" s="201">
        <f>+MAYORES!M121</f>
        <v>45879375.460000008</v>
      </c>
      <c r="E23" s="203">
        <f t="shared" si="3"/>
        <v>45879375.460000001</v>
      </c>
      <c r="F23" s="158">
        <f>+E23-MAYORES!N121</f>
        <v>0</v>
      </c>
      <c r="G23" s="74">
        <f t="shared" si="4"/>
        <v>45879375.460000001</v>
      </c>
      <c r="H23" s="74">
        <f t="shared" si="1"/>
        <v>0</v>
      </c>
      <c r="L23" s="74"/>
      <c r="M23" s="74"/>
    </row>
    <row r="24" spans="1:13" ht="18" customHeight="1" x14ac:dyDescent="0.25">
      <c r="A24" s="154" t="s">
        <v>221</v>
      </c>
      <c r="B24" s="203">
        <v>0</v>
      </c>
      <c r="C24" s="932">
        <v>0</v>
      </c>
      <c r="D24" s="201">
        <v>0</v>
      </c>
      <c r="E24" s="203">
        <f t="shared" si="3"/>
        <v>0</v>
      </c>
      <c r="F24" s="158">
        <f>+E24</f>
        <v>0</v>
      </c>
      <c r="G24" s="74">
        <f t="shared" si="4"/>
        <v>0</v>
      </c>
      <c r="H24" s="74">
        <f t="shared" si="1"/>
        <v>0</v>
      </c>
      <c r="L24" s="74"/>
      <c r="M24" s="74"/>
    </row>
    <row r="25" spans="1:13" ht="18" customHeight="1" x14ac:dyDescent="0.25">
      <c r="A25" s="154" t="s">
        <v>222</v>
      </c>
      <c r="B25" s="620">
        <f>+MAYORES!$C$146</f>
        <v>2674896.0899999989</v>
      </c>
      <c r="C25" s="932">
        <f>+MAYORES!D157</f>
        <v>134388.85</v>
      </c>
      <c r="D25" s="201">
        <f>+MAYORES!E157</f>
        <v>137556.03999999998</v>
      </c>
      <c r="E25" s="620">
        <f t="shared" si="3"/>
        <v>2678063.2799999989</v>
      </c>
      <c r="F25" s="158">
        <f>+E25-MAYORES!F157</f>
        <v>0</v>
      </c>
      <c r="G25" s="74">
        <f>+B25-C25+D25</f>
        <v>2678063.2799999989</v>
      </c>
      <c r="H25" s="74">
        <f t="shared" si="1"/>
        <v>0</v>
      </c>
      <c r="L25" s="158"/>
      <c r="M25" s="74"/>
    </row>
    <row r="26" spans="1:13" ht="18" customHeight="1" x14ac:dyDescent="0.25">
      <c r="A26" s="154" t="s">
        <v>223</v>
      </c>
      <c r="B26" s="203">
        <f>+MAYORES!$K$146</f>
        <v>0</v>
      </c>
      <c r="C26" s="932">
        <f>+MAYORES!L157</f>
        <v>0</v>
      </c>
      <c r="D26" s="201">
        <f>+MAYORES!M157</f>
        <v>49571513.469999999</v>
      </c>
      <c r="E26" s="304">
        <f t="shared" si="3"/>
        <v>49571513.469999999</v>
      </c>
      <c r="F26" s="158">
        <f>+E26-MAYORES!N157</f>
        <v>0</v>
      </c>
      <c r="G26" s="74">
        <f t="shared" si="4"/>
        <v>49571513.469999999</v>
      </c>
      <c r="H26" s="74">
        <f t="shared" si="1"/>
        <v>0</v>
      </c>
      <c r="L26" s="74"/>
      <c r="M26" s="74"/>
    </row>
    <row r="27" spans="1:13" ht="18" customHeight="1" thickBot="1" x14ac:dyDescent="0.3">
      <c r="A27" s="154" t="s">
        <v>253</v>
      </c>
      <c r="B27" s="931">
        <f>+MAYORES!$K$136</f>
        <v>0</v>
      </c>
      <c r="C27" s="933">
        <v>0</v>
      </c>
      <c r="D27" s="526">
        <v>0</v>
      </c>
      <c r="E27" s="525">
        <v>0</v>
      </c>
      <c r="F27" s="158">
        <f>+E27-[11]MAYORES!N131</f>
        <v>4.6568651712597386E-15</v>
      </c>
      <c r="G27" s="74">
        <f t="shared" si="4"/>
        <v>0</v>
      </c>
      <c r="H27" s="74">
        <f t="shared" si="1"/>
        <v>0</v>
      </c>
      <c r="L27" s="74"/>
      <c r="M27" s="74"/>
    </row>
    <row r="28" spans="1:13" ht="18" customHeight="1" thickBot="1" x14ac:dyDescent="0.3">
      <c r="A28" s="153"/>
      <c r="B28" s="239">
        <f>SUM(B20:B27)</f>
        <v>2747500.9899999937</v>
      </c>
      <c r="C28" s="240">
        <f>SUM(C10:C27)</f>
        <v>107253703.36999999</v>
      </c>
      <c r="D28" s="240">
        <f>SUM(D10:D27)</f>
        <v>107253703.37</v>
      </c>
      <c r="E28" s="622">
        <f>SUM(E20:E27)</f>
        <v>99504003.390000001</v>
      </c>
      <c r="F28" s="74">
        <f>+E20+E21+E22+E23+E24+E25+E26+E27</f>
        <v>99504003.390000001</v>
      </c>
      <c r="G28" s="74">
        <f t="shared" si="4"/>
        <v>2747500.9900000095</v>
      </c>
      <c r="H28" s="74">
        <f t="shared" si="1"/>
        <v>96756502.399999991</v>
      </c>
    </row>
    <row r="29" spans="1:13" s="226" customFormat="1" ht="11.25" customHeight="1" thickBot="1" x14ac:dyDescent="0.3">
      <c r="A29" s="303"/>
      <c r="B29" s="152"/>
      <c r="C29" s="152"/>
      <c r="D29" s="152"/>
      <c r="E29" s="152"/>
      <c r="F29" s="444">
        <f>+B19-B28</f>
        <v>0</v>
      </c>
      <c r="G29" s="74">
        <f t="shared" si="4"/>
        <v>0</v>
      </c>
      <c r="H29" s="74">
        <f t="shared" si="1"/>
        <v>0</v>
      </c>
      <c r="J29" s="444"/>
      <c r="L29" s="444"/>
    </row>
    <row r="30" spans="1:13" ht="16.5" thickBot="1" x14ac:dyDescent="0.3">
      <c r="A30" s="1756" t="s">
        <v>163</v>
      </c>
      <c r="B30" s="1758"/>
      <c r="C30" s="1756" t="s">
        <v>84</v>
      </c>
      <c r="D30" s="1757"/>
      <c r="E30" s="1758"/>
      <c r="F30" s="491">
        <f>+E19-E28</f>
        <v>0</v>
      </c>
      <c r="G30" s="74"/>
      <c r="H30" s="74"/>
    </row>
    <row r="31" spans="1:13" ht="42" customHeight="1" thickBot="1" x14ac:dyDescent="0.3">
      <c r="A31" s="1800"/>
      <c r="B31" s="1801"/>
      <c r="C31" s="1802"/>
      <c r="D31" s="1803"/>
      <c r="E31" s="1804"/>
      <c r="F31" s="74">
        <f>577854882.79-577854882.79</f>
        <v>0</v>
      </c>
    </row>
    <row r="32" spans="1:13" ht="15.75" customHeight="1" thickBot="1" x14ac:dyDescent="0.3">
      <c r="A32" s="1798" t="s">
        <v>315</v>
      </c>
      <c r="B32" s="1799"/>
      <c r="C32" s="1798" t="s">
        <v>335</v>
      </c>
      <c r="D32" s="1805"/>
      <c r="E32" s="1799"/>
      <c r="G32" s="74"/>
    </row>
    <row r="33" spans="1:8" ht="16.5" customHeight="1" thickBot="1" x14ac:dyDescent="0.3">
      <c r="A33" s="1798" t="s">
        <v>272</v>
      </c>
      <c r="B33" s="1799"/>
      <c r="C33" s="1798" t="s">
        <v>337</v>
      </c>
      <c r="D33" s="1805"/>
      <c r="E33" s="1799"/>
      <c r="F33" s="74">
        <f>+E19-E28</f>
        <v>0</v>
      </c>
    </row>
    <row r="34" spans="1:8" x14ac:dyDescent="0.25">
      <c r="H34" s="74"/>
    </row>
    <row r="35" spans="1:8" x14ac:dyDescent="0.25">
      <c r="A35" s="74"/>
      <c r="B35" s="74"/>
      <c r="C35" s="74"/>
      <c r="F35" s="74"/>
    </row>
    <row r="36" spans="1:8" x14ac:dyDescent="0.25">
      <c r="A36" s="907"/>
      <c r="B36" s="74">
        <v>2747500.9899999942</v>
      </c>
      <c r="C36" s="74">
        <f>+C28</f>
        <v>107253703.36999999</v>
      </c>
      <c r="D36" s="74">
        <f>+D28</f>
        <v>107253703.37</v>
      </c>
      <c r="E36" s="74">
        <f>+E19-E28</f>
        <v>0</v>
      </c>
    </row>
    <row r="37" spans="1:8" x14ac:dyDescent="0.25">
      <c r="B37" s="74">
        <f>+B36-B19</f>
        <v>0</v>
      </c>
      <c r="C37" s="74">
        <f>+C36-'ASIENTOS  '!G470</f>
        <v>0</v>
      </c>
      <c r="D37" s="74">
        <f>+D36-'ASIENTOS  '!G470</f>
        <v>0</v>
      </c>
      <c r="E37" s="74"/>
      <c r="F37" s="74"/>
    </row>
    <row r="38" spans="1:8" x14ac:dyDescent="0.25">
      <c r="B38" s="74">
        <f>+B36-B28</f>
        <v>0</v>
      </c>
      <c r="C38" s="74"/>
      <c r="F38" s="74"/>
    </row>
    <row r="39" spans="1:8" x14ac:dyDescent="0.25">
      <c r="F39" s="74"/>
    </row>
    <row r="41" spans="1:8" x14ac:dyDescent="0.25">
      <c r="B41" s="859"/>
      <c r="C41" s="74"/>
      <c r="D41" s="74"/>
      <c r="F41" s="74"/>
    </row>
    <row r="42" spans="1:8" x14ac:dyDescent="0.25">
      <c r="B42" s="859"/>
      <c r="C42" s="74"/>
    </row>
    <row r="43" spans="1:8" x14ac:dyDescent="0.25">
      <c r="B43" s="859"/>
      <c r="C43" s="74"/>
    </row>
    <row r="44" spans="1:8" x14ac:dyDescent="0.25">
      <c r="B44" s="859"/>
      <c r="C44" s="74"/>
    </row>
    <row r="45" spans="1:8" x14ac:dyDescent="0.25">
      <c r="B45" s="860"/>
      <c r="C45" s="759"/>
    </row>
    <row r="46" spans="1:8" x14ac:dyDescent="0.25">
      <c r="B46" s="859"/>
      <c r="C46" s="74"/>
    </row>
    <row r="47" spans="1:8" x14ac:dyDescent="0.25">
      <c r="B47" s="859"/>
      <c r="C47" s="74"/>
    </row>
    <row r="48" spans="1:8" x14ac:dyDescent="0.25">
      <c r="B48" s="859"/>
      <c r="C48" s="74"/>
    </row>
  </sheetData>
  <mergeCells count="15">
    <mergeCell ref="A30:B30"/>
    <mergeCell ref="A32:B32"/>
    <mergeCell ref="A33:B33"/>
    <mergeCell ref="A31:B31"/>
    <mergeCell ref="C30:E30"/>
    <mergeCell ref="C31:E31"/>
    <mergeCell ref="C32:E32"/>
    <mergeCell ref="C33:E33"/>
    <mergeCell ref="B8:B9"/>
    <mergeCell ref="C8:E8"/>
    <mergeCell ref="A1:E1"/>
    <mergeCell ref="A2:E2"/>
    <mergeCell ref="A3:E3"/>
    <mergeCell ref="A5:E5"/>
    <mergeCell ref="A6:E6"/>
  </mergeCells>
  <printOptions horizontalCentered="1"/>
  <pageMargins left="0.78740157480314965" right="0.70866141732283472" top="0.74803149606299213" bottom="0.39370078740157483" header="0.31496062992125984" footer="0.31496062992125984"/>
  <pageSetup scale="9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M44"/>
  <sheetViews>
    <sheetView tabSelected="1" view="pageBreakPreview" topLeftCell="A10" zoomScale="90" zoomScaleSheetLayoutView="90" workbookViewId="0">
      <selection activeCell="J34" sqref="J34"/>
    </sheetView>
  </sheetViews>
  <sheetFormatPr baseColWidth="10" defaultRowHeight="15" x14ac:dyDescent="0.25"/>
  <cols>
    <col min="1" max="1" width="5.7109375" style="167" customWidth="1"/>
    <col min="2" max="2" width="13.7109375" style="73" customWidth="1"/>
    <col min="3" max="3" width="24.140625" style="73" customWidth="1"/>
    <col min="4" max="4" width="22.42578125" style="73" customWidth="1"/>
    <col min="5" max="5" width="5.28515625" style="73" customWidth="1"/>
    <col min="6" max="6" width="7.140625" style="167" customWidth="1"/>
    <col min="7" max="7" width="15.7109375" style="73" customWidth="1"/>
    <col min="8" max="8" width="28.5703125" style="73" customWidth="1"/>
    <col min="9" max="9" width="22.140625" style="73" customWidth="1"/>
    <col min="10" max="10" width="19.85546875" style="73" customWidth="1"/>
    <col min="11" max="11" width="17.28515625" style="73" customWidth="1"/>
    <col min="12" max="12" width="11.42578125" style="73"/>
    <col min="13" max="13" width="23.5703125" style="73" customWidth="1"/>
    <col min="14" max="16384" width="11.42578125" style="73"/>
  </cols>
  <sheetData>
    <row r="1" spans="1:13" ht="15.75" x14ac:dyDescent="0.25">
      <c r="A1" s="1794" t="s">
        <v>157</v>
      </c>
      <c r="B1" s="1794"/>
      <c r="C1" s="1794"/>
      <c r="D1" s="1794"/>
      <c r="E1" s="1794"/>
      <c r="F1" s="1794"/>
      <c r="G1" s="1794"/>
      <c r="H1" s="1794"/>
      <c r="I1" s="1794"/>
    </row>
    <row r="2" spans="1:13" x14ac:dyDescent="0.25">
      <c r="A2" s="1817" t="s">
        <v>158</v>
      </c>
      <c r="B2" s="1817"/>
      <c r="C2" s="1817"/>
      <c r="D2" s="1817"/>
      <c r="E2" s="1817"/>
      <c r="F2" s="1817"/>
      <c r="G2" s="1817"/>
      <c r="H2" s="1817"/>
      <c r="I2" s="1817"/>
      <c r="L2" s="1806" t="s">
        <v>294</v>
      </c>
      <c r="M2" s="1806"/>
    </row>
    <row r="3" spans="1:13" ht="15.75" customHeight="1" x14ac:dyDescent="0.25">
      <c r="A3" s="1794" t="s">
        <v>179</v>
      </c>
      <c r="B3" s="1794"/>
      <c r="C3" s="1794"/>
      <c r="D3" s="1794"/>
      <c r="E3" s="1794"/>
      <c r="F3" s="1794"/>
      <c r="G3" s="1794"/>
      <c r="H3" s="1794"/>
      <c r="I3" s="1794"/>
      <c r="K3" s="74">
        <f>+I9+I10+I12</f>
        <v>47051252.68</v>
      </c>
      <c r="L3" s="1806"/>
      <c r="M3" s="1806"/>
    </row>
    <row r="4" spans="1:13" ht="16.5" thickBot="1" x14ac:dyDescent="0.3">
      <c r="A4" s="475"/>
      <c r="B4" s="142"/>
      <c r="C4" s="142"/>
      <c r="D4" s="453"/>
      <c r="E4" s="205"/>
      <c r="F4" s="478"/>
      <c r="G4" s="454"/>
      <c r="H4" s="454"/>
      <c r="I4" s="455"/>
      <c r="K4" s="74">
        <f>+D10</f>
        <v>47018885.670000002</v>
      </c>
      <c r="L4" s="725" t="s">
        <v>332</v>
      </c>
      <c r="M4" s="725"/>
    </row>
    <row r="5" spans="1:13" ht="18" x14ac:dyDescent="0.25">
      <c r="A5" s="1818" t="s">
        <v>37</v>
      </c>
      <c r="B5" s="1818"/>
      <c r="C5" s="1818"/>
      <c r="D5" s="1818"/>
      <c r="E5" s="1818"/>
      <c r="F5" s="1818"/>
      <c r="G5" s="1818"/>
      <c r="H5" s="1818"/>
      <c r="I5" s="1818"/>
      <c r="K5" s="74">
        <f>+K3-K4</f>
        <v>32367.009999997914</v>
      </c>
      <c r="L5" s="454" t="s">
        <v>295</v>
      </c>
    </row>
    <row r="6" spans="1:13" ht="18" x14ac:dyDescent="0.25">
      <c r="A6" s="1819" t="s">
        <v>501</v>
      </c>
      <c r="B6" s="1819"/>
      <c r="C6" s="1819"/>
      <c r="D6" s="1819"/>
      <c r="E6" s="1819"/>
      <c r="F6" s="1819"/>
      <c r="G6" s="1819"/>
      <c r="H6" s="1819"/>
      <c r="I6" s="1819"/>
    </row>
    <row r="7" spans="1:13" ht="18.75" x14ac:dyDescent="0.25">
      <c r="A7" s="476"/>
      <c r="B7" s="1808" t="s">
        <v>38</v>
      </c>
      <c r="C7" s="1808"/>
      <c r="D7" s="1808"/>
      <c r="E7" s="1808"/>
      <c r="F7" s="1808"/>
      <c r="G7" s="1808"/>
      <c r="H7" s="1808"/>
      <c r="I7" s="1808"/>
    </row>
    <row r="8" spans="1:13" ht="18.75" x14ac:dyDescent="0.25">
      <c r="A8" s="1810" t="s">
        <v>39</v>
      </c>
      <c r="B8" s="1810"/>
      <c r="C8" s="1810"/>
      <c r="D8" s="1810"/>
      <c r="E8" s="330"/>
      <c r="F8" s="1810" t="s">
        <v>40</v>
      </c>
      <c r="G8" s="1810"/>
      <c r="H8" s="1810"/>
      <c r="I8" s="1810"/>
    </row>
    <row r="9" spans="1:13" ht="18.75" x14ac:dyDescent="0.25">
      <c r="A9" s="1259">
        <v>102</v>
      </c>
      <c r="B9" s="148" t="s">
        <v>15</v>
      </c>
      <c r="C9" s="148"/>
      <c r="D9" s="149">
        <f>+'BALANCE DE COMPROBACIÓN'!E10</f>
        <v>32367.010000003502</v>
      </c>
      <c r="E9" s="330"/>
      <c r="F9" s="479">
        <v>101</v>
      </c>
      <c r="G9" s="148" t="s">
        <v>70</v>
      </c>
      <c r="H9" s="148"/>
      <c r="I9" s="149">
        <f>+'BALANCE DE COMPROBACIÓN'!E20</f>
        <v>0</v>
      </c>
    </row>
    <row r="10" spans="1:13" ht="15.75" x14ac:dyDescent="0.25">
      <c r="A10" s="1259">
        <v>122</v>
      </c>
      <c r="B10" s="148" t="s">
        <v>13</v>
      </c>
      <c r="C10" s="148"/>
      <c r="D10" s="149">
        <f>+'BALANCE DE COMPROBACIÓN'!E11</f>
        <v>47018885.670000002</v>
      </c>
      <c r="E10" s="148"/>
      <c r="F10" s="479">
        <v>103</v>
      </c>
      <c r="G10" s="149" t="s">
        <v>69</v>
      </c>
      <c r="H10" s="148"/>
      <c r="I10" s="149">
        <f>+'BALANCE DE COMPROBACIÓN'!E21</f>
        <v>1171877.2199999997</v>
      </c>
      <c r="J10" s="74"/>
      <c r="K10" s="74">
        <f>+I9+I10</f>
        <v>1171877.2199999997</v>
      </c>
      <c r="L10" s="73" t="s">
        <v>562</v>
      </c>
      <c r="M10" s="74"/>
    </row>
    <row r="11" spans="1:13" ht="16.5" thickBot="1" x14ac:dyDescent="0.3">
      <c r="A11" s="1259">
        <v>132</v>
      </c>
      <c r="B11" s="148" t="s">
        <v>41</v>
      </c>
      <c r="C11" s="148"/>
      <c r="D11" s="149">
        <f>+'BALANCE DE COMPROBACIÓN'!E12</f>
        <v>203173.96</v>
      </c>
      <c r="E11" s="148"/>
      <c r="F11" s="479">
        <v>133</v>
      </c>
      <c r="G11" s="148" t="s">
        <v>180</v>
      </c>
      <c r="H11" s="148"/>
      <c r="I11" s="149">
        <f>+'BALANCE DE COMPROBACIÓN'!E22</f>
        <v>203173.96</v>
      </c>
      <c r="J11" s="74"/>
      <c r="K11" s="74">
        <f>+D10+D11</f>
        <v>47222059.630000003</v>
      </c>
      <c r="L11" s="725" t="s">
        <v>281</v>
      </c>
      <c r="M11" s="726"/>
    </row>
    <row r="12" spans="1:13" ht="16.5" thickBot="1" x14ac:dyDescent="0.3">
      <c r="A12" s="909"/>
      <c r="B12" s="148"/>
      <c r="C12" s="148"/>
      <c r="D12" s="335"/>
      <c r="E12" s="148"/>
      <c r="F12" s="479">
        <v>199</v>
      </c>
      <c r="G12" s="148" t="s">
        <v>42</v>
      </c>
      <c r="H12" s="148"/>
      <c r="I12" s="335">
        <f>+'BALANCE DE COMPROBACIÓN'!E23</f>
        <v>45879375.460000001</v>
      </c>
      <c r="J12" s="74"/>
      <c r="K12" s="74">
        <f>+K11-K10</f>
        <v>46050182.410000004</v>
      </c>
      <c r="L12" s="455" t="s">
        <v>280</v>
      </c>
      <c r="M12" s="74"/>
    </row>
    <row r="13" spans="1:13" x14ac:dyDescent="0.25">
      <c r="A13" s="343"/>
      <c r="B13" s="337"/>
      <c r="E13" s="337"/>
      <c r="F13" s="73"/>
      <c r="J13" s="74"/>
      <c r="K13" s="74"/>
      <c r="M13" s="74"/>
    </row>
    <row r="14" spans="1:13" ht="16.5" thickBot="1" x14ac:dyDescent="0.3">
      <c r="A14" s="343"/>
      <c r="B14" s="337"/>
      <c r="C14" s="147" t="s">
        <v>43</v>
      </c>
      <c r="D14" s="249">
        <f>SUM(D9:D12)</f>
        <v>47254426.640000008</v>
      </c>
      <c r="E14" s="337"/>
      <c r="F14" s="480"/>
      <c r="G14" s="337"/>
      <c r="H14" s="147" t="s">
        <v>43</v>
      </c>
      <c r="I14" s="249">
        <f>SUM(I9:I12)</f>
        <v>47254426.640000001</v>
      </c>
      <c r="J14" s="74">
        <f>+D14-I14</f>
        <v>0</v>
      </c>
      <c r="K14" s="74"/>
      <c r="L14" s="74"/>
      <c r="M14" s="74"/>
    </row>
    <row r="15" spans="1:13" ht="15.75" thickTop="1" x14ac:dyDescent="0.25">
      <c r="A15" s="343"/>
      <c r="B15" s="336"/>
      <c r="C15" s="336"/>
      <c r="D15" s="338"/>
      <c r="E15" s="336"/>
      <c r="F15" s="343"/>
      <c r="G15" s="336"/>
      <c r="H15" s="336"/>
      <c r="I15" s="338"/>
      <c r="J15" s="74"/>
      <c r="K15" s="74">
        <f>+I12</f>
        <v>45879375.460000001</v>
      </c>
      <c r="L15" s="73" t="s">
        <v>323</v>
      </c>
    </row>
    <row r="16" spans="1:13" ht="18.75" customHeight="1" thickBot="1" x14ac:dyDescent="0.3">
      <c r="A16" s="270"/>
      <c r="B16" s="1808" t="s">
        <v>44</v>
      </c>
      <c r="C16" s="1808"/>
      <c r="D16" s="1808"/>
      <c r="E16" s="1808"/>
      <c r="F16" s="1808"/>
      <c r="G16" s="1808"/>
      <c r="H16" s="1808"/>
      <c r="I16" s="1808"/>
      <c r="J16" s="74"/>
      <c r="K16" s="74">
        <f>+D25</f>
        <v>3692138.01</v>
      </c>
      <c r="L16" s="883" t="s">
        <v>324</v>
      </c>
      <c r="M16" s="725"/>
    </row>
    <row r="17" spans="1:13" ht="15.75" x14ac:dyDescent="0.25">
      <c r="A17" s="909">
        <v>200</v>
      </c>
      <c r="B17" s="141" t="s">
        <v>45</v>
      </c>
      <c r="C17" s="141"/>
      <c r="D17" s="144">
        <f>+'BALANCE DE COMPROBACIÓN'!E13</f>
        <v>45879375.460000008</v>
      </c>
      <c r="E17" s="141"/>
      <c r="F17" s="909">
        <v>203</v>
      </c>
      <c r="G17" s="141" t="s">
        <v>46</v>
      </c>
      <c r="H17" s="141"/>
      <c r="I17" s="144">
        <v>0</v>
      </c>
      <c r="K17" s="74">
        <f>SUM(K15:K16)</f>
        <v>49571513.469999999</v>
      </c>
      <c r="L17" s="454" t="s">
        <v>325</v>
      </c>
    </row>
    <row r="18" spans="1:13" ht="15.75" x14ac:dyDescent="0.25">
      <c r="A18" s="909">
        <v>212</v>
      </c>
      <c r="B18" s="141" t="s">
        <v>47</v>
      </c>
      <c r="C18" s="141"/>
      <c r="D18" s="144">
        <f>+'[12]CIERRE BALANCE DE COMPROBACIÓN'!E14</f>
        <v>0</v>
      </c>
      <c r="E18" s="141"/>
      <c r="F18" s="909">
        <v>299</v>
      </c>
      <c r="G18" s="141" t="s">
        <v>48</v>
      </c>
      <c r="H18" s="141"/>
      <c r="I18" s="144">
        <f>+MAYORES!F157</f>
        <v>2678063.2799999989</v>
      </c>
      <c r="K18" s="74"/>
      <c r="M18" s="74"/>
    </row>
    <row r="19" spans="1:13" ht="15.75" x14ac:dyDescent="0.25">
      <c r="A19" s="909">
        <v>214</v>
      </c>
      <c r="B19" s="141" t="s">
        <v>49</v>
      </c>
      <c r="C19" s="141"/>
      <c r="D19" s="144">
        <f>SUM(D20:D21)</f>
        <v>2124740.12</v>
      </c>
      <c r="E19" s="141"/>
      <c r="F19" s="908"/>
      <c r="G19" s="141"/>
      <c r="H19" s="141"/>
      <c r="I19" s="144"/>
      <c r="M19" s="74"/>
    </row>
    <row r="20" spans="1:13" x14ac:dyDescent="0.25">
      <c r="A20" s="908"/>
      <c r="B20" s="339" t="s">
        <v>255</v>
      </c>
      <c r="C20" s="339"/>
      <c r="D20" s="144">
        <f>+'214 BM ENERO'!C49</f>
        <v>2117834.9300000002</v>
      </c>
      <c r="E20" s="141"/>
      <c r="F20" s="908"/>
      <c r="G20" s="141"/>
      <c r="H20" s="141"/>
      <c r="I20" s="144"/>
      <c r="K20" s="74">
        <f>+D22</f>
        <v>553323.1599999998</v>
      </c>
      <c r="L20" s="73" t="s">
        <v>326</v>
      </c>
    </row>
    <row r="21" spans="1:13" ht="15.75" thickBot="1" x14ac:dyDescent="0.3">
      <c r="A21" s="908" t="s">
        <v>224</v>
      </c>
      <c r="B21" s="908" t="s">
        <v>225</v>
      </c>
      <c r="C21" s="908"/>
      <c r="D21" s="144">
        <f>+'214 BM ENERO'!C50</f>
        <v>6905.1900000000005</v>
      </c>
      <c r="E21" s="141"/>
      <c r="F21" s="908"/>
      <c r="G21" s="141"/>
      <c r="H21" s="141"/>
      <c r="I21" s="144"/>
      <c r="K21" s="74">
        <f>+D19</f>
        <v>2124740.12</v>
      </c>
      <c r="L21" s="725" t="s">
        <v>327</v>
      </c>
      <c r="M21" s="725"/>
    </row>
    <row r="22" spans="1:13" ht="15.75" x14ac:dyDescent="0.25">
      <c r="A22" s="909">
        <v>216</v>
      </c>
      <c r="B22" s="141" t="s">
        <v>181</v>
      </c>
      <c r="C22" s="141"/>
      <c r="D22" s="144">
        <f>+'BALANCE DE COMPROBACIÓN'!E16</f>
        <v>553323.1599999998</v>
      </c>
      <c r="E22" s="141"/>
      <c r="F22" s="908"/>
      <c r="G22" s="141"/>
      <c r="H22" s="141"/>
      <c r="I22" s="144"/>
      <c r="K22" s="74">
        <f>SUM(K20:K21)</f>
        <v>2678063.2799999998</v>
      </c>
      <c r="L22" s="454" t="s">
        <v>328</v>
      </c>
    </row>
    <row r="23" spans="1:13" ht="15.75" x14ac:dyDescent="0.25">
      <c r="A23" s="1485">
        <v>214</v>
      </c>
      <c r="B23" s="141" t="s">
        <v>465</v>
      </c>
      <c r="C23" s="141"/>
      <c r="D23" s="144">
        <f>+MAYORES!F141</f>
        <v>0</v>
      </c>
      <c r="E23" s="141"/>
      <c r="F23" s="1486"/>
      <c r="G23" s="141"/>
      <c r="H23" s="141"/>
      <c r="I23" s="144"/>
      <c r="K23" s="74"/>
      <c r="L23" s="454"/>
    </row>
    <row r="24" spans="1:13" ht="17.25" customHeight="1" x14ac:dyDescent="0.25">
      <c r="A24" s="477"/>
      <c r="B24" s="1808" t="s">
        <v>50</v>
      </c>
      <c r="C24" s="1808"/>
      <c r="D24" s="1808"/>
      <c r="E24" s="1808"/>
      <c r="F24" s="1808"/>
      <c r="G24" s="1808"/>
      <c r="H24" s="1808"/>
      <c r="I24" s="1808"/>
      <c r="K24" s="74"/>
    </row>
    <row r="25" spans="1:13" ht="16.5" thickBot="1" x14ac:dyDescent="0.3">
      <c r="A25" s="909">
        <v>300</v>
      </c>
      <c r="B25" s="141" t="s">
        <v>51</v>
      </c>
      <c r="C25" s="141"/>
      <c r="D25" s="341">
        <f>+'BALANCE DE COMPROBACIÓN'!E18</f>
        <v>3692138.01</v>
      </c>
      <c r="E25" s="141"/>
      <c r="F25" s="909">
        <v>301</v>
      </c>
      <c r="G25" s="141" t="s">
        <v>14</v>
      </c>
      <c r="H25" s="141"/>
      <c r="I25" s="342">
        <f>+'BALANCE DE COMPROBACIÓN'!E26</f>
        <v>49571513.469999999</v>
      </c>
      <c r="J25" s="74"/>
      <c r="K25" s="74"/>
      <c r="L25" s="74"/>
    </row>
    <row r="26" spans="1:13" ht="15.75" x14ac:dyDescent="0.25">
      <c r="A26" s="909"/>
      <c r="B26" s="141"/>
      <c r="C26" s="141"/>
      <c r="D26" s="342"/>
      <c r="E26" s="141"/>
      <c r="F26" s="909">
        <v>303</v>
      </c>
      <c r="G26" s="141" t="s">
        <v>254</v>
      </c>
      <c r="H26" s="141"/>
      <c r="I26" s="342">
        <v>0</v>
      </c>
      <c r="J26" s="74"/>
      <c r="K26" s="74">
        <f>+I25</f>
        <v>49571513.469999999</v>
      </c>
      <c r="L26" s="74" t="s">
        <v>329</v>
      </c>
    </row>
    <row r="27" spans="1:13" ht="16.5" thickBot="1" x14ac:dyDescent="0.3">
      <c r="A27" s="343"/>
      <c r="B27" s="334" t="s">
        <v>52</v>
      </c>
      <c r="C27" s="160"/>
      <c r="D27" s="305">
        <f>+D17+D19+D22+D23+D25</f>
        <v>52249576.75</v>
      </c>
      <c r="E27" s="336"/>
      <c r="F27" s="343"/>
      <c r="G27" s="336"/>
      <c r="H27" s="160" t="s">
        <v>52</v>
      </c>
      <c r="I27" s="161">
        <f>SUM(I17+I18+I25+I26)</f>
        <v>52249576.75</v>
      </c>
      <c r="K27" s="74">
        <f>+D25</f>
        <v>3692138.01</v>
      </c>
      <c r="L27" s="726" t="s">
        <v>330</v>
      </c>
      <c r="M27" s="725"/>
    </row>
    <row r="28" spans="1:13" ht="16.5" thickTop="1" x14ac:dyDescent="0.25">
      <c r="A28" s="343"/>
      <c r="B28" s="336"/>
      <c r="C28" s="160"/>
      <c r="D28" s="164"/>
      <c r="E28" s="336"/>
      <c r="F28" s="343"/>
      <c r="G28" s="336"/>
      <c r="H28" s="160"/>
      <c r="I28" s="162"/>
      <c r="J28" s="74">
        <f>+I27+I14-'BALANCE DE COMPROBACIÓN'!E28</f>
        <v>0</v>
      </c>
      <c r="K28" s="74">
        <f>+K26-K27</f>
        <v>45879375.460000001</v>
      </c>
      <c r="L28" s="455" t="s">
        <v>331</v>
      </c>
    </row>
    <row r="29" spans="1:13" ht="15.75" x14ac:dyDescent="0.25">
      <c r="A29" s="1811"/>
      <c r="B29" s="1811"/>
      <c r="C29" s="1811"/>
      <c r="D29" s="1811"/>
      <c r="E29" s="1811"/>
      <c r="F29" s="1811"/>
      <c r="G29" s="1811"/>
      <c r="H29" s="1811"/>
      <c r="I29" s="1811"/>
      <c r="J29" s="74">
        <f>+D27-I27</f>
        <v>0</v>
      </c>
      <c r="K29" s="74"/>
    </row>
    <row r="30" spans="1:13" ht="15.75" x14ac:dyDescent="0.25">
      <c r="A30" s="471"/>
      <c r="B30" s="440"/>
      <c r="C30" s="440"/>
      <c r="D30" s="896"/>
      <c r="E30" s="440"/>
      <c r="F30" s="471"/>
      <c r="G30" s="440"/>
      <c r="H30" s="440"/>
      <c r="I30" s="432"/>
      <c r="K30" s="74"/>
    </row>
    <row r="31" spans="1:13" ht="15.75" x14ac:dyDescent="0.25">
      <c r="A31" s="334"/>
      <c r="B31" s="334"/>
      <c r="C31" s="334"/>
      <c r="D31" s="897"/>
      <c r="E31" s="334"/>
      <c r="F31" s="334"/>
      <c r="G31" s="334"/>
      <c r="H31" s="334"/>
      <c r="I31" s="334"/>
      <c r="J31" s="663"/>
      <c r="K31" s="74">
        <f>+D17</f>
        <v>45879375.460000008</v>
      </c>
      <c r="L31" s="74" t="s">
        <v>323</v>
      </c>
      <c r="M31" s="336"/>
    </row>
    <row r="32" spans="1:13" ht="16.5" thickBot="1" x14ac:dyDescent="0.3">
      <c r="A32" s="471"/>
      <c r="B32" s="440"/>
      <c r="C32" s="440"/>
      <c r="D32" s="432"/>
      <c r="E32" s="440"/>
      <c r="F32" s="471"/>
      <c r="G32" s="895"/>
      <c r="H32" s="440"/>
      <c r="I32" s="432"/>
      <c r="J32" s="663"/>
      <c r="K32" s="74">
        <f>+D11</f>
        <v>203173.96</v>
      </c>
      <c r="L32" s="884" t="s">
        <v>333</v>
      </c>
      <c r="M32" s="885"/>
    </row>
    <row r="33" spans="1:12" ht="15.75" thickTop="1" x14ac:dyDescent="0.25">
      <c r="A33" s="340"/>
      <c r="B33" s="141"/>
      <c r="C33" s="141"/>
      <c r="D33" s="144"/>
      <c r="E33" s="141"/>
      <c r="F33" s="340"/>
      <c r="G33" s="141"/>
      <c r="H33" s="143"/>
      <c r="I33" s="342"/>
      <c r="K33" s="74">
        <f>+K31-K32</f>
        <v>45676201.500000007</v>
      </c>
      <c r="L33" s="454" t="s">
        <v>334</v>
      </c>
    </row>
    <row r="34" spans="1:12" x14ac:dyDescent="0.25">
      <c r="A34" s="472"/>
      <c r="B34" s="143"/>
      <c r="C34" s="143"/>
      <c r="D34" s="342"/>
      <c r="E34" s="143"/>
      <c r="F34" s="494"/>
      <c r="G34" s="143"/>
      <c r="H34" s="1807"/>
      <c r="I34" s="1807"/>
      <c r="J34" s="74"/>
    </row>
    <row r="35" spans="1:12" ht="15.75" thickBot="1" x14ac:dyDescent="0.3">
      <c r="A35" s="1807"/>
      <c r="B35" s="1807"/>
      <c r="C35" s="1807"/>
      <c r="D35" s="1807"/>
      <c r="E35" s="1807"/>
      <c r="F35" s="1807"/>
      <c r="G35" s="1807"/>
      <c r="H35" s="1807"/>
      <c r="I35" s="1807"/>
      <c r="J35" s="74"/>
    </row>
    <row r="36" spans="1:12" ht="16.5" hidden="1" thickBot="1" x14ac:dyDescent="0.3">
      <c r="A36" s="462"/>
      <c r="B36" s="334"/>
      <c r="C36" s="334"/>
      <c r="D36" s="334"/>
      <c r="E36" s="334"/>
      <c r="F36" s="334"/>
      <c r="G36" s="334"/>
      <c r="H36" s="334"/>
      <c r="I36" s="334"/>
    </row>
    <row r="37" spans="1:12" ht="16.5" thickBot="1" x14ac:dyDescent="0.3">
      <c r="A37" s="1756" t="s">
        <v>163</v>
      </c>
      <c r="B37" s="1809"/>
      <c r="C37" s="1809"/>
      <c r="D37" s="1756" t="s">
        <v>164</v>
      </c>
      <c r="E37" s="1757"/>
      <c r="F37" s="1757"/>
      <c r="G37" s="1757"/>
      <c r="H37" s="1756" t="s">
        <v>84</v>
      </c>
      <c r="I37" s="1758"/>
      <c r="J37" s="500"/>
    </row>
    <row r="38" spans="1:12" ht="15.75" x14ac:dyDescent="0.25">
      <c r="A38" s="498"/>
      <c r="B38" s="497"/>
      <c r="C38" s="497"/>
      <c r="D38" s="1813"/>
      <c r="E38" s="1814"/>
      <c r="F38" s="1814"/>
      <c r="G38" s="1814"/>
      <c r="H38" s="501"/>
      <c r="I38" s="502"/>
    </row>
    <row r="39" spans="1:12" ht="42" customHeight="1" thickBot="1" x14ac:dyDescent="0.3">
      <c r="A39" s="1815"/>
      <c r="B39" s="1816"/>
      <c r="C39" s="1816"/>
      <c r="D39" s="496"/>
      <c r="E39" s="499"/>
      <c r="F39" s="499"/>
      <c r="G39" s="499"/>
      <c r="H39" s="503"/>
      <c r="I39" s="504"/>
    </row>
    <row r="40" spans="1:12" ht="15.75" thickBot="1" x14ac:dyDescent="0.3">
      <c r="A40" s="1713" t="s">
        <v>317</v>
      </c>
      <c r="B40" s="1714"/>
      <c r="C40" s="1714"/>
      <c r="D40" s="1713" t="s">
        <v>335</v>
      </c>
      <c r="E40" s="1714"/>
      <c r="F40" s="1714"/>
      <c r="G40" s="1715"/>
      <c r="H40" s="1713" t="s">
        <v>437</v>
      </c>
      <c r="I40" s="1715"/>
      <c r="J40" s="505"/>
      <c r="K40" s="505"/>
    </row>
    <row r="41" spans="1:12" ht="14.25" customHeight="1" thickBot="1" x14ac:dyDescent="0.3">
      <c r="A41" s="1739" t="s">
        <v>272</v>
      </c>
      <c r="B41" s="1740"/>
      <c r="C41" s="1740"/>
      <c r="D41" s="1739" t="s">
        <v>338</v>
      </c>
      <c r="E41" s="1740"/>
      <c r="F41" s="1740"/>
      <c r="G41" s="1741"/>
      <c r="H41" s="1739" t="s">
        <v>228</v>
      </c>
      <c r="I41" s="1741"/>
      <c r="J41" s="505"/>
      <c r="K41" s="505"/>
    </row>
    <row r="42" spans="1:12" x14ac:dyDescent="0.25">
      <c r="A42" s="1807"/>
      <c r="B42" s="1807"/>
      <c r="C42" s="1807"/>
      <c r="D42" s="141"/>
      <c r="E42" s="141"/>
      <c r="F42" s="340"/>
      <c r="G42" s="141"/>
      <c r="H42" s="495"/>
      <c r="I42" s="495"/>
    </row>
    <row r="43" spans="1:12" hidden="1" x14ac:dyDescent="0.25">
      <c r="A43" s="1807"/>
      <c r="B43" s="1807"/>
      <c r="C43" s="1807"/>
      <c r="D43" s="141"/>
      <c r="E43" s="141"/>
      <c r="F43" s="340"/>
      <c r="G43" s="141"/>
      <c r="H43" s="1807"/>
      <c r="I43" s="1807"/>
    </row>
    <row r="44" spans="1:12" ht="15.75" x14ac:dyDescent="0.25">
      <c r="A44" s="1811"/>
      <c r="B44" s="1811"/>
      <c r="C44" s="1811"/>
      <c r="D44" s="141"/>
      <c r="E44" s="141"/>
      <c r="F44" s="340"/>
      <c r="G44" s="141"/>
      <c r="H44" s="1812"/>
      <c r="I44" s="1812"/>
    </row>
  </sheetData>
  <mergeCells count="30">
    <mergeCell ref="A1:I1"/>
    <mergeCell ref="A2:I2"/>
    <mergeCell ref="A3:I3"/>
    <mergeCell ref="A5:I5"/>
    <mergeCell ref="A6:I6"/>
    <mergeCell ref="A44:C44"/>
    <mergeCell ref="H44:I44"/>
    <mergeCell ref="D38:G38"/>
    <mergeCell ref="A42:C42"/>
    <mergeCell ref="A43:C43"/>
    <mergeCell ref="H43:I43"/>
    <mergeCell ref="A39:C39"/>
    <mergeCell ref="A40:C40"/>
    <mergeCell ref="A41:C41"/>
    <mergeCell ref="L2:M3"/>
    <mergeCell ref="D41:G41"/>
    <mergeCell ref="H37:I37"/>
    <mergeCell ref="H40:I40"/>
    <mergeCell ref="H41:I41"/>
    <mergeCell ref="A35:I35"/>
    <mergeCell ref="B7:I7"/>
    <mergeCell ref="A37:C37"/>
    <mergeCell ref="A8:D8"/>
    <mergeCell ref="F8:I8"/>
    <mergeCell ref="D37:G37"/>
    <mergeCell ref="D40:G40"/>
    <mergeCell ref="B16:I16"/>
    <mergeCell ref="B24:I24"/>
    <mergeCell ref="A29:I29"/>
    <mergeCell ref="H34:I34"/>
  </mergeCells>
  <printOptions horizontalCentered="1"/>
  <pageMargins left="0.78740157480314965" right="0.98425196850393704" top="0.78740157480314965" bottom="0.59055118110236227" header="0.31496062992125984" footer="0.31496062992125984"/>
  <pageSetup scale="71" orientation="landscape" r:id="rId1"/>
  <colBreaks count="1" manualBreakCount="1">
    <brk id="9"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48"/>
  <sheetViews>
    <sheetView view="pageBreakPreview" topLeftCell="A17" zoomScale="70" zoomScaleSheetLayoutView="70" workbookViewId="0">
      <selection activeCell="B20" sqref="B20"/>
    </sheetView>
  </sheetViews>
  <sheetFormatPr baseColWidth="10" defaultColWidth="11.42578125" defaultRowHeight="20.100000000000001" customHeight="1" x14ac:dyDescent="0.25"/>
  <cols>
    <col min="1" max="1" width="75" style="311" customWidth="1"/>
    <col min="2" max="2" width="58.5703125" style="311" customWidth="1"/>
    <col min="3" max="3" width="29.7109375" style="311" customWidth="1"/>
    <col min="4" max="4" width="22.7109375" style="330" hidden="1" customWidth="1"/>
    <col min="5" max="5" width="21.28515625" style="330" customWidth="1"/>
    <col min="6" max="6" width="16.7109375" style="311" customWidth="1"/>
    <col min="7" max="7" width="22.7109375" style="311" customWidth="1"/>
    <col min="8" max="8" width="18.140625" style="311" customWidth="1"/>
    <col min="9" max="9" width="21.28515625" style="311" customWidth="1"/>
    <col min="10" max="10" width="18.5703125" style="311" customWidth="1"/>
    <col min="11" max="11" width="20.42578125" style="311" customWidth="1"/>
    <col min="12" max="12" width="18" style="311" customWidth="1"/>
    <col min="13" max="13" width="15.28515625" style="311" customWidth="1"/>
    <col min="14" max="14" width="18.85546875" style="311" customWidth="1"/>
    <col min="15" max="15" width="25" style="782" customWidth="1"/>
    <col min="16" max="16" width="18.140625" style="782" customWidth="1"/>
    <col min="17" max="17" width="16.7109375" style="782" customWidth="1"/>
    <col min="18" max="18" width="19.42578125" style="782" customWidth="1"/>
    <col min="19" max="19" width="22.7109375" style="782" customWidth="1"/>
    <col min="20" max="20" width="18.140625" style="782" customWidth="1"/>
    <col min="21" max="21" width="13.7109375" style="782" customWidth="1"/>
    <col min="22" max="22" width="19.42578125" style="782" customWidth="1"/>
    <col min="23" max="23" width="19.85546875" style="311" customWidth="1"/>
    <col min="24" max="25" width="24.140625" style="311" customWidth="1"/>
    <col min="26" max="26" width="20.28515625" style="311" customWidth="1"/>
    <col min="27" max="27" width="20" style="311" customWidth="1"/>
    <col min="28" max="28" width="19.85546875" style="311" customWidth="1"/>
    <col min="29" max="29" width="24.140625" style="311" customWidth="1"/>
    <col min="30" max="30" width="21.140625" style="311" customWidth="1"/>
    <col min="31" max="31" width="18.42578125" style="311" customWidth="1"/>
    <col min="32" max="32" width="20" style="311" customWidth="1"/>
    <col min="33" max="34" width="20.85546875" style="311" customWidth="1"/>
    <col min="35" max="35" width="19.7109375" style="311" customWidth="1"/>
    <col min="36" max="36" width="16" style="311" customWidth="1"/>
    <col min="37" max="37" width="20" style="311" customWidth="1"/>
    <col min="38" max="38" width="19" style="311" customWidth="1"/>
    <col min="39" max="42" width="18.7109375" style="311" customWidth="1"/>
    <col min="43" max="43" width="19" style="311" customWidth="1"/>
    <col min="44" max="47" width="18.7109375" style="311" customWidth="1"/>
    <col min="48" max="52" width="19" style="311" customWidth="1"/>
    <col min="53" max="53" width="20.85546875" style="311" customWidth="1"/>
    <col min="54" max="57" width="19" style="311" customWidth="1"/>
    <col min="58" max="58" width="20.85546875" style="311" customWidth="1"/>
    <col min="59" max="62" width="19" style="311" customWidth="1"/>
    <col min="63" max="16384" width="11.42578125" style="311"/>
  </cols>
  <sheetData>
    <row r="1" spans="1:62" ht="20.100000000000001" customHeight="1" x14ac:dyDescent="0.25">
      <c r="A1" s="780"/>
      <c r="B1" s="781"/>
      <c r="C1" s="157"/>
      <c r="D1" s="354"/>
      <c r="E1" s="354"/>
      <c r="F1" s="157"/>
      <c r="G1" s="157"/>
      <c r="H1" s="157"/>
      <c r="I1" s="157"/>
      <c r="O1" s="165"/>
      <c r="P1" s="165"/>
      <c r="Q1" s="165"/>
      <c r="S1" s="165"/>
      <c r="T1" s="165"/>
      <c r="U1" s="165"/>
    </row>
    <row r="2" spans="1:62" ht="20.100000000000001" customHeight="1" x14ac:dyDescent="0.25">
      <c r="A2" s="783"/>
      <c r="B2" s="784"/>
      <c r="C2" s="220"/>
      <c r="D2" s="223"/>
      <c r="E2" s="223"/>
      <c r="F2" s="220"/>
      <c r="G2" s="220"/>
      <c r="H2" s="220"/>
      <c r="I2" s="220"/>
      <c r="O2" s="1578"/>
      <c r="P2" s="1578"/>
      <c r="Q2" s="1578"/>
      <c r="S2" s="1578"/>
      <c r="T2" s="1578"/>
      <c r="U2" s="1578"/>
    </row>
    <row r="3" spans="1:62" ht="29.25" customHeight="1" x14ac:dyDescent="0.25">
      <c r="A3" s="1627" t="str">
        <f>+'[13]BALANCE GENERAL '!A1:I1</f>
        <v>REPÚBLICA BOLIVARIANA DE VENEZUELA</v>
      </c>
      <c r="B3" s="1628"/>
      <c r="C3" s="445"/>
      <c r="D3" s="446"/>
      <c r="E3" s="446"/>
      <c r="F3" s="157"/>
      <c r="G3" s="157"/>
      <c r="H3" s="157"/>
      <c r="I3" s="157"/>
      <c r="O3" s="165"/>
      <c r="P3" s="165"/>
      <c r="Q3" s="165"/>
      <c r="S3" s="165"/>
      <c r="T3" s="165"/>
      <c r="U3" s="165"/>
    </row>
    <row r="4" spans="1:62" ht="42" customHeight="1" x14ac:dyDescent="0.25">
      <c r="A4" s="1629" t="str">
        <f>+'[13]BALANCE GENERAL '!A2:I2</f>
        <v>SERVICIO ADMINISTRATIVO DE PROTECCIÓN DEL NIÑO, NIÑA Y ADOLESCENTE DEL ESTADO TRUJILLO</v>
      </c>
      <c r="B4" s="1630"/>
      <c r="C4" s="447"/>
      <c r="D4" s="448"/>
      <c r="E4" s="448"/>
    </row>
    <row r="5" spans="1:62" ht="33.75" customHeight="1" x14ac:dyDescent="0.25">
      <c r="A5" s="1627" t="str">
        <f>+'[14]BALANCE GENERAL '!A3:I3</f>
        <v>DIRECCIÓN DE ADMINISTRACIÓN-UNIDAD DE CONTABILIDAD</v>
      </c>
      <c r="B5" s="1628"/>
      <c r="C5" s="449"/>
      <c r="D5" s="450"/>
      <c r="E5" s="450"/>
      <c r="AY5" s="443"/>
    </row>
    <row r="6" spans="1:62" ht="20.100000000000001" customHeight="1" x14ac:dyDescent="0.25">
      <c r="A6" s="785"/>
      <c r="B6" s="786"/>
      <c r="F6" s="311">
        <v>95.77</v>
      </c>
    </row>
    <row r="7" spans="1:62" ht="24.75" customHeight="1" x14ac:dyDescent="0.25">
      <c r="A7" s="1633" t="str">
        <f>+'[4]BALANCE GENERAL'!A5:I5</f>
        <v>BALANCE   GENERAL</v>
      </c>
      <c r="B7" s="1634"/>
    </row>
    <row r="8" spans="1:62" ht="25.5" customHeight="1" x14ac:dyDescent="0.25">
      <c r="A8" s="1635" t="s">
        <v>453</v>
      </c>
      <c r="B8" s="1632"/>
      <c r="E8" s="451"/>
    </row>
    <row r="9" spans="1:62" ht="25.5" customHeight="1" x14ac:dyDescent="0.25">
      <c r="A9" s="1631" t="s">
        <v>501</v>
      </c>
      <c r="B9" s="1632"/>
      <c r="G9" s="443"/>
      <c r="M9" s="443"/>
    </row>
    <row r="10" spans="1:62" ht="13.5" customHeight="1" thickBot="1" x14ac:dyDescent="0.3">
      <c r="A10" s="1631"/>
      <c r="B10" s="1632"/>
      <c r="O10" s="787"/>
      <c r="S10" s="787"/>
      <c r="W10" s="443"/>
      <c r="AB10" s="443"/>
      <c r="AG10" s="443"/>
    </row>
    <row r="11" spans="1:62" ht="12" hidden="1" customHeight="1" thickBot="1" x14ac:dyDescent="0.3">
      <c r="A11" s="717"/>
      <c r="B11" s="788"/>
    </row>
    <row r="12" spans="1:62" ht="45.75" customHeight="1" thickBot="1" x14ac:dyDescent="0.3">
      <c r="A12" s="345" t="s">
        <v>190</v>
      </c>
      <c r="B12" s="346" t="s">
        <v>71</v>
      </c>
      <c r="E12" s="789" t="s">
        <v>299</v>
      </c>
      <c r="F12" s="790" t="s">
        <v>343</v>
      </c>
      <c r="G12" s="790" t="s">
        <v>344</v>
      </c>
      <c r="H12" s="792" t="s">
        <v>345</v>
      </c>
      <c r="I12" s="640" t="s">
        <v>346</v>
      </c>
      <c r="J12" s="639" t="s">
        <v>267</v>
      </c>
      <c r="K12" s="790" t="s">
        <v>347</v>
      </c>
      <c r="L12" s="792" t="s">
        <v>348</v>
      </c>
      <c r="M12" s="791" t="s">
        <v>300</v>
      </c>
      <c r="N12" s="707" t="s">
        <v>267</v>
      </c>
      <c r="O12" s="790" t="s">
        <v>350</v>
      </c>
      <c r="P12" s="791" t="s">
        <v>271</v>
      </c>
      <c r="Q12" s="791" t="s">
        <v>302</v>
      </c>
      <c r="R12" s="707" t="s">
        <v>267</v>
      </c>
      <c r="S12" s="790" t="s">
        <v>352</v>
      </c>
      <c r="T12" s="791" t="s">
        <v>276</v>
      </c>
      <c r="U12" s="791" t="s">
        <v>301</v>
      </c>
      <c r="V12" s="707" t="s">
        <v>267</v>
      </c>
      <c r="W12" s="790" t="s">
        <v>356</v>
      </c>
      <c r="X12" s="791" t="s">
        <v>555</v>
      </c>
      <c r="Y12" s="791" t="s">
        <v>319</v>
      </c>
      <c r="Z12" s="791" t="s">
        <v>303</v>
      </c>
      <c r="AA12" s="707" t="s">
        <v>267</v>
      </c>
      <c r="AB12" s="790" t="s">
        <v>358</v>
      </c>
      <c r="AC12" s="792" t="s">
        <v>304</v>
      </c>
      <c r="AD12" s="791" t="s">
        <v>305</v>
      </c>
      <c r="AE12" s="791" t="s">
        <v>303</v>
      </c>
      <c r="AF12" s="707" t="s">
        <v>267</v>
      </c>
      <c r="AG12" s="790" t="s">
        <v>360</v>
      </c>
      <c r="AH12" s="792" t="s">
        <v>306</v>
      </c>
      <c r="AI12" s="791" t="s">
        <v>361</v>
      </c>
      <c r="AJ12" s="791" t="s">
        <v>303</v>
      </c>
      <c r="AK12" s="707" t="s">
        <v>267</v>
      </c>
      <c r="AL12" s="790" t="s">
        <v>363</v>
      </c>
      <c r="AM12" s="792" t="s">
        <v>307</v>
      </c>
      <c r="AN12" s="792" t="s">
        <v>308</v>
      </c>
      <c r="AO12" s="792" t="s">
        <v>303</v>
      </c>
      <c r="AP12" s="707" t="s">
        <v>267</v>
      </c>
      <c r="AQ12" s="790" t="s">
        <v>365</v>
      </c>
      <c r="AR12" s="792" t="s">
        <v>309</v>
      </c>
      <c r="AS12" s="792" t="s">
        <v>310</v>
      </c>
      <c r="AT12" s="792" t="s">
        <v>303</v>
      </c>
      <c r="AU12" s="707" t="s">
        <v>267</v>
      </c>
      <c r="AV12" s="790" t="s">
        <v>369</v>
      </c>
      <c r="AW12" s="792" t="s">
        <v>311</v>
      </c>
      <c r="AX12" s="792" t="s">
        <v>312</v>
      </c>
      <c r="AY12" s="792" t="s">
        <v>303</v>
      </c>
      <c r="AZ12" s="707" t="s">
        <v>267</v>
      </c>
      <c r="BA12" s="790" t="s">
        <v>370</v>
      </c>
      <c r="BB12" s="792" t="s">
        <v>313</v>
      </c>
      <c r="BC12" s="792" t="s">
        <v>312</v>
      </c>
      <c r="BD12" s="792" t="s">
        <v>303</v>
      </c>
      <c r="BE12" s="707" t="s">
        <v>267</v>
      </c>
      <c r="BF12" s="790" t="s">
        <v>371</v>
      </c>
      <c r="BG12" s="792" t="s">
        <v>313</v>
      </c>
      <c r="BH12" s="792" t="s">
        <v>312</v>
      </c>
      <c r="BI12" s="792" t="s">
        <v>372</v>
      </c>
      <c r="BJ12" s="707" t="s">
        <v>267</v>
      </c>
    </row>
    <row r="13" spans="1:62" ht="52.5" customHeight="1" x14ac:dyDescent="0.25">
      <c r="A13" s="1465" t="s">
        <v>450</v>
      </c>
      <c r="B13" s="1466">
        <v>20733.950000002711</v>
      </c>
      <c r="C13" s="451"/>
      <c r="E13" s="795">
        <v>216</v>
      </c>
      <c r="F13" s="443">
        <v>0</v>
      </c>
      <c r="G13" s="443">
        <v>340.92</v>
      </c>
      <c r="H13" s="443">
        <v>340.92</v>
      </c>
      <c r="I13" s="443"/>
      <c r="J13" s="443">
        <f>+F13+G13-H13+I13</f>
        <v>0</v>
      </c>
      <c r="K13" s="443"/>
      <c r="L13" s="443"/>
      <c r="M13" s="443"/>
      <c r="N13" s="443">
        <f t="shared" ref="N13:N14" si="0">+J13-K13</f>
        <v>0</v>
      </c>
      <c r="O13" s="443"/>
      <c r="P13" s="443"/>
      <c r="Q13" s="443"/>
      <c r="R13" s="443">
        <v>0</v>
      </c>
      <c r="S13" s="443">
        <v>0</v>
      </c>
      <c r="T13" s="443"/>
      <c r="U13" s="443"/>
      <c r="V13" s="443">
        <v>0</v>
      </c>
      <c r="W13" s="443">
        <v>0</v>
      </c>
      <c r="X13" s="910"/>
      <c r="Z13" s="443"/>
      <c r="AA13" s="443">
        <v>0</v>
      </c>
      <c r="AB13" s="443">
        <v>0</v>
      </c>
      <c r="AE13" s="443"/>
      <c r="AF13" s="443">
        <v>0</v>
      </c>
      <c r="AG13" s="443">
        <v>0</v>
      </c>
      <c r="AJ13" s="443"/>
      <c r="AK13" s="443">
        <v>0</v>
      </c>
      <c r="AL13" s="443">
        <v>0</v>
      </c>
      <c r="AO13" s="443"/>
      <c r="AP13" s="443">
        <v>0</v>
      </c>
      <c r="AQ13" s="443">
        <v>0</v>
      </c>
      <c r="AT13" s="443"/>
      <c r="AU13" s="443">
        <v>0</v>
      </c>
      <c r="AV13" s="443">
        <v>0</v>
      </c>
      <c r="AY13" s="443"/>
      <c r="AZ13" s="443">
        <v>0</v>
      </c>
      <c r="BA13" s="443">
        <v>0</v>
      </c>
      <c r="BE13" s="443">
        <v>0</v>
      </c>
      <c r="BF13" s="443"/>
      <c r="BJ13" s="443">
        <v>0</v>
      </c>
    </row>
    <row r="14" spans="1:62" ht="49.5" customHeight="1" x14ac:dyDescent="0.25">
      <c r="A14" s="1467" t="s">
        <v>451</v>
      </c>
      <c r="B14" s="1468">
        <v>0.01</v>
      </c>
      <c r="C14" s="451"/>
      <c r="E14" s="795">
        <v>196</v>
      </c>
      <c r="F14" s="443">
        <v>0</v>
      </c>
      <c r="G14" s="443">
        <v>0</v>
      </c>
      <c r="H14" s="910">
        <v>0</v>
      </c>
      <c r="I14" s="443"/>
      <c r="J14" s="443">
        <f>+F14+G14-H14+I14</f>
        <v>0</v>
      </c>
      <c r="K14" s="443"/>
      <c r="M14" s="443"/>
      <c r="N14" s="443">
        <f t="shared" si="0"/>
        <v>0</v>
      </c>
      <c r="O14" s="443"/>
      <c r="P14" s="311"/>
      <c r="Q14" s="443"/>
      <c r="R14" s="351">
        <f>-N14-O14+P14+Q14</f>
        <v>0</v>
      </c>
      <c r="S14" s="443">
        <v>0</v>
      </c>
      <c r="T14" s="311"/>
      <c r="U14" s="443"/>
      <c r="V14" s="443">
        <f>+R14+S14</f>
        <v>0</v>
      </c>
      <c r="W14" s="443">
        <v>0</v>
      </c>
      <c r="Y14" s="443"/>
      <c r="Z14" s="443"/>
      <c r="AA14" s="443">
        <f>+V14+W14-Y14</f>
        <v>0</v>
      </c>
      <c r="AB14" s="443">
        <v>0</v>
      </c>
      <c r="AE14" s="443"/>
      <c r="AF14" s="443">
        <f>+AA14+AB14+AC14</f>
        <v>0</v>
      </c>
      <c r="AG14" s="443">
        <v>0</v>
      </c>
      <c r="AJ14" s="443"/>
      <c r="AK14" s="443">
        <f>+AF14+AG14+AH14</f>
        <v>0</v>
      </c>
      <c r="AL14" s="443">
        <v>0</v>
      </c>
      <c r="AM14" s="443"/>
      <c r="AO14" s="443"/>
      <c r="AP14" s="443">
        <f>+AK14+AL14-AM14</f>
        <v>0</v>
      </c>
      <c r="AQ14" s="443">
        <v>0</v>
      </c>
      <c r="AT14" s="443"/>
      <c r="AU14" s="443">
        <f>+AP14+AQ14</f>
        <v>0</v>
      </c>
      <c r="AV14" s="443">
        <v>0</v>
      </c>
      <c r="AY14" s="443"/>
      <c r="AZ14" s="443">
        <f>+AU14+AV14-AW14</f>
        <v>0</v>
      </c>
      <c r="BA14" s="443">
        <v>0</v>
      </c>
      <c r="BC14" s="443"/>
      <c r="BE14" s="443">
        <f>+AZ14+BA14-BB14-BC14</f>
        <v>0</v>
      </c>
      <c r="BF14" s="443"/>
      <c r="BH14" s="443"/>
      <c r="BJ14" s="443">
        <f>+BE14-BF14+BH14</f>
        <v>0</v>
      </c>
    </row>
    <row r="15" spans="1:62" ht="48.75" customHeight="1" thickBot="1" x14ac:dyDescent="0.3">
      <c r="A15" s="1467" t="s">
        <v>452</v>
      </c>
      <c r="B15" s="1469">
        <v>11635.550000000001</v>
      </c>
      <c r="C15" s="451"/>
      <c r="E15" s="795">
        <v>5889</v>
      </c>
      <c r="F15" s="443">
        <v>0</v>
      </c>
      <c r="G15" s="443">
        <v>113.49</v>
      </c>
      <c r="H15" s="443">
        <v>112.49</v>
      </c>
      <c r="I15" s="443"/>
      <c r="J15" s="443">
        <f>-F15-G15+H15</f>
        <v>-1</v>
      </c>
      <c r="K15" s="443"/>
      <c r="M15" s="443"/>
      <c r="N15" s="443">
        <f>+J15-K15</f>
        <v>-1</v>
      </c>
      <c r="O15" s="443"/>
      <c r="P15" s="311"/>
      <c r="Q15" s="443"/>
      <c r="R15" s="443">
        <f>+N15-O15</f>
        <v>-1</v>
      </c>
      <c r="S15" s="443">
        <v>155.9</v>
      </c>
      <c r="T15" s="311"/>
      <c r="U15" s="443"/>
      <c r="V15" s="443">
        <f>+R15-S15</f>
        <v>-156.9</v>
      </c>
      <c r="W15" s="443">
        <v>116.6</v>
      </c>
      <c r="Y15" s="443"/>
      <c r="Z15" s="443"/>
      <c r="AA15" s="443">
        <f>+V15-W15</f>
        <v>-273.5</v>
      </c>
      <c r="AB15" s="443">
        <v>116.57</v>
      </c>
      <c r="AC15" s="443"/>
      <c r="AD15" s="443"/>
      <c r="AE15" s="443"/>
      <c r="AF15" s="443">
        <f>+AA15+AD15-AB15</f>
        <v>-390.07</v>
      </c>
      <c r="AG15" s="443">
        <v>116.42</v>
      </c>
      <c r="AH15" s="443"/>
      <c r="AI15" s="443"/>
      <c r="AJ15" s="443"/>
      <c r="AK15" s="443">
        <f>+AF15-AG15</f>
        <v>-506.49</v>
      </c>
      <c r="AL15" s="443">
        <v>116.28</v>
      </c>
      <c r="AM15" s="443"/>
      <c r="AN15" s="443"/>
      <c r="AO15" s="443"/>
      <c r="AP15" s="443">
        <f>+AK15-AL15</f>
        <v>-622.77</v>
      </c>
      <c r="AQ15" s="443">
        <v>338.04</v>
      </c>
      <c r="AR15" s="443"/>
      <c r="AS15" s="443"/>
      <c r="AT15" s="443"/>
      <c r="AU15" s="443">
        <f>+AP15-AQ15</f>
        <v>-960.81</v>
      </c>
      <c r="AV15" s="443">
        <v>365.91999999999996</v>
      </c>
      <c r="AW15" s="443"/>
      <c r="AX15" s="443">
        <v>75.06</v>
      </c>
      <c r="AY15" s="443">
        <v>230.33</v>
      </c>
      <c r="AZ15" s="443">
        <f>+AU15-AV15+AX15+AY15</f>
        <v>-1021.34</v>
      </c>
      <c r="BA15" s="443">
        <v>135.11000000000001</v>
      </c>
      <c r="BC15" s="443"/>
      <c r="BD15" s="443"/>
      <c r="BE15" s="443">
        <f>+AZ15-BA15+BB15</f>
        <v>-1156.45</v>
      </c>
      <c r="BF15" s="443"/>
      <c r="BH15" s="443"/>
      <c r="BI15" s="443"/>
      <c r="BJ15" s="443">
        <f>+BE15+BF15-BI15</f>
        <v>-1156.45</v>
      </c>
    </row>
    <row r="16" spans="1:62" ht="68.25" hidden="1" customHeight="1" thickBot="1" x14ac:dyDescent="0.3">
      <c r="A16" s="348" t="s">
        <v>556</v>
      </c>
      <c r="B16" s="1580"/>
      <c r="C16" s="451"/>
      <c r="K16" s="443"/>
      <c r="M16" s="443"/>
      <c r="N16" s="443"/>
      <c r="O16" s="443"/>
      <c r="P16" s="311"/>
      <c r="Q16" s="443"/>
      <c r="R16" s="443"/>
      <c r="S16" s="443"/>
      <c r="T16" s="311"/>
      <c r="U16" s="443"/>
      <c r="V16" s="443"/>
      <c r="W16" s="443"/>
      <c r="Y16" s="443"/>
      <c r="Z16" s="443"/>
      <c r="AA16" s="443"/>
      <c r="AB16" s="443"/>
      <c r="AC16" s="443"/>
      <c r="AD16" s="443"/>
      <c r="AE16" s="443"/>
      <c r="AF16" s="443"/>
      <c r="AG16" s="443"/>
      <c r="AH16" s="443"/>
      <c r="AI16" s="443"/>
      <c r="AJ16" s="443"/>
      <c r="AK16" s="443"/>
      <c r="AL16" s="443"/>
      <c r="AM16" s="443"/>
      <c r="AN16" s="443"/>
      <c r="AO16" s="443"/>
      <c r="AP16" s="443"/>
      <c r="AQ16" s="443"/>
      <c r="AR16" s="443"/>
      <c r="AS16" s="443"/>
      <c r="AT16" s="443"/>
      <c r="AU16" s="443"/>
      <c r="AV16" s="443"/>
      <c r="AW16" s="443"/>
      <c r="AX16" s="443"/>
      <c r="AY16" s="443"/>
      <c r="AZ16" s="443"/>
      <c r="BA16" s="443"/>
      <c r="BC16" s="443"/>
      <c r="BD16" s="443"/>
      <c r="BE16" s="443"/>
      <c r="BF16" s="443"/>
      <c r="BH16" s="443"/>
      <c r="BI16" s="443"/>
      <c r="BJ16" s="443"/>
    </row>
    <row r="17" spans="1:62" ht="49.5" customHeight="1" thickBot="1" x14ac:dyDescent="0.3">
      <c r="A17" s="798" t="s">
        <v>292</v>
      </c>
      <c r="B17" s="799">
        <f>SUM(B13:B16)</f>
        <v>32369.510000002709</v>
      </c>
      <c r="C17" s="800">
        <f>+MAYORES!F26</f>
        <v>32367.010000003502</v>
      </c>
      <c r="D17" s="451"/>
      <c r="E17" s="797" t="s">
        <v>314</v>
      </c>
      <c r="F17" s="443">
        <v>0</v>
      </c>
      <c r="G17" s="443">
        <v>1</v>
      </c>
      <c r="H17" s="443"/>
      <c r="I17" s="443"/>
      <c r="J17" s="443">
        <f>-F17-G17+H17</f>
        <v>-1</v>
      </c>
      <c r="K17" s="443"/>
      <c r="M17" s="443"/>
      <c r="N17" s="443">
        <f>+J17-K17</f>
        <v>-1</v>
      </c>
      <c r="O17" s="443"/>
      <c r="P17" s="311"/>
      <c r="Q17" s="443"/>
      <c r="R17" s="443">
        <f>+N17-O17</f>
        <v>-1</v>
      </c>
      <c r="S17" s="443">
        <v>1</v>
      </c>
      <c r="T17" s="311"/>
      <c r="U17" s="443"/>
      <c r="V17" s="443">
        <f>+R17-S17</f>
        <v>-2</v>
      </c>
      <c r="W17" s="443">
        <v>220.08</v>
      </c>
      <c r="Z17" s="443"/>
      <c r="AA17" s="443">
        <f>+V17-W17</f>
        <v>-222.08</v>
      </c>
      <c r="AB17" s="443">
        <v>220.08</v>
      </c>
      <c r="AC17" s="443"/>
      <c r="AD17" s="443"/>
      <c r="AE17" s="443"/>
      <c r="AF17" s="443">
        <f>+AA17-AB17</f>
        <v>-442.16</v>
      </c>
      <c r="AG17" s="443">
        <v>1</v>
      </c>
      <c r="AH17" s="443"/>
      <c r="AI17" s="443"/>
      <c r="AJ17" s="443"/>
      <c r="AK17" s="443">
        <f>+AF17-AG17</f>
        <v>-443.16</v>
      </c>
      <c r="AL17" s="443">
        <v>220.52</v>
      </c>
      <c r="AM17" s="443"/>
      <c r="AN17" s="443"/>
      <c r="AO17" s="443"/>
      <c r="AP17" s="443">
        <f>+AK17-AL17+AN17</f>
        <v>-663.68000000000006</v>
      </c>
      <c r="AQ17" s="443">
        <v>1</v>
      </c>
      <c r="AR17" s="443"/>
      <c r="AS17" s="443"/>
      <c r="AT17" s="443"/>
      <c r="AU17" s="443">
        <f>+AP17-AQ17</f>
        <v>-664.68000000000006</v>
      </c>
      <c r="AV17" s="443">
        <v>1</v>
      </c>
      <c r="AW17" s="443"/>
      <c r="AX17" s="443"/>
      <c r="AY17" s="443"/>
      <c r="AZ17" s="443">
        <f>+AU17-AV17</f>
        <v>-665.68000000000006</v>
      </c>
      <c r="BA17" s="443">
        <v>282.12</v>
      </c>
      <c r="BE17" s="443">
        <f>+AZ17-BA17</f>
        <v>-947.80000000000007</v>
      </c>
      <c r="BF17" s="443"/>
      <c r="BJ17" s="443">
        <f>+BE17+BF17</f>
        <v>-947.80000000000007</v>
      </c>
    </row>
    <row r="18" spans="1:62" ht="97.5" customHeight="1" x14ac:dyDescent="0.25">
      <c r="A18" s="1583" t="s">
        <v>558</v>
      </c>
      <c r="B18" s="1584">
        <v>1</v>
      </c>
      <c r="C18" s="800"/>
      <c r="D18" s="451"/>
      <c r="E18" s="797" t="s">
        <v>557</v>
      </c>
      <c r="F18" s="443">
        <v>0</v>
      </c>
      <c r="G18" s="443">
        <v>0.5</v>
      </c>
      <c r="H18" s="443"/>
      <c r="I18" s="443"/>
      <c r="J18" s="443">
        <f>-F18-G18+I18</f>
        <v>-0.5</v>
      </c>
      <c r="K18" s="443"/>
      <c r="M18" s="443"/>
      <c r="N18" s="443">
        <f>+J18-K18</f>
        <v>-0.5</v>
      </c>
      <c r="O18" s="443">
        <v>0.5</v>
      </c>
      <c r="P18" s="311"/>
      <c r="Q18" s="443"/>
      <c r="R18" s="443">
        <f>+N18-O18</f>
        <v>-1</v>
      </c>
      <c r="S18" s="443">
        <v>0.5</v>
      </c>
      <c r="T18" s="311"/>
      <c r="U18" s="443"/>
      <c r="V18" s="443">
        <f>+R18-S18</f>
        <v>-1.5</v>
      </c>
      <c r="W18" s="443">
        <v>0.5</v>
      </c>
      <c r="Z18" s="443"/>
      <c r="AA18" s="443">
        <f>+V18-W18</f>
        <v>-2</v>
      </c>
      <c r="AB18" s="443">
        <v>0.5</v>
      </c>
      <c r="AC18" s="443"/>
      <c r="AE18" s="443"/>
      <c r="AF18" s="443">
        <f>+AA18-AB18</f>
        <v>-2.5</v>
      </c>
      <c r="AG18" s="443">
        <v>0.5</v>
      </c>
      <c r="AH18" s="443"/>
      <c r="AI18" s="443"/>
      <c r="AJ18" s="443"/>
      <c r="AK18" s="443">
        <f>+AF18-AG18</f>
        <v>-3</v>
      </c>
      <c r="AL18" s="443">
        <v>0.5</v>
      </c>
      <c r="AM18" s="443"/>
      <c r="AN18" s="443"/>
      <c r="AO18" s="443"/>
      <c r="AP18" s="443">
        <f>+AK18-AL18</f>
        <v>-3.5</v>
      </c>
      <c r="AQ18" s="443">
        <v>0.5</v>
      </c>
      <c r="AR18" s="443"/>
      <c r="AS18" s="443"/>
      <c r="AT18" s="443"/>
      <c r="AU18" s="443">
        <f>+AP18-AQ18</f>
        <v>-4</v>
      </c>
      <c r="AV18" s="443">
        <v>0.5</v>
      </c>
      <c r="AW18" s="443"/>
      <c r="AX18" s="443"/>
      <c r="AY18" s="443"/>
      <c r="AZ18" s="443">
        <f>+AU18-AV18</f>
        <v>-4.5</v>
      </c>
      <c r="BA18" s="443">
        <v>0.5</v>
      </c>
      <c r="BE18" s="443">
        <f>+AZ18-BA18</f>
        <v>-5</v>
      </c>
      <c r="BF18" s="443"/>
      <c r="BJ18" s="443"/>
    </row>
    <row r="19" spans="1:62" ht="104.25" customHeight="1" x14ac:dyDescent="0.25">
      <c r="A19" s="1585" t="s">
        <v>560</v>
      </c>
      <c r="B19" s="1586">
        <v>1</v>
      </c>
      <c r="C19" s="567"/>
      <c r="D19" s="905"/>
      <c r="E19" s="797"/>
      <c r="F19" s="795">
        <v>6328</v>
      </c>
      <c r="G19" s="443">
        <v>0</v>
      </c>
      <c r="H19" s="443">
        <v>24.88</v>
      </c>
      <c r="I19" s="443">
        <v>24.89</v>
      </c>
      <c r="J19" s="443"/>
      <c r="K19" s="443">
        <f>+G19+I19-H19</f>
        <v>1.0000000000001563E-2</v>
      </c>
      <c r="N19" s="801">
        <f>+N15+N17+N18</f>
        <v>-2.5</v>
      </c>
      <c r="O19" s="689"/>
      <c r="P19" s="311"/>
      <c r="Q19" s="311"/>
      <c r="R19" s="950">
        <f>SUM(R14:R18)</f>
        <v>-3</v>
      </c>
      <c r="S19" s="689"/>
      <c r="T19" s="311"/>
      <c r="U19" s="311"/>
      <c r="V19" s="801">
        <f>+V15+V17-V14</f>
        <v>-158.9</v>
      </c>
      <c r="W19" s="689"/>
      <c r="X19" s="443"/>
      <c r="Y19" s="443"/>
      <c r="AA19" s="801">
        <f>+AA15+AA17+AA18</f>
        <v>-497.58000000000004</v>
      </c>
      <c r="AB19" s="689"/>
      <c r="AC19" s="443"/>
      <c r="AD19" s="443"/>
      <c r="AF19" s="801">
        <f>SUM(AF15:AF17)</f>
        <v>-832.23</v>
      </c>
      <c r="AG19" s="689"/>
      <c r="AH19" s="443"/>
      <c r="AI19" s="443"/>
      <c r="AK19" s="801">
        <f>SUM(AK15:AK17)</f>
        <v>-949.65000000000009</v>
      </c>
      <c r="AM19" s="443"/>
      <c r="AN19" s="443"/>
      <c r="AP19" s="801">
        <f>SUM(AP15:AP18)</f>
        <v>-1289.95</v>
      </c>
      <c r="AR19" s="443"/>
      <c r="AS19" s="443"/>
      <c r="AU19" s="801">
        <f>SUM(AU15:AU18)</f>
        <v>-1629.49</v>
      </c>
      <c r="AW19" s="443"/>
      <c r="AX19" s="443"/>
      <c r="AZ19" s="801">
        <f>SUM(AZ15:AZ17)</f>
        <v>-1687.02</v>
      </c>
      <c r="BE19" s="443">
        <f>+BE15+BE17</f>
        <v>-2104.25</v>
      </c>
      <c r="BJ19" s="443">
        <f>+BJ15+BJ17</f>
        <v>-2104.25</v>
      </c>
    </row>
    <row r="20" spans="1:62" ht="121.5" customHeight="1" x14ac:dyDescent="0.25">
      <c r="A20" s="1585" t="s">
        <v>566</v>
      </c>
      <c r="B20" s="1586">
        <v>0.499</v>
      </c>
      <c r="C20" s="934"/>
      <c r="D20" s="443"/>
      <c r="E20" s="451"/>
      <c r="F20" s="451"/>
      <c r="G20" s="451"/>
      <c r="H20" s="443"/>
      <c r="I20" s="756"/>
      <c r="J20" s="746">
        <f>+J15+J17+J18</f>
        <v>-2.5</v>
      </c>
      <c r="K20" s="804"/>
      <c r="L20" s="443"/>
      <c r="O20" s="787"/>
      <c r="P20" s="949"/>
      <c r="Q20" s="959"/>
      <c r="R20" s="694"/>
      <c r="S20" s="787"/>
      <c r="T20" s="787"/>
      <c r="U20" s="755"/>
      <c r="V20" s="694"/>
      <c r="W20" s="443"/>
      <c r="X20" s="443"/>
      <c r="Y20" s="443"/>
      <c r="AA20" s="443"/>
      <c r="AB20" s="443"/>
      <c r="AC20" s="443"/>
      <c r="AD20" s="443"/>
      <c r="AF20" s="443"/>
      <c r="AG20" s="443"/>
      <c r="AH20" s="443"/>
      <c r="AI20" s="443" t="s">
        <v>362</v>
      </c>
      <c r="AJ20" s="311">
        <f>+AE20+0.16</f>
        <v>0.16</v>
      </c>
      <c r="AK20" s="443">
        <f>+AK19+AJ20</f>
        <v>-949.49000000000012</v>
      </c>
      <c r="AM20" s="443"/>
      <c r="AN20" s="443" t="s">
        <v>362</v>
      </c>
      <c r="AO20" s="910">
        <f>+AJ20+0.05</f>
        <v>0.21000000000000002</v>
      </c>
      <c r="AP20" s="910">
        <f>+AP19+AO20</f>
        <v>-1289.74</v>
      </c>
      <c r="AS20" s="443"/>
      <c r="AT20" s="910"/>
      <c r="AU20" s="910"/>
      <c r="AW20" s="443"/>
      <c r="AX20" s="443"/>
      <c r="AY20" s="443"/>
      <c r="AZ20" s="443"/>
      <c r="BC20" s="443"/>
      <c r="BD20" s="443"/>
      <c r="BE20" s="443">
        <f>+BE19+BD20</f>
        <v>-2104.25</v>
      </c>
      <c r="BH20" s="443" t="s">
        <v>362</v>
      </c>
      <c r="BI20" s="443">
        <f>+BD20+0.05</f>
        <v>0.05</v>
      </c>
      <c r="BJ20" s="443">
        <f>+BJ19+BI20-0.01</f>
        <v>-2104.21</v>
      </c>
    </row>
    <row r="21" spans="1:62" ht="78.75" customHeight="1" thickBot="1" x14ac:dyDescent="0.3">
      <c r="A21" s="1457"/>
      <c r="B21" s="802"/>
      <c r="C21" s="906"/>
      <c r="D21" s="443"/>
      <c r="E21" s="451"/>
      <c r="G21" s="443"/>
      <c r="H21" s="443"/>
      <c r="I21" s="756"/>
      <c r="J21" s="694"/>
      <c r="K21" s="804"/>
      <c r="L21" s="443"/>
      <c r="O21" s="787"/>
      <c r="P21" s="787"/>
      <c r="Q21" s="755"/>
      <c r="R21" s="694"/>
      <c r="S21" s="787"/>
      <c r="T21" s="787"/>
      <c r="U21" s="755"/>
      <c r="V21" s="694"/>
      <c r="W21" s="443"/>
      <c r="X21" s="443"/>
      <c r="Y21" s="443"/>
      <c r="AA21" s="443"/>
      <c r="AB21" s="443"/>
      <c r="AC21" s="443"/>
      <c r="AD21" s="443"/>
      <c r="AE21" s="443"/>
      <c r="AF21" s="443"/>
      <c r="AG21" s="443"/>
      <c r="AH21" s="443"/>
      <c r="AI21" s="443"/>
      <c r="AJ21" s="443"/>
      <c r="AK21" s="443"/>
      <c r="AM21" s="443"/>
      <c r="AO21" s="443"/>
      <c r="AQ21" s="910"/>
      <c r="AR21" s="910"/>
      <c r="AS21" s="443"/>
      <c r="AT21" s="443"/>
      <c r="AW21" s="443"/>
      <c r="AX21" s="443"/>
      <c r="AY21" s="443"/>
      <c r="BA21" s="443"/>
      <c r="BB21" s="443"/>
      <c r="BC21" s="443"/>
      <c r="BE21" s="443"/>
      <c r="BF21" s="443"/>
      <c r="BG21" s="443"/>
      <c r="BH21" s="443"/>
      <c r="BJ21" s="443"/>
    </row>
    <row r="22" spans="1:62" ht="106.5" hidden="1" customHeight="1" thickBot="1" x14ac:dyDescent="0.3">
      <c r="A22" s="1457"/>
      <c r="B22" s="802"/>
      <c r="C22" s="803"/>
      <c r="D22" s="443"/>
      <c r="E22" s="843"/>
      <c r="G22" s="443"/>
      <c r="H22" s="443"/>
      <c r="I22" s="755"/>
      <c r="J22" s="694"/>
      <c r="K22" s="804"/>
      <c r="O22" s="787"/>
      <c r="P22" s="787"/>
      <c r="Q22" s="755"/>
      <c r="R22" s="694"/>
      <c r="S22" s="787"/>
      <c r="T22" s="787"/>
      <c r="U22" s="755"/>
      <c r="V22" s="694"/>
      <c r="W22" s="443"/>
      <c r="X22" s="443"/>
      <c r="Y22" s="443"/>
      <c r="AA22" s="443"/>
      <c r="AB22" s="443"/>
      <c r="AC22" s="443"/>
      <c r="AD22" s="443">
        <f>51132-13425.14</f>
        <v>37706.86</v>
      </c>
      <c r="AF22" s="443"/>
      <c r="AG22" s="443"/>
      <c r="AH22" s="443"/>
      <c r="AI22" s="443"/>
      <c r="AK22" s="443"/>
      <c r="AL22" s="311">
        <v>171.81</v>
      </c>
      <c r="AN22" s="443"/>
      <c r="AR22" s="910">
        <v>0.71</v>
      </c>
      <c r="AS22" s="311" t="s">
        <v>368</v>
      </c>
      <c r="AW22" s="443"/>
      <c r="AX22" s="443"/>
      <c r="BA22" s="443"/>
      <c r="BE22" s="443"/>
      <c r="BF22" s="443"/>
      <c r="BJ22" s="443"/>
    </row>
    <row r="23" spans="1:62" ht="105" hidden="1" customHeight="1" thickBot="1" x14ac:dyDescent="0.3">
      <c r="A23" s="1457"/>
      <c r="B23" s="802"/>
      <c r="C23" s="803"/>
      <c r="D23" s="451"/>
      <c r="E23" s="612"/>
      <c r="G23" s="443"/>
      <c r="H23" s="443"/>
      <c r="I23" s="755"/>
      <c r="J23" s="694"/>
      <c r="K23" s="804"/>
      <c r="O23" s="787"/>
      <c r="P23" s="787"/>
      <c r="Q23" s="755"/>
      <c r="R23" s="694"/>
      <c r="S23" s="787"/>
      <c r="T23" s="787"/>
      <c r="U23" s="755"/>
      <c r="V23" s="694"/>
      <c r="W23" s="443"/>
      <c r="X23" s="443"/>
      <c r="Y23" s="443"/>
      <c r="AA23" s="443"/>
      <c r="AB23" s="443"/>
      <c r="AC23" s="443"/>
      <c r="AD23" s="443"/>
      <c r="AF23" s="443"/>
      <c r="AG23" s="443"/>
      <c r="AH23" s="443"/>
      <c r="AI23" s="443"/>
      <c r="AK23" s="443"/>
      <c r="BE23" s="443"/>
      <c r="BJ23" s="443"/>
    </row>
    <row r="24" spans="1:62" ht="107.25" hidden="1" customHeight="1" thickBot="1" x14ac:dyDescent="0.3">
      <c r="A24" s="1457"/>
      <c r="B24" s="1542"/>
      <c r="C24" s="443"/>
      <c r="D24" s="451"/>
      <c r="E24" s="450"/>
      <c r="F24" s="443"/>
      <c r="G24" s="443"/>
      <c r="I24" s="443"/>
      <c r="K24" s="443"/>
      <c r="M24" s="443"/>
      <c r="O24" s="787"/>
      <c r="Q24" s="787"/>
      <c r="S24" s="787"/>
      <c r="U24" s="787"/>
      <c r="W24" s="443"/>
      <c r="Z24" s="443"/>
      <c r="AB24" s="443"/>
      <c r="AE24" s="443"/>
      <c r="AG24" s="443"/>
      <c r="AJ24" s="443"/>
    </row>
    <row r="25" spans="1:62" ht="96" hidden="1" customHeight="1" thickBot="1" x14ac:dyDescent="0.3">
      <c r="A25" s="1581"/>
      <c r="B25" s="802"/>
      <c r="C25" s="443"/>
      <c r="D25" s="451"/>
      <c r="E25" s="450"/>
      <c r="F25" s="443"/>
      <c r="G25" s="443"/>
      <c r="I25" s="443"/>
      <c r="K25" s="443"/>
      <c r="M25" s="443"/>
      <c r="O25" s="787"/>
      <c r="Q25" s="787"/>
      <c r="S25" s="787"/>
      <c r="U25" s="787"/>
      <c r="W25" s="443"/>
      <c r="Z25" s="443"/>
      <c r="AB25" s="443"/>
      <c r="AE25" s="443"/>
      <c r="AG25" s="443"/>
      <c r="AJ25" s="443"/>
    </row>
    <row r="26" spans="1:62" ht="38.25" customHeight="1" thickBot="1" x14ac:dyDescent="0.3">
      <c r="A26" s="489" t="s">
        <v>208</v>
      </c>
      <c r="B26" s="805">
        <f>+(B17)-B18-B19-B20-B23-B24-B21+B25</f>
        <v>32367.011000002709</v>
      </c>
      <c r="C26" s="800">
        <f>+B26-C17</f>
        <v>9.9999920712434687E-4</v>
      </c>
      <c r="D26" s="451"/>
      <c r="E26" s="452"/>
      <c r="F26" s="443"/>
      <c r="G26" s="443"/>
      <c r="I26" s="443"/>
      <c r="J26" s="443"/>
      <c r="K26" s="443"/>
      <c r="M26" s="443"/>
      <c r="N26" s="443"/>
      <c r="O26" s="787"/>
      <c r="Q26" s="787"/>
      <c r="R26" s="787"/>
      <c r="S26" s="787"/>
      <c r="U26" s="787"/>
      <c r="V26" s="787"/>
      <c r="W26" s="443"/>
      <c r="Z26" s="443"/>
      <c r="AA26" s="443"/>
      <c r="AB26" s="443"/>
      <c r="AE26" s="443"/>
      <c r="AF26" s="443"/>
      <c r="AG26" s="443"/>
      <c r="AJ26" s="443"/>
      <c r="AK26" s="443"/>
      <c r="AR26" s="311">
        <v>0.06</v>
      </c>
      <c r="AS26" s="311" t="s">
        <v>367</v>
      </c>
    </row>
    <row r="27" spans="1:62" ht="59.25" customHeight="1" thickBot="1" x14ac:dyDescent="0.3">
      <c r="A27" s="717"/>
      <c r="B27" s="788"/>
      <c r="C27" s="443"/>
      <c r="D27" s="451"/>
      <c r="E27" s="806"/>
      <c r="G27" s="443"/>
      <c r="I27" s="443"/>
      <c r="M27" s="443"/>
      <c r="Q27" s="787"/>
      <c r="U27" s="787"/>
      <c r="Z27" s="443"/>
      <c r="AE27" s="443"/>
      <c r="AJ27" s="443"/>
    </row>
    <row r="28" spans="1:62" ht="26.25" customHeight="1" thickBot="1" x14ac:dyDescent="0.3">
      <c r="A28" s="745"/>
      <c r="B28" s="745" t="s">
        <v>293</v>
      </c>
      <c r="C28" s="746"/>
      <c r="D28" s="746"/>
      <c r="E28" s="746"/>
      <c r="F28" s="689"/>
      <c r="G28" s="689"/>
      <c r="H28" s="746"/>
      <c r="I28" s="689"/>
      <c r="J28" s="746"/>
      <c r="K28" s="689"/>
      <c r="O28" s="689"/>
      <c r="P28" s="689"/>
      <c r="Q28" s="689"/>
      <c r="R28" s="746"/>
      <c r="S28" s="689"/>
      <c r="T28" s="689"/>
      <c r="U28" s="689"/>
      <c r="V28" s="746"/>
      <c r="AA28" s="443"/>
      <c r="AF28" s="443"/>
      <c r="AK28" s="443"/>
    </row>
    <row r="29" spans="1:62" ht="20.100000000000001" customHeight="1" x14ac:dyDescent="0.25">
      <c r="A29" s="1625"/>
      <c r="B29" s="1625"/>
      <c r="C29" s="754"/>
      <c r="D29" s="754"/>
      <c r="E29" s="807"/>
      <c r="F29" s="688"/>
      <c r="G29" s="719"/>
      <c r="H29" s="719"/>
      <c r="I29" s="804"/>
      <c r="J29" s="719"/>
      <c r="K29" s="719"/>
      <c r="O29" s="719"/>
      <c r="P29" s="719"/>
      <c r="Q29" s="804"/>
      <c r="R29" s="719"/>
      <c r="S29" s="719"/>
      <c r="T29" s="719"/>
      <c r="U29" s="804"/>
      <c r="V29" s="719"/>
      <c r="Z29" s="443"/>
      <c r="AE29" s="443"/>
      <c r="AJ29" s="443"/>
    </row>
    <row r="30" spans="1:62" ht="65.25" customHeight="1" thickBot="1" x14ac:dyDescent="0.3">
      <c r="A30" s="1626"/>
      <c r="B30" s="1626"/>
      <c r="C30" s="754"/>
      <c r="D30" s="754"/>
      <c r="E30" s="754"/>
      <c r="F30" s="688"/>
      <c r="G30" s="719"/>
      <c r="H30" s="719"/>
      <c r="I30" s="719"/>
      <c r="J30" s="719"/>
      <c r="K30" s="719"/>
      <c r="O30" s="719"/>
      <c r="P30" s="719"/>
      <c r="Q30" s="719"/>
      <c r="R30" s="719"/>
      <c r="S30" s="719"/>
      <c r="T30" s="719"/>
      <c r="U30" s="719"/>
      <c r="V30" s="719"/>
    </row>
    <row r="31" spans="1:62" ht="24.75" customHeight="1" thickBot="1" x14ac:dyDescent="0.3">
      <c r="A31" s="745" t="s">
        <v>273</v>
      </c>
      <c r="B31" s="745" t="s">
        <v>227</v>
      </c>
      <c r="C31" s="746"/>
      <c r="D31" s="746"/>
      <c r="E31" s="689"/>
      <c r="F31" s="689"/>
      <c r="G31" s="690"/>
      <c r="H31" s="690"/>
      <c r="I31" s="690"/>
      <c r="J31" s="690"/>
      <c r="K31" s="690"/>
      <c r="O31" s="690"/>
      <c r="P31" s="690"/>
      <c r="Q31" s="690"/>
      <c r="R31" s="690"/>
      <c r="S31" s="690"/>
      <c r="T31" s="690"/>
      <c r="U31" s="690"/>
      <c r="V31" s="690"/>
      <c r="W31" s="808"/>
      <c r="X31" s="808"/>
      <c r="Y31" s="808"/>
      <c r="Z31" s="808"/>
      <c r="AA31" s="808"/>
      <c r="AB31" s="808"/>
      <c r="AC31" s="808"/>
      <c r="AD31" s="808"/>
      <c r="AE31" s="808"/>
      <c r="AF31" s="808"/>
      <c r="AG31" s="808"/>
      <c r="AH31" s="808"/>
      <c r="AI31" s="808"/>
      <c r="AJ31" s="808"/>
      <c r="AK31" s="808"/>
    </row>
    <row r="32" spans="1:62" ht="24.75" customHeight="1" thickBot="1" x14ac:dyDescent="0.3">
      <c r="A32" s="745" t="s">
        <v>272</v>
      </c>
      <c r="B32" s="745" t="s">
        <v>337</v>
      </c>
      <c r="C32" s="746"/>
      <c r="D32" s="746"/>
      <c r="E32" s="689"/>
      <c r="F32" s="689"/>
      <c r="G32" s="689"/>
      <c r="H32" s="689"/>
      <c r="I32" s="689"/>
      <c r="J32" s="689"/>
      <c r="K32" s="689"/>
      <c r="O32" s="689"/>
      <c r="P32" s="689"/>
      <c r="Q32" s="689"/>
      <c r="R32" s="689"/>
      <c r="S32" s="689"/>
      <c r="T32" s="689"/>
      <c r="U32" s="689"/>
      <c r="V32" s="689"/>
    </row>
    <row r="33" spans="2:7" ht="20.100000000000001" customHeight="1" x14ac:dyDescent="0.25">
      <c r="B33" s="443"/>
    </row>
    <row r="34" spans="2:7" ht="20.100000000000001" customHeight="1" x14ac:dyDescent="0.25">
      <c r="B34" s="443"/>
      <c r="C34" s="443"/>
    </row>
    <row r="35" spans="2:7" ht="20.100000000000001" customHeight="1" x14ac:dyDescent="0.25">
      <c r="B35" s="443"/>
    </row>
    <row r="36" spans="2:7" ht="20.100000000000001" customHeight="1" x14ac:dyDescent="0.25">
      <c r="C36" s="443"/>
    </row>
    <row r="37" spans="2:7" ht="20.100000000000001" customHeight="1" x14ac:dyDescent="0.25">
      <c r="C37" s="330"/>
      <c r="F37" s="311">
        <v>116</v>
      </c>
      <c r="G37" s="311">
        <v>1</v>
      </c>
    </row>
    <row r="38" spans="2:7" ht="20.100000000000001" customHeight="1" x14ac:dyDescent="0.25">
      <c r="B38" s="443"/>
      <c r="C38" s="443"/>
      <c r="F38" s="311">
        <v>6328</v>
      </c>
      <c r="G38" s="311">
        <v>24.88</v>
      </c>
    </row>
    <row r="39" spans="2:7" ht="20.100000000000001" customHeight="1" x14ac:dyDescent="0.25">
      <c r="F39" s="311">
        <v>5889</v>
      </c>
      <c r="G39" s="311">
        <v>113.49000000000001</v>
      </c>
    </row>
    <row r="40" spans="2:7" ht="20.100000000000001" customHeight="1" x14ac:dyDescent="0.25">
      <c r="C40" s="443"/>
      <c r="F40" s="311">
        <v>196</v>
      </c>
      <c r="G40" s="311">
        <v>0</v>
      </c>
    </row>
    <row r="41" spans="2:7" ht="20.100000000000001" customHeight="1" x14ac:dyDescent="0.25">
      <c r="F41" s="311">
        <v>216</v>
      </c>
      <c r="G41" s="311">
        <v>340.92</v>
      </c>
    </row>
    <row r="42" spans="2:7" ht="20.100000000000001" customHeight="1" x14ac:dyDescent="0.25">
      <c r="C42" s="443"/>
      <c r="F42" s="311">
        <v>1739</v>
      </c>
      <c r="G42" s="311">
        <v>0.5</v>
      </c>
    </row>
    <row r="43" spans="2:7" ht="20.100000000000001" customHeight="1" x14ac:dyDescent="0.25">
      <c r="C43" s="443"/>
      <c r="F43" s="311" t="s">
        <v>400</v>
      </c>
    </row>
    <row r="44" spans="2:7" ht="20.100000000000001" customHeight="1" x14ac:dyDescent="0.25">
      <c r="F44" s="311">
        <v>6328</v>
      </c>
      <c r="G44" s="311">
        <v>24.89</v>
      </c>
    </row>
    <row r="45" spans="2:7" ht="20.100000000000001" customHeight="1" x14ac:dyDescent="0.25">
      <c r="C45" s="443"/>
      <c r="F45" s="311">
        <v>5889</v>
      </c>
      <c r="G45" s="311">
        <v>112.49</v>
      </c>
    </row>
    <row r="47" spans="2:7" ht="20.100000000000001" customHeight="1" x14ac:dyDescent="0.25">
      <c r="C47" s="443"/>
    </row>
    <row r="48" spans="2:7" ht="20.100000000000001" customHeight="1" x14ac:dyDescent="0.25">
      <c r="C48" s="443"/>
    </row>
  </sheetData>
  <mergeCells count="9">
    <mergeCell ref="A10:B10"/>
    <mergeCell ref="A29:A30"/>
    <mergeCell ref="B29:B30"/>
    <mergeCell ref="A3:B3"/>
    <mergeCell ref="A4:B4"/>
    <mergeCell ref="A5:B5"/>
    <mergeCell ref="A7:B7"/>
    <mergeCell ref="A8:B8"/>
    <mergeCell ref="A9:B9"/>
  </mergeCells>
  <printOptions horizontalCentered="1"/>
  <pageMargins left="0.78740157480314965" right="0.59055118110236227" top="0.39370078740157483" bottom="0.31496062992125984" header="0.31496062992125984" footer="0.31496062992125984"/>
  <pageSetup scale="58" orientation="portrait" verticalDpi="360" r:id="rId1"/>
  <colBreaks count="13" manualBreakCount="13">
    <brk id="2" max="30" man="1"/>
    <brk id="6" max="30" man="1"/>
    <brk id="10" max="30" man="1"/>
    <brk id="14" max="30" man="1"/>
    <brk id="18" max="30" man="1"/>
    <brk id="22" max="30" man="1"/>
    <brk id="27" max="30" man="1"/>
    <brk id="32" max="30" man="1"/>
    <brk id="37" max="30" man="1"/>
    <brk id="42" max="30" man="1"/>
    <brk id="47" max="30" man="1"/>
    <brk id="52" max="30" man="1"/>
    <brk id="57" max="30"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7"/>
  <sheetViews>
    <sheetView view="pageBreakPreview" topLeftCell="A14" zoomScale="70" zoomScaleSheetLayoutView="70" workbookViewId="0">
      <selection activeCell="V31" sqref="V31"/>
    </sheetView>
  </sheetViews>
  <sheetFormatPr baseColWidth="10" defaultColWidth="11.42578125" defaultRowHeight="20.100000000000001" customHeight="1" x14ac:dyDescent="0.25"/>
  <cols>
    <col min="1" max="1" width="77" style="311" customWidth="1"/>
    <col min="2" max="2" width="59.42578125" style="311" customWidth="1"/>
    <col min="3" max="3" width="29.7109375" style="311" customWidth="1"/>
    <col min="4" max="4" width="22.7109375" style="330" hidden="1" customWidth="1"/>
    <col min="5" max="5" width="21.28515625" style="330" hidden="1" customWidth="1"/>
    <col min="6" max="6" width="16.7109375" style="311" hidden="1" customWidth="1"/>
    <col min="7" max="7" width="22.7109375" style="311" hidden="1" customWidth="1"/>
    <col min="8" max="8" width="18.140625" style="311" hidden="1" customWidth="1"/>
    <col min="9" max="9" width="21.28515625" style="311" hidden="1" customWidth="1"/>
    <col min="10" max="10" width="18.5703125" style="311" hidden="1" customWidth="1"/>
    <col min="11" max="11" width="20.42578125" style="311" hidden="1" customWidth="1"/>
    <col min="12" max="12" width="18" style="311" hidden="1" customWidth="1"/>
    <col min="13" max="13" width="15.28515625" style="311" hidden="1" customWidth="1"/>
    <col min="14" max="14" width="18.85546875" style="311" hidden="1" customWidth="1"/>
    <col min="15" max="15" width="25" style="782" hidden="1" customWidth="1"/>
    <col min="16" max="16" width="18.140625" style="782" hidden="1" customWidth="1"/>
    <col min="17" max="17" width="16.7109375" style="782" hidden="1" customWidth="1"/>
    <col min="18" max="18" width="19.42578125" style="782" hidden="1" customWidth="1"/>
    <col min="19" max="16384" width="11.42578125" style="311"/>
  </cols>
  <sheetData>
    <row r="1" spans="1:18" ht="20.100000000000001" customHeight="1" x14ac:dyDescent="0.25">
      <c r="A1" s="780"/>
      <c r="B1" s="781"/>
      <c r="C1" s="157"/>
      <c r="D1" s="354"/>
      <c r="E1" s="354"/>
      <c r="F1" s="157"/>
      <c r="G1" s="157"/>
      <c r="H1" s="157"/>
      <c r="I1" s="157"/>
      <c r="O1" s="165"/>
      <c r="P1" s="165"/>
      <c r="Q1" s="165"/>
    </row>
    <row r="2" spans="1:18" ht="20.100000000000001" customHeight="1" x14ac:dyDescent="0.25">
      <c r="A2" s="783"/>
      <c r="B2" s="784"/>
      <c r="C2" s="220"/>
      <c r="D2" s="223"/>
      <c r="E2" s="223"/>
      <c r="F2" s="220"/>
      <c r="G2" s="220"/>
      <c r="H2" s="220"/>
      <c r="I2" s="220"/>
      <c r="O2" s="1522"/>
      <c r="P2" s="1522"/>
      <c r="Q2" s="1522"/>
    </row>
    <row r="3" spans="1:18" ht="29.25" customHeight="1" x14ac:dyDescent="0.25">
      <c r="A3" s="1627" t="str">
        <f>+'[13]BALANCE GENERAL '!A1:I1</f>
        <v>REPÚBLICA BOLIVARIANA DE VENEZUELA</v>
      </c>
      <c r="B3" s="1628"/>
      <c r="C3" s="445"/>
      <c r="D3" s="446"/>
      <c r="E3" s="446"/>
      <c r="F3" s="157"/>
      <c r="G3" s="157"/>
      <c r="H3" s="157"/>
      <c r="I3" s="157"/>
      <c r="O3" s="165"/>
      <c r="P3" s="165"/>
      <c r="Q3" s="165"/>
    </row>
    <row r="4" spans="1:18" ht="42" customHeight="1" x14ac:dyDescent="0.25">
      <c r="A4" s="1629" t="str">
        <f>+'[13]BALANCE GENERAL '!A2:I2</f>
        <v>SERVICIO ADMINISTRATIVO DE PROTECCIÓN DEL NIÑO, NIÑA Y ADOLESCENTE DEL ESTADO TRUJILLO</v>
      </c>
      <c r="B4" s="1630"/>
      <c r="C4" s="447"/>
      <c r="D4" s="448"/>
      <c r="E4" s="448"/>
    </row>
    <row r="5" spans="1:18" ht="33.75" customHeight="1" x14ac:dyDescent="0.25">
      <c r="A5" s="1627" t="str">
        <f>+'[14]BALANCE GENERAL '!A3:I3</f>
        <v>DIRECCIÓN DE ADMINISTRACIÓN-UNIDAD DE CONTABILIDAD</v>
      </c>
      <c r="B5" s="1628"/>
      <c r="C5" s="449"/>
      <c r="D5" s="450"/>
      <c r="E5" s="450"/>
    </row>
    <row r="6" spans="1:18" ht="20.100000000000001" customHeight="1" x14ac:dyDescent="0.25">
      <c r="A6" s="785"/>
      <c r="B6" s="786"/>
      <c r="F6" s="311">
        <v>95.77</v>
      </c>
    </row>
    <row r="7" spans="1:18" ht="24.75" customHeight="1" x14ac:dyDescent="0.25">
      <c r="A7" s="1633" t="str">
        <f>+'[4]BALANCE GENERAL'!A5:I5</f>
        <v>BALANCE   GENERAL</v>
      </c>
      <c r="B7" s="1634"/>
    </row>
    <row r="8" spans="1:18" ht="25.5" customHeight="1" x14ac:dyDescent="0.25">
      <c r="A8" s="1822" t="s">
        <v>522</v>
      </c>
      <c r="B8" s="1821"/>
    </row>
    <row r="9" spans="1:18" ht="33" customHeight="1" x14ac:dyDescent="0.25">
      <c r="A9" s="1820" t="s">
        <v>501</v>
      </c>
      <c r="B9" s="1821"/>
      <c r="G9" s="443"/>
      <c r="M9" s="443"/>
    </row>
    <row r="10" spans="1:18" ht="15" customHeight="1" thickBot="1" x14ac:dyDescent="0.3">
      <c r="A10" s="1820"/>
      <c r="B10" s="1821"/>
      <c r="O10" s="787"/>
    </row>
    <row r="11" spans="1:18" ht="12" hidden="1" customHeight="1" thickBot="1" x14ac:dyDescent="0.3">
      <c r="A11" s="717"/>
      <c r="B11" s="788"/>
    </row>
    <row r="12" spans="1:18" ht="45.75" customHeight="1" thickBot="1" x14ac:dyDescent="0.3">
      <c r="A12" s="1534" t="s">
        <v>190</v>
      </c>
      <c r="B12" s="1535" t="s">
        <v>71</v>
      </c>
      <c r="E12" s="789"/>
      <c r="F12" s="790" t="s">
        <v>343</v>
      </c>
      <c r="G12" s="790" t="s">
        <v>344</v>
      </c>
      <c r="H12" s="792" t="s">
        <v>345</v>
      </c>
      <c r="I12" s="640" t="s">
        <v>346</v>
      </c>
      <c r="J12" s="639" t="s">
        <v>267</v>
      </c>
      <c r="K12" s="790" t="s">
        <v>347</v>
      </c>
      <c r="L12" s="792" t="s">
        <v>348</v>
      </c>
      <c r="M12" s="791" t="s">
        <v>300</v>
      </c>
      <c r="N12" s="707" t="s">
        <v>267</v>
      </c>
      <c r="O12" s="790" t="s">
        <v>350</v>
      </c>
      <c r="P12" s="791" t="s">
        <v>271</v>
      </c>
      <c r="Q12" s="791" t="s">
        <v>302</v>
      </c>
      <c r="R12" s="707" t="s">
        <v>267</v>
      </c>
    </row>
    <row r="13" spans="1:18" ht="32.25" hidden="1" customHeight="1" thickBot="1" x14ac:dyDescent="0.3">
      <c r="A13" s="347" t="s">
        <v>523</v>
      </c>
      <c r="B13" s="793">
        <v>0</v>
      </c>
      <c r="C13" s="443"/>
      <c r="E13" s="794">
        <v>6328</v>
      </c>
      <c r="F13" s="158">
        <v>0</v>
      </c>
      <c r="G13" s="443">
        <v>0.5</v>
      </c>
      <c r="H13" s="443">
        <v>6</v>
      </c>
      <c r="I13" s="443"/>
      <c r="J13" s="443">
        <f>-F13-G13+H13</f>
        <v>5.5</v>
      </c>
      <c r="K13" s="443">
        <v>0.5</v>
      </c>
      <c r="L13" s="443"/>
      <c r="M13" s="443"/>
      <c r="N13" s="443">
        <f>+J13-K13</f>
        <v>5</v>
      </c>
      <c r="O13" s="443">
        <v>0.5</v>
      </c>
      <c r="P13" s="443"/>
      <c r="Q13" s="443"/>
      <c r="R13" s="443">
        <f>+N13-O13+P13</f>
        <v>4.5</v>
      </c>
    </row>
    <row r="14" spans="1:18" ht="78.75" customHeight="1" x14ac:dyDescent="0.25">
      <c r="A14" s="1536" t="s">
        <v>524</v>
      </c>
      <c r="B14" s="1537">
        <v>15281.53</v>
      </c>
      <c r="C14" s="451"/>
      <c r="E14" s="795"/>
      <c r="F14" s="443">
        <v>0</v>
      </c>
      <c r="G14" s="443">
        <v>1</v>
      </c>
      <c r="H14" s="443"/>
      <c r="I14" s="443"/>
      <c r="J14" s="443">
        <f>+F14+G14-H14+I14</f>
        <v>1</v>
      </c>
      <c r="K14" s="443">
        <v>1</v>
      </c>
      <c r="L14" s="443"/>
      <c r="M14" s="443"/>
      <c r="N14" s="443">
        <f t="shared" ref="N14:N15" si="0">+J14-K14</f>
        <v>0</v>
      </c>
      <c r="O14" s="443">
        <v>1</v>
      </c>
      <c r="P14" s="443"/>
      <c r="Q14" s="443"/>
      <c r="R14" s="443">
        <v>0</v>
      </c>
    </row>
    <row r="15" spans="1:18" ht="62.25" customHeight="1" x14ac:dyDescent="0.25">
      <c r="A15" s="1538" t="s">
        <v>525</v>
      </c>
      <c r="B15" s="1539">
        <v>128999.03999999999</v>
      </c>
      <c r="C15" s="451"/>
      <c r="E15" s="795" t="s">
        <v>457</v>
      </c>
      <c r="F15" s="443">
        <v>0</v>
      </c>
      <c r="G15" s="443">
        <v>0</v>
      </c>
      <c r="I15" s="443"/>
      <c r="J15" s="443">
        <f>+F15+G15-H15+I15</f>
        <v>0</v>
      </c>
      <c r="K15" s="443">
        <v>0</v>
      </c>
      <c r="M15" s="443"/>
      <c r="N15" s="443">
        <f t="shared" si="0"/>
        <v>0</v>
      </c>
      <c r="O15" s="443">
        <v>0</v>
      </c>
      <c r="P15" s="311"/>
      <c r="Q15" s="443"/>
      <c r="R15" s="351">
        <f>-N15-O15+P15+Q15</f>
        <v>0</v>
      </c>
    </row>
    <row r="16" spans="1:18" ht="66.75" customHeight="1" thickBot="1" x14ac:dyDescent="0.3">
      <c r="A16" s="1540" t="s">
        <v>526</v>
      </c>
      <c r="B16" s="1539">
        <v>58893.39</v>
      </c>
      <c r="C16" s="451">
        <f>+B17-C17</f>
        <v>0</v>
      </c>
      <c r="E16" s="795"/>
      <c r="F16" s="443">
        <v>0</v>
      </c>
      <c r="G16" s="443">
        <v>73.27</v>
      </c>
      <c r="H16" s="443">
        <v>1500</v>
      </c>
      <c r="I16" s="443"/>
      <c r="J16" s="443">
        <f>-F16-G16+H16</f>
        <v>1426.73</v>
      </c>
      <c r="K16" s="443">
        <v>112.1</v>
      </c>
      <c r="M16" s="443"/>
      <c r="N16" s="443">
        <f>+J16-K16</f>
        <v>1314.63</v>
      </c>
      <c r="O16" s="443">
        <v>295.29000000000002</v>
      </c>
      <c r="P16" s="311"/>
      <c r="Q16" s="443"/>
      <c r="R16" s="443">
        <f>+N16-O16</f>
        <v>1019.3400000000001</v>
      </c>
    </row>
    <row r="17" spans="1:20" ht="63" customHeight="1" thickBot="1" x14ac:dyDescent="0.3">
      <c r="A17" s="798" t="s">
        <v>527</v>
      </c>
      <c r="B17" s="1541">
        <f>SUM(B13:B16)</f>
        <v>203173.96000000002</v>
      </c>
      <c r="C17" s="800">
        <f>+MAYORES!F42</f>
        <v>203173.96</v>
      </c>
      <c r="D17" s="451"/>
      <c r="E17" s="797"/>
      <c r="F17" s="443">
        <v>0</v>
      </c>
      <c r="G17" s="443">
        <v>216</v>
      </c>
      <c r="H17" s="443">
        <v>1500</v>
      </c>
      <c r="I17" s="443"/>
      <c r="J17" s="443">
        <f>-F17-G17+H17</f>
        <v>1284</v>
      </c>
      <c r="K17" s="443">
        <v>217.56</v>
      </c>
      <c r="M17" s="443"/>
      <c r="N17" s="443">
        <f>+J17-K17</f>
        <v>1066.44</v>
      </c>
      <c r="O17" s="443">
        <v>3.62</v>
      </c>
      <c r="P17" s="311"/>
      <c r="Q17" s="443"/>
      <c r="R17" s="443">
        <f>+N17-O17</f>
        <v>1062.8200000000002</v>
      </c>
    </row>
    <row r="18" spans="1:20" ht="49.5" customHeight="1" thickBot="1" x14ac:dyDescent="0.3">
      <c r="A18" s="1460"/>
      <c r="B18" s="1542"/>
      <c r="C18" s="800">
        <f>+MAYORES!F121</f>
        <v>203173.96</v>
      </c>
      <c r="D18" s="451"/>
      <c r="E18" s="797"/>
      <c r="F18" s="443">
        <v>0</v>
      </c>
      <c r="G18" s="443">
        <v>0.5</v>
      </c>
      <c r="H18" s="443"/>
      <c r="I18" s="443"/>
      <c r="J18" s="443">
        <f>-F18-G18+I18</f>
        <v>-0.5</v>
      </c>
      <c r="K18" s="443">
        <v>0.5</v>
      </c>
      <c r="M18" s="443"/>
      <c r="N18" s="443">
        <f>+J18-K18</f>
        <v>-1</v>
      </c>
      <c r="O18" s="443">
        <v>0.5</v>
      </c>
      <c r="P18" s="311"/>
      <c r="Q18" s="443"/>
      <c r="R18" s="443">
        <f>+N18-O18</f>
        <v>-1.5</v>
      </c>
    </row>
    <row r="19" spans="1:20" ht="50.1" customHeight="1" thickBot="1" x14ac:dyDescent="0.3">
      <c r="A19" s="1460"/>
      <c r="B19" s="1542"/>
      <c r="C19" s="567"/>
      <c r="D19" s="905"/>
      <c r="E19" s="451"/>
      <c r="H19" s="451"/>
      <c r="I19" s="451"/>
      <c r="J19" s="746">
        <f>+J16+J17+J18</f>
        <v>2710.23</v>
      </c>
      <c r="K19" s="689"/>
      <c r="N19" s="801">
        <f>+N16+N17+N18</f>
        <v>2380.0700000000002</v>
      </c>
      <c r="O19" s="689"/>
      <c r="P19" s="311"/>
      <c r="Q19" s="311"/>
      <c r="R19" s="950">
        <f>SUM(R15:R18)</f>
        <v>2080.6600000000003</v>
      </c>
    </row>
    <row r="20" spans="1:20" ht="50.1" customHeight="1" thickBot="1" x14ac:dyDescent="0.3">
      <c r="A20" s="1457"/>
      <c r="B20" s="1542"/>
      <c r="C20" s="934"/>
      <c r="D20" s="443"/>
      <c r="E20" s="451"/>
      <c r="F20" s="451"/>
      <c r="G20" s="451"/>
      <c r="H20" s="443"/>
      <c r="I20" s="756"/>
      <c r="J20" s="694"/>
      <c r="K20" s="804"/>
      <c r="L20" s="443"/>
      <c r="O20" s="787"/>
      <c r="P20" s="949"/>
      <c r="Q20" s="959"/>
      <c r="R20" s="694"/>
      <c r="T20" s="782"/>
    </row>
    <row r="21" spans="1:20" ht="50.1" customHeight="1" thickBot="1" x14ac:dyDescent="0.3">
      <c r="A21" s="1457"/>
      <c r="B21" s="802"/>
      <c r="C21" s="906"/>
      <c r="D21" s="443"/>
      <c r="E21" s="451"/>
      <c r="G21" s="443"/>
      <c r="H21" s="443"/>
      <c r="I21" s="756"/>
      <c r="J21" s="694"/>
      <c r="K21" s="804"/>
      <c r="L21" s="443"/>
      <c r="O21" s="787"/>
      <c r="P21" s="787"/>
      <c r="Q21" s="755"/>
      <c r="R21" s="694"/>
      <c r="S21" s="787"/>
      <c r="T21" s="782"/>
    </row>
    <row r="22" spans="1:20" ht="50.1" customHeight="1" thickBot="1" x14ac:dyDescent="0.3">
      <c r="A22" s="1457"/>
      <c r="B22" s="802"/>
      <c r="C22" s="803"/>
      <c r="D22" s="443"/>
      <c r="E22" s="843"/>
      <c r="G22" s="443"/>
      <c r="H22" s="443"/>
      <c r="I22" s="755"/>
      <c r="J22" s="694"/>
      <c r="K22" s="804"/>
      <c r="O22" s="787"/>
      <c r="P22" s="787"/>
      <c r="Q22" s="755"/>
      <c r="R22" s="694"/>
      <c r="T22" s="782"/>
    </row>
    <row r="23" spans="1:20" ht="50.1" customHeight="1" thickBot="1" x14ac:dyDescent="0.3">
      <c r="A23" s="1457"/>
      <c r="B23" s="802"/>
      <c r="C23" s="803"/>
      <c r="D23" s="451"/>
      <c r="E23" s="612"/>
      <c r="G23" s="443"/>
      <c r="H23" s="443"/>
      <c r="I23" s="755"/>
      <c r="J23" s="694"/>
      <c r="K23" s="804"/>
      <c r="O23" s="787"/>
      <c r="P23" s="787"/>
      <c r="Q23" s="755"/>
      <c r="R23" s="694"/>
    </row>
    <row r="24" spans="1:20" ht="107.25" hidden="1" customHeight="1" thickBot="1" x14ac:dyDescent="0.3">
      <c r="A24" s="1457"/>
      <c r="B24" s="1542"/>
      <c r="C24" s="443"/>
      <c r="D24" s="451"/>
      <c r="E24" s="450"/>
      <c r="F24" s="443"/>
      <c r="G24" s="443"/>
      <c r="I24" s="443"/>
      <c r="K24" s="443"/>
      <c r="M24" s="443"/>
      <c r="O24" s="787"/>
      <c r="Q24" s="787"/>
    </row>
    <row r="25" spans="1:20" ht="39" customHeight="1" thickBot="1" x14ac:dyDescent="0.3">
      <c r="A25" s="1543" t="s">
        <v>528</v>
      </c>
      <c r="B25" s="1541">
        <f>+B17+B18+B19+B20</f>
        <v>203173.96000000002</v>
      </c>
      <c r="C25" s="800">
        <f>+[15]MAYORES!F42</f>
        <v>61484.600000000006</v>
      </c>
      <c r="D25" s="451"/>
      <c r="E25" s="452"/>
      <c r="F25" s="443"/>
      <c r="G25" s="443"/>
      <c r="I25" s="443"/>
      <c r="J25" s="443"/>
      <c r="K25" s="443"/>
      <c r="M25" s="443"/>
      <c r="N25" s="443"/>
      <c r="O25" s="787"/>
      <c r="Q25" s="787"/>
      <c r="R25" s="787"/>
    </row>
    <row r="26" spans="1:20" ht="70.5" customHeight="1" thickBot="1" x14ac:dyDescent="0.3">
      <c r="A26" s="717"/>
      <c r="B26" s="788"/>
      <c r="C26" s="443"/>
      <c r="D26" s="451"/>
      <c r="E26" s="806"/>
      <c r="G26" s="443"/>
      <c r="I26" s="443"/>
      <c r="M26" s="443"/>
      <c r="Q26" s="787"/>
    </row>
    <row r="27" spans="1:20" ht="26.25" customHeight="1" thickBot="1" x14ac:dyDescent="0.3">
      <c r="A27" s="745" t="s">
        <v>163</v>
      </c>
      <c r="B27" s="745" t="s">
        <v>293</v>
      </c>
      <c r="C27" s="746"/>
      <c r="D27" s="746"/>
      <c r="E27" s="746"/>
      <c r="F27" s="689"/>
      <c r="G27" s="689"/>
      <c r="H27" s="746"/>
      <c r="I27" s="689"/>
      <c r="J27" s="746"/>
      <c r="K27" s="689"/>
      <c r="O27" s="689"/>
      <c r="P27" s="689"/>
      <c r="Q27" s="689"/>
      <c r="R27" s="746"/>
    </row>
    <row r="28" spans="1:20" ht="20.100000000000001" customHeight="1" x14ac:dyDescent="0.25">
      <c r="A28" s="1625"/>
      <c r="B28" s="1625"/>
      <c r="C28" s="754"/>
      <c r="D28" s="754"/>
      <c r="E28" s="807"/>
      <c r="F28" s="688"/>
      <c r="G28" s="719"/>
      <c r="H28" s="719"/>
      <c r="I28" s="804"/>
      <c r="J28" s="719"/>
      <c r="K28" s="719"/>
      <c r="O28" s="719"/>
      <c r="P28" s="719"/>
      <c r="Q28" s="804"/>
      <c r="R28" s="719"/>
    </row>
    <row r="29" spans="1:20" ht="65.25" customHeight="1" thickBot="1" x14ac:dyDescent="0.3">
      <c r="A29" s="1626"/>
      <c r="B29" s="1626"/>
      <c r="C29" s="754"/>
      <c r="D29" s="754"/>
      <c r="E29" s="754"/>
      <c r="F29" s="688"/>
      <c r="G29" s="719"/>
      <c r="H29" s="719"/>
      <c r="I29" s="719"/>
      <c r="J29" s="719"/>
      <c r="K29" s="719"/>
      <c r="O29" s="719"/>
      <c r="P29" s="719"/>
      <c r="Q29" s="719"/>
      <c r="R29" s="719"/>
    </row>
    <row r="30" spans="1:20" ht="24.75" customHeight="1" thickBot="1" x14ac:dyDescent="0.3">
      <c r="A30" s="745" t="s">
        <v>273</v>
      </c>
      <c r="B30" s="745" t="s">
        <v>227</v>
      </c>
      <c r="C30" s="746"/>
      <c r="D30" s="746"/>
      <c r="E30" s="689"/>
      <c r="F30" s="689"/>
      <c r="G30" s="690"/>
      <c r="H30" s="690"/>
      <c r="I30" s="690"/>
      <c r="J30" s="690"/>
      <c r="K30" s="690"/>
      <c r="O30" s="690"/>
      <c r="P30" s="690"/>
      <c r="Q30" s="690"/>
      <c r="R30" s="690"/>
    </row>
    <row r="31" spans="1:20" ht="24.75" customHeight="1" thickBot="1" x14ac:dyDescent="0.3">
      <c r="A31" s="745" t="s">
        <v>272</v>
      </c>
      <c r="B31" s="745" t="s">
        <v>337</v>
      </c>
      <c r="C31" s="746"/>
      <c r="D31" s="746"/>
      <c r="E31" s="689"/>
      <c r="F31" s="689"/>
      <c r="G31" s="689"/>
      <c r="H31" s="689"/>
      <c r="I31" s="689"/>
      <c r="J31" s="689"/>
      <c r="K31" s="689"/>
      <c r="O31" s="689"/>
      <c r="P31" s="689"/>
      <c r="Q31" s="689"/>
      <c r="R31" s="689"/>
    </row>
    <row r="32" spans="1:20" ht="20.100000000000001" customHeight="1" x14ac:dyDescent="0.25">
      <c r="B32" s="443"/>
    </row>
    <row r="33" spans="2:3" ht="20.100000000000001" customHeight="1" x14ac:dyDescent="0.25">
      <c r="B33" s="443"/>
      <c r="C33" s="443"/>
    </row>
    <row r="34" spans="2:3" ht="20.100000000000001" customHeight="1" x14ac:dyDescent="0.25">
      <c r="B34" s="443"/>
    </row>
    <row r="35" spans="2:3" ht="20.100000000000001" customHeight="1" x14ac:dyDescent="0.25">
      <c r="C35" s="443"/>
    </row>
    <row r="36" spans="2:3" ht="20.100000000000001" customHeight="1" x14ac:dyDescent="0.25">
      <c r="C36" s="330"/>
    </row>
    <row r="37" spans="2:3" ht="20.100000000000001" customHeight="1" x14ac:dyDescent="0.25">
      <c r="B37" s="443"/>
      <c r="C37" s="443"/>
    </row>
    <row r="39" spans="2:3" ht="20.100000000000001" customHeight="1" x14ac:dyDescent="0.25">
      <c r="C39" s="443"/>
    </row>
    <row r="41" spans="2:3" ht="20.100000000000001" customHeight="1" x14ac:dyDescent="0.25">
      <c r="C41" s="443"/>
    </row>
    <row r="42" spans="2:3" ht="20.100000000000001" customHeight="1" x14ac:dyDescent="0.25">
      <c r="C42" s="443"/>
    </row>
    <row r="44" spans="2:3" ht="20.100000000000001" customHeight="1" x14ac:dyDescent="0.25">
      <c r="C44" s="443"/>
    </row>
    <row r="46" spans="2:3" ht="20.100000000000001" customHeight="1" x14ac:dyDescent="0.25">
      <c r="C46" s="443"/>
    </row>
    <row r="47" spans="2:3" ht="20.100000000000001" customHeight="1" x14ac:dyDescent="0.25">
      <c r="C47" s="443"/>
    </row>
  </sheetData>
  <mergeCells count="9">
    <mergeCell ref="A10:B10"/>
    <mergeCell ref="A28:A29"/>
    <mergeCell ref="B28:B29"/>
    <mergeCell ref="A3:B3"/>
    <mergeCell ref="A4:B4"/>
    <mergeCell ref="A5:B5"/>
    <mergeCell ref="A7:B7"/>
    <mergeCell ref="A8:B8"/>
    <mergeCell ref="A9:B9"/>
  </mergeCells>
  <printOptions horizontalCentered="1"/>
  <pageMargins left="0.78740157480314965" right="0.59055118110236227" top="0.39370078740157483" bottom="0.31496062992125984" header="0.31496062992125984" footer="0.31496062992125984"/>
  <pageSetup scale="58" orientation="portrait" verticalDpi="360" r:id="rId1"/>
  <colBreaks count="4" manualBreakCount="4">
    <brk id="2" max="30" man="1"/>
    <brk id="6" max="30" man="1"/>
    <brk id="10" max="30" man="1"/>
    <brk id="14" max="30"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view="pageBreakPreview" topLeftCell="A41" zoomScale="80" zoomScaleSheetLayoutView="80" workbookViewId="0">
      <selection activeCell="F29" sqref="F29"/>
    </sheetView>
  </sheetViews>
  <sheetFormatPr baseColWidth="10" defaultRowHeight="15" x14ac:dyDescent="0.25"/>
  <cols>
    <col min="1" max="1" width="52.42578125" style="141" customWidth="1"/>
    <col min="2" max="2" width="18.7109375" style="141" customWidth="1"/>
    <col min="3" max="3" width="11.85546875" style="141" customWidth="1"/>
    <col min="4" max="4" width="13.42578125" style="141" customWidth="1"/>
    <col min="5" max="5" width="14.28515625" style="141" customWidth="1"/>
    <col min="6" max="6" width="26.42578125" style="141" customWidth="1"/>
    <col min="7" max="7" width="12.7109375" style="141" customWidth="1"/>
    <col min="8" max="8" width="7.85546875" style="141" customWidth="1"/>
    <col min="9" max="9" width="11.5703125" style="141" customWidth="1"/>
    <col min="10" max="10" width="13.42578125" style="141" customWidth="1"/>
    <col min="11" max="11" width="18.85546875" style="141" customWidth="1"/>
    <col min="12" max="12" width="28" style="141" customWidth="1"/>
    <col min="13" max="13" width="17.42578125" style="141" customWidth="1"/>
    <col min="14" max="14" width="15.5703125" style="141" customWidth="1"/>
    <col min="15" max="16" width="11.42578125" style="141"/>
    <col min="17" max="17" width="12.140625" style="141" bestFit="1" customWidth="1"/>
    <col min="18" max="16384" width="11.42578125" style="141"/>
  </cols>
  <sheetData>
    <row r="1" spans="1:14" ht="15.75" hidden="1" x14ac:dyDescent="0.25">
      <c r="A1" s="1824"/>
      <c r="B1" s="1824"/>
      <c r="C1" s="1824"/>
      <c r="D1" s="1824"/>
      <c r="E1" s="1824"/>
      <c r="F1" s="1824"/>
      <c r="G1" s="1824"/>
      <c r="H1" s="1824"/>
      <c r="I1" s="1824"/>
      <c r="J1" s="1824"/>
      <c r="K1" s="1824"/>
    </row>
    <row r="2" spans="1:14" x14ac:dyDescent="0.25">
      <c r="A2" s="220"/>
      <c r="B2" s="220"/>
      <c r="C2" s="220"/>
      <c r="D2" s="220"/>
      <c r="E2" s="220"/>
      <c r="F2" s="220"/>
      <c r="G2" s="220"/>
      <c r="H2" s="220"/>
      <c r="I2" s="220"/>
      <c r="J2" s="220"/>
      <c r="K2" s="220"/>
      <c r="L2" s="331"/>
    </row>
    <row r="3" spans="1:14" ht="16.5" customHeight="1" x14ac:dyDescent="0.25">
      <c r="A3" s="1825" t="str">
        <f>+'[4]BALANCE GENERAL'!A1:I1</f>
        <v>REPÚBLICA BOLIVARIANA DE VENEZUELA</v>
      </c>
      <c r="B3" s="1825"/>
      <c r="C3" s="1825"/>
      <c r="D3" s="1825"/>
      <c r="E3" s="1825"/>
      <c r="F3" s="1825"/>
      <c r="G3" s="1825"/>
      <c r="H3" s="1825"/>
      <c r="I3" s="1825"/>
      <c r="J3" s="1825"/>
      <c r="K3" s="1825"/>
    </row>
    <row r="4" spans="1:14" ht="21" x14ac:dyDescent="0.25">
      <c r="A4" s="1826" t="str">
        <f>+'[4]BALANCE GENERAL'!A2:I2</f>
        <v>SERVICIO ADMINISTRATIVO DE PROTECCIÓN DEL NIÑO, NIÑA Y ADOLESCENTE DEL ESTADO TRUJILLO</v>
      </c>
      <c r="B4" s="1826"/>
      <c r="C4" s="1826"/>
      <c r="D4" s="1826"/>
      <c r="E4" s="1826"/>
      <c r="F4" s="1826"/>
      <c r="G4" s="1826"/>
      <c r="H4" s="1826"/>
      <c r="I4" s="1826"/>
      <c r="J4" s="1826"/>
      <c r="K4" s="1826"/>
    </row>
    <row r="5" spans="1:14" ht="21" x14ac:dyDescent="0.25">
      <c r="A5" s="1825" t="str">
        <f>+'[4]BALANCE GENERAL'!A3:I3</f>
        <v>DIRECCION DE ADMINISTRACION-UNIDAD DE CONTABILIDAD</v>
      </c>
      <c r="B5" s="1825"/>
      <c r="C5" s="1825"/>
      <c r="D5" s="1825"/>
      <c r="E5" s="1825"/>
      <c r="F5" s="1825"/>
      <c r="G5" s="1825"/>
      <c r="H5" s="1825"/>
      <c r="I5" s="1825"/>
      <c r="J5" s="1825"/>
      <c r="K5" s="1825"/>
      <c r="L5" s="306"/>
    </row>
    <row r="6" spans="1:14" ht="14.25" customHeight="1" x14ac:dyDescent="0.25">
      <c r="A6" s="441"/>
      <c r="B6" s="311"/>
      <c r="C6" s="311"/>
      <c r="D6" s="311"/>
      <c r="E6" s="311"/>
      <c r="F6" s="311"/>
      <c r="G6" s="311"/>
      <c r="H6" s="311"/>
      <c r="I6" s="311"/>
      <c r="J6" s="311"/>
      <c r="K6" s="311"/>
      <c r="L6" s="306"/>
    </row>
    <row r="7" spans="1:14" ht="18.75" hidden="1" x14ac:dyDescent="0.25">
      <c r="A7" s="441"/>
      <c r="B7" s="311"/>
      <c r="C7" s="311"/>
      <c r="D7" s="311"/>
      <c r="E7" s="311"/>
      <c r="F7" s="311"/>
      <c r="G7" s="311"/>
      <c r="H7" s="311"/>
      <c r="I7" s="311"/>
      <c r="J7" s="311"/>
      <c r="K7" s="311"/>
      <c r="L7" s="306"/>
    </row>
    <row r="8" spans="1:14" ht="20.25" x14ac:dyDescent="0.25">
      <c r="A8" s="1827" t="str">
        <f>+'[4]BALANCE GENERAL'!A5:I5</f>
        <v>BALANCE   GENERAL</v>
      </c>
      <c r="B8" s="1827"/>
      <c r="C8" s="1827"/>
      <c r="D8" s="1827"/>
      <c r="E8" s="1827"/>
      <c r="F8" s="1827"/>
      <c r="G8" s="1827"/>
      <c r="H8" s="1827"/>
      <c r="I8" s="1827"/>
      <c r="J8" s="1827"/>
      <c r="K8" s="1827"/>
      <c r="L8" s="306"/>
    </row>
    <row r="9" spans="1:14" hidden="1" x14ac:dyDescent="0.25">
      <c r="A9" s="73"/>
      <c r="B9" s="73"/>
      <c r="C9" s="73"/>
      <c r="D9" s="73"/>
      <c r="E9" s="73"/>
      <c r="F9" s="73"/>
      <c r="G9" s="73"/>
      <c r="H9" s="73"/>
      <c r="I9" s="73"/>
      <c r="J9" s="73"/>
      <c r="K9" s="73"/>
    </row>
    <row r="10" spans="1:14" hidden="1" x14ac:dyDescent="0.25">
      <c r="A10" s="73"/>
      <c r="B10" s="73"/>
      <c r="C10" s="73"/>
      <c r="D10" s="73"/>
      <c r="E10" s="73"/>
      <c r="F10" s="73"/>
      <c r="G10" s="73"/>
      <c r="H10" s="73"/>
      <c r="I10" s="73"/>
      <c r="J10" s="73"/>
      <c r="K10" s="73"/>
    </row>
    <row r="11" spans="1:14" ht="20.25" x14ac:dyDescent="0.25">
      <c r="A11" s="1823" t="s">
        <v>197</v>
      </c>
      <c r="B11" s="1823"/>
      <c r="C11" s="1823"/>
      <c r="D11" s="1823"/>
      <c r="E11" s="1823"/>
      <c r="F11" s="1823"/>
      <c r="G11" s="1823"/>
      <c r="H11" s="1823"/>
      <c r="I11" s="1823"/>
      <c r="J11" s="1823"/>
      <c r="K11" s="1823"/>
      <c r="M11" s="596"/>
    </row>
    <row r="12" spans="1:14" ht="20.25" x14ac:dyDescent="0.25">
      <c r="A12" s="1828" t="s">
        <v>501</v>
      </c>
      <c r="B12" s="1828"/>
      <c r="C12" s="1828"/>
      <c r="D12" s="1828"/>
      <c r="E12" s="1828"/>
      <c r="F12" s="1828"/>
      <c r="G12" s="1828"/>
      <c r="H12" s="1828"/>
      <c r="I12" s="1828"/>
      <c r="J12" s="1828"/>
      <c r="K12" s="1828"/>
      <c r="M12" s="596"/>
    </row>
    <row r="13" spans="1:14" hidden="1" x14ac:dyDescent="0.25">
      <c r="A13" s="1829"/>
      <c r="B13" s="1829"/>
      <c r="C13" s="1351"/>
      <c r="D13" s="1351"/>
      <c r="E13" s="1351"/>
      <c r="F13" s="1351"/>
      <c r="G13" s="1351"/>
      <c r="H13" s="1351"/>
      <c r="I13" s="1351"/>
      <c r="J13" s="1351"/>
      <c r="K13" s="1351"/>
      <c r="M13" s="596"/>
    </row>
    <row r="14" spans="1:14" ht="15.75" thickBot="1" x14ac:dyDescent="0.3">
      <c r="F14" s="594"/>
    </row>
    <row r="15" spans="1:14" ht="24" thickBot="1" x14ac:dyDescent="0.3">
      <c r="A15" s="705" t="s">
        <v>18</v>
      </c>
      <c r="B15" s="1830" t="s">
        <v>486</v>
      </c>
      <c r="C15" s="1831"/>
      <c r="D15" s="1831"/>
      <c r="E15" s="1832"/>
      <c r="F15" s="903">
        <v>1993279.07</v>
      </c>
      <c r="G15" s="1830" t="s">
        <v>487</v>
      </c>
      <c r="H15" s="1831"/>
      <c r="I15" s="1831"/>
      <c r="J15" s="1832"/>
      <c r="K15" s="903">
        <v>6905.1900000000005</v>
      </c>
      <c r="L15" s="144">
        <f>+F15-K15</f>
        <v>1986373.8800000001</v>
      </c>
      <c r="N15" s="144"/>
    </row>
    <row r="16" spans="1:14" ht="18.75" thickBot="1" x14ac:dyDescent="0.3">
      <c r="A16" s="706"/>
      <c r="B16" s="1028" t="s">
        <v>10</v>
      </c>
      <c r="C16" s="1029" t="s">
        <v>238</v>
      </c>
      <c r="D16" s="1029" t="s">
        <v>85</v>
      </c>
      <c r="E16" s="1028" t="s">
        <v>11</v>
      </c>
      <c r="F16" s="464" t="s">
        <v>20</v>
      </c>
      <c r="G16" s="464" t="s">
        <v>10</v>
      </c>
      <c r="H16" s="565" t="s">
        <v>238</v>
      </c>
      <c r="I16" s="565" t="s">
        <v>85</v>
      </c>
      <c r="J16" s="464" t="s">
        <v>11</v>
      </c>
      <c r="K16" s="464" t="s">
        <v>20</v>
      </c>
    </row>
    <row r="17" spans="1:17" ht="25.5" customHeight="1" x14ac:dyDescent="0.25">
      <c r="A17" s="700" t="s">
        <v>198</v>
      </c>
      <c r="B17" s="1025">
        <f>27956+23000+23000+23000+2064.45+4484.6+27956</f>
        <v>131461.04999999999</v>
      </c>
      <c r="C17" s="1026"/>
      <c r="D17" s="1352" t="s">
        <v>438</v>
      </c>
      <c r="E17" s="1027"/>
      <c r="F17" s="1020">
        <f>+F15+B17-E17</f>
        <v>2124740.12</v>
      </c>
      <c r="G17" s="433"/>
      <c r="H17" s="562"/>
      <c r="I17" s="562"/>
      <c r="J17" s="433"/>
      <c r="K17" s="899">
        <f>+K15-G17+J17</f>
        <v>6905.1900000000005</v>
      </c>
      <c r="M17" s="144"/>
    </row>
    <row r="18" spans="1:17" ht="23.25" customHeight="1" x14ac:dyDescent="0.25">
      <c r="A18" s="701" t="s">
        <v>262</v>
      </c>
      <c r="B18" s="1018"/>
      <c r="C18" s="561"/>
      <c r="D18" s="1352"/>
      <c r="E18" s="428"/>
      <c r="F18" s="1021">
        <f>+F17+B18-E18</f>
        <v>2124740.12</v>
      </c>
      <c r="G18" s="428"/>
      <c r="H18" s="561"/>
      <c r="I18" s="561"/>
      <c r="J18" s="428"/>
      <c r="K18" s="901">
        <f>+K17-G18+J18</f>
        <v>6905.1900000000005</v>
      </c>
      <c r="L18" s="594"/>
    </row>
    <row r="19" spans="1:17" ht="20.25" customHeight="1" x14ac:dyDescent="0.25">
      <c r="A19" s="701" t="s">
        <v>263</v>
      </c>
      <c r="B19" s="966"/>
      <c r="C19" s="561"/>
      <c r="D19" s="561"/>
      <c r="E19" s="428"/>
      <c r="F19" s="1021">
        <f t="shared" ref="F19:F27" si="0">+F18+B19-E19</f>
        <v>2124740.12</v>
      </c>
      <c r="G19" s="428"/>
      <c r="H19" s="561"/>
      <c r="I19" s="561"/>
      <c r="J19" s="428"/>
      <c r="K19" s="901">
        <f t="shared" ref="K19:K22" si="1">+K18-G19+J19</f>
        <v>6905.1900000000005</v>
      </c>
      <c r="N19" s="144"/>
    </row>
    <row r="20" spans="1:17" ht="20.25" customHeight="1" x14ac:dyDescent="0.25">
      <c r="A20" s="701" t="s">
        <v>364</v>
      </c>
      <c r="B20" s="428"/>
      <c r="C20" s="561"/>
      <c r="D20" s="561"/>
      <c r="E20" s="1019"/>
      <c r="F20" s="1021">
        <f t="shared" si="0"/>
        <v>2124740.12</v>
      </c>
      <c r="G20" s="428"/>
      <c r="H20" s="561"/>
      <c r="I20" s="561"/>
      <c r="J20" s="428"/>
      <c r="K20" s="901">
        <f t="shared" si="1"/>
        <v>6905.1900000000005</v>
      </c>
      <c r="Q20" s="596">
        <v>0.183</v>
      </c>
    </row>
    <row r="21" spans="1:17" ht="20.25" customHeight="1" x14ac:dyDescent="0.25">
      <c r="A21" s="701" t="s">
        <v>257</v>
      </c>
      <c r="B21" s="1018"/>
      <c r="C21" s="561"/>
      <c r="D21" s="1352"/>
      <c r="E21" s="144"/>
      <c r="F21" s="1021">
        <f t="shared" si="0"/>
        <v>2124740.12</v>
      </c>
      <c r="G21" s="615"/>
      <c r="H21" s="561"/>
      <c r="I21" s="561"/>
      <c r="J21" s="428"/>
      <c r="K21" s="901">
        <f t="shared" si="1"/>
        <v>6905.1900000000005</v>
      </c>
      <c r="M21" s="144"/>
      <c r="N21" s="594"/>
      <c r="Q21" s="596">
        <v>4.0000000000000002E-4</v>
      </c>
    </row>
    <row r="22" spans="1:17" ht="36" customHeight="1" x14ac:dyDescent="0.25">
      <c r="A22" s="702" t="s">
        <v>439</v>
      </c>
      <c r="B22" s="429"/>
      <c r="C22" s="563"/>
      <c r="D22" s="563"/>
      <c r="E22" s="614"/>
      <c r="F22" s="1021">
        <f t="shared" si="0"/>
        <v>2124740.12</v>
      </c>
      <c r="G22" s="614"/>
      <c r="H22" s="563"/>
      <c r="I22" s="1352"/>
      <c r="J22" s="1025"/>
      <c r="K22" s="901">
        <f t="shared" si="1"/>
        <v>6905.1900000000005</v>
      </c>
      <c r="L22" s="629"/>
      <c r="M22" s="144"/>
      <c r="N22" s="596"/>
      <c r="Q22" s="596">
        <v>8.5100000000000002E-3</v>
      </c>
    </row>
    <row r="23" spans="1:17" ht="31.5" customHeight="1" x14ac:dyDescent="0.25">
      <c r="A23" s="742" t="s">
        <v>320</v>
      </c>
      <c r="B23" s="428"/>
      <c r="C23" s="561"/>
      <c r="D23" s="561"/>
      <c r="E23" s="493"/>
      <c r="F23" s="1021">
        <f t="shared" si="0"/>
        <v>2124740.12</v>
      </c>
      <c r="G23" s="743"/>
      <c r="H23" s="561"/>
      <c r="I23" s="561"/>
      <c r="J23" s="743"/>
      <c r="K23" s="901">
        <f t="shared" ref="K23:K27" si="2">+K22+G23-J23</f>
        <v>6905.1900000000005</v>
      </c>
      <c r="N23" s="594"/>
      <c r="Q23" s="596">
        <f>SUM(Q20:Q22)</f>
        <v>0.19191</v>
      </c>
    </row>
    <row r="24" spans="1:17" ht="18" hidden="1" customHeight="1" thickBot="1" x14ac:dyDescent="0.3">
      <c r="A24" s="702" t="s">
        <v>290</v>
      </c>
      <c r="B24" s="428"/>
      <c r="C24" s="561"/>
      <c r="D24" s="561"/>
      <c r="E24" s="493"/>
      <c r="F24" s="1022">
        <f t="shared" si="0"/>
        <v>2124740.12</v>
      </c>
      <c r="G24" s="743"/>
      <c r="H24" s="561"/>
      <c r="I24" s="561"/>
      <c r="J24" s="743"/>
      <c r="K24" s="902">
        <f t="shared" si="2"/>
        <v>6905.1900000000005</v>
      </c>
      <c r="N24" s="594"/>
      <c r="Q24" s="596"/>
    </row>
    <row r="25" spans="1:17" ht="21.75" customHeight="1" x14ac:dyDescent="0.25">
      <c r="A25" s="702" t="s">
        <v>291</v>
      </c>
      <c r="B25" s="1018"/>
      <c r="C25" s="493"/>
      <c r="D25" s="561"/>
      <c r="E25" s="1015"/>
      <c r="F25" s="1021">
        <f>+F23+B25-E25</f>
        <v>2124740.12</v>
      </c>
      <c r="G25" s="428"/>
      <c r="H25" s="561"/>
      <c r="I25" s="561"/>
      <c r="J25" s="493"/>
      <c r="K25" s="901">
        <f t="shared" si="2"/>
        <v>6905.1900000000005</v>
      </c>
      <c r="N25" s="144"/>
    </row>
    <row r="26" spans="1:17" ht="36.75" customHeight="1" x14ac:dyDescent="0.25">
      <c r="A26" s="702" t="s">
        <v>340</v>
      </c>
      <c r="B26" s="428"/>
      <c r="C26" s="561"/>
      <c r="D26" s="561"/>
      <c r="E26" s="493"/>
      <c r="F26" s="1021">
        <f t="shared" si="0"/>
        <v>2124740.12</v>
      </c>
      <c r="G26" s="428"/>
      <c r="H26" s="561"/>
      <c r="I26" s="561"/>
      <c r="J26" s="493"/>
      <c r="K26" s="901">
        <f t="shared" si="2"/>
        <v>6905.1900000000005</v>
      </c>
      <c r="L26" s="597"/>
      <c r="M26" s="483"/>
    </row>
    <row r="27" spans="1:17" ht="35.25" customHeight="1" thickBot="1" x14ac:dyDescent="0.3">
      <c r="A27" s="703" t="s">
        <v>241</v>
      </c>
      <c r="B27" s="623"/>
      <c r="C27" s="564"/>
      <c r="D27" s="564"/>
      <c r="E27" s="623"/>
      <c r="F27" s="1023">
        <f t="shared" si="0"/>
        <v>2124740.12</v>
      </c>
      <c r="G27" s="623"/>
      <c r="H27" s="564"/>
      <c r="I27" s="564"/>
      <c r="J27" s="623"/>
      <c r="K27" s="900">
        <f t="shared" si="2"/>
        <v>6905.1900000000005</v>
      </c>
      <c r="L27" s="597"/>
      <c r="M27" s="144"/>
    </row>
    <row r="28" spans="1:17" ht="40.5" customHeight="1" thickBot="1" x14ac:dyDescent="0.3">
      <c r="A28" s="704" t="s">
        <v>488</v>
      </c>
      <c r="B28" s="937">
        <f>SUM(B17:B27)</f>
        <v>131461.04999999999</v>
      </c>
      <c r="C28" s="463"/>
      <c r="D28" s="463"/>
      <c r="E28" s="937">
        <f>SUM(E20:E27)</f>
        <v>0</v>
      </c>
      <c r="F28" s="1016">
        <f>+F27</f>
        <v>2124740.12</v>
      </c>
      <c r="G28" s="937">
        <f>SUM(G17:G27)</f>
        <v>0</v>
      </c>
      <c r="H28" s="937"/>
      <c r="I28" s="937"/>
      <c r="J28" s="937">
        <f>SUM(J17:J23)</f>
        <v>0</v>
      </c>
      <c r="K28" s="1016">
        <f>K27</f>
        <v>6905.1900000000005</v>
      </c>
      <c r="L28" s="727"/>
      <c r="M28" s="629"/>
    </row>
    <row r="29" spans="1:17" ht="28.5" customHeight="1" x14ac:dyDescent="0.25">
      <c r="A29" s="683"/>
      <c r="B29" s="684"/>
      <c r="C29" s="685"/>
      <c r="D29" s="685"/>
      <c r="E29" s="684"/>
      <c r="F29" s="684"/>
      <c r="G29" s="684"/>
      <c r="H29" s="685"/>
      <c r="I29" s="685"/>
      <c r="J29" s="684"/>
      <c r="K29" s="684"/>
      <c r="L29" s="616"/>
      <c r="M29" s="629"/>
    </row>
    <row r="30" spans="1:17" ht="12" customHeight="1" thickBot="1" x14ac:dyDescent="0.3">
      <c r="B30" s="144"/>
      <c r="C30" s="144"/>
      <c r="D30" s="144"/>
      <c r="E30" s="144"/>
      <c r="F30" s="144"/>
      <c r="G30" s="144"/>
      <c r="H30" s="144"/>
      <c r="I30" s="144"/>
      <c r="J30" s="149"/>
      <c r="K30" s="595"/>
      <c r="L30" s="594"/>
    </row>
    <row r="31" spans="1:17" ht="21" customHeight="1" thickBot="1" x14ac:dyDescent="0.3">
      <c r="A31" s="1833" t="s">
        <v>49</v>
      </c>
      <c r="B31" s="1834"/>
      <c r="C31" s="1835" t="s">
        <v>71</v>
      </c>
      <c r="D31" s="1836"/>
      <c r="E31" s="143"/>
      <c r="F31" s="342"/>
      <c r="G31" s="604"/>
      <c r="H31" s="604"/>
      <c r="I31" s="604"/>
      <c r="J31" s="148"/>
      <c r="K31" s="149"/>
      <c r="M31" s="483"/>
    </row>
    <row r="32" spans="1:17" ht="27.75" customHeight="1" thickBot="1" x14ac:dyDescent="0.3">
      <c r="A32" s="1837" t="s">
        <v>489</v>
      </c>
      <c r="B32" s="1838"/>
      <c r="C32" s="1839">
        <f>+L15</f>
        <v>1986373.8800000001</v>
      </c>
      <c r="D32" s="1840"/>
      <c r="E32" s="342"/>
      <c r="F32" s="598"/>
      <c r="G32" s="605"/>
      <c r="H32" s="605"/>
      <c r="I32" s="605"/>
      <c r="J32" s="886"/>
      <c r="K32" s="595"/>
    </row>
    <row r="33" spans="1:14" ht="36" customHeight="1" thickBot="1" x14ac:dyDescent="0.3">
      <c r="A33" s="1841" t="s">
        <v>261</v>
      </c>
      <c r="B33" s="1842"/>
      <c r="C33" s="1843">
        <f>+B17</f>
        <v>131461.04999999999</v>
      </c>
      <c r="D33" s="1844"/>
      <c r="E33" s="598"/>
      <c r="F33" s="133"/>
      <c r="G33" s="333"/>
      <c r="H33" s="333"/>
      <c r="I33" s="333"/>
      <c r="J33" s="886"/>
      <c r="K33" s="595"/>
      <c r="L33" s="144"/>
      <c r="M33" s="492"/>
    </row>
    <row r="34" spans="1:14" ht="36" customHeight="1" thickBot="1" x14ac:dyDescent="0.3">
      <c r="A34" s="1841" t="s">
        <v>260</v>
      </c>
      <c r="B34" s="1842"/>
      <c r="C34" s="1843">
        <f>+B18</f>
        <v>0</v>
      </c>
      <c r="D34" s="1844"/>
      <c r="E34" s="342"/>
      <c r="F34" s="133"/>
      <c r="G34" s="333"/>
      <c r="H34" s="333"/>
      <c r="I34" s="333"/>
      <c r="J34" s="878"/>
      <c r="K34" s="595"/>
      <c r="M34" s="492"/>
    </row>
    <row r="35" spans="1:14" ht="34.5" customHeight="1" thickBot="1" x14ac:dyDescent="0.3">
      <c r="A35" s="1841" t="s">
        <v>256</v>
      </c>
      <c r="B35" s="1842"/>
      <c r="C35" s="1845">
        <f>+B19</f>
        <v>0</v>
      </c>
      <c r="D35" s="1846"/>
      <c r="E35" s="143"/>
      <c r="F35" s="133"/>
      <c r="G35" s="333"/>
      <c r="H35" s="333"/>
      <c r="I35" s="333"/>
      <c r="J35" s="878"/>
      <c r="K35" s="595"/>
    </row>
    <row r="36" spans="1:14" ht="41.25" customHeight="1" thickBot="1" x14ac:dyDescent="0.3">
      <c r="A36" s="1841" t="s">
        <v>366</v>
      </c>
      <c r="B36" s="1842"/>
      <c r="C36" s="1843">
        <f>+B25</f>
        <v>0</v>
      </c>
      <c r="D36" s="1844"/>
      <c r="E36" s="600"/>
      <c r="F36" s="133"/>
      <c r="G36" s="333"/>
      <c r="H36" s="333"/>
      <c r="I36" s="333"/>
      <c r="J36" s="878"/>
      <c r="K36" s="595"/>
      <c r="L36" s="629"/>
    </row>
    <row r="37" spans="1:14" ht="38.25" customHeight="1" thickBot="1" x14ac:dyDescent="0.3">
      <c r="A37" s="1841" t="s">
        <v>251</v>
      </c>
      <c r="B37" s="1842"/>
      <c r="C37" s="1845">
        <f>+B21</f>
        <v>0</v>
      </c>
      <c r="D37" s="1846"/>
      <c r="E37" s="143"/>
      <c r="F37" s="599"/>
      <c r="G37" s="333"/>
      <c r="H37" s="333"/>
      <c r="I37" s="333"/>
      <c r="J37" s="878"/>
      <c r="K37" s="595"/>
      <c r="L37" s="728"/>
    </row>
    <row r="38" spans="1:14" ht="27.75" customHeight="1" thickBot="1" x14ac:dyDescent="0.3">
      <c r="A38" s="1841" t="s">
        <v>321</v>
      </c>
      <c r="B38" s="1842"/>
      <c r="C38" s="1843">
        <f>+E26</f>
        <v>0</v>
      </c>
      <c r="D38" s="1844"/>
      <c r="E38" s="143"/>
      <c r="F38" s="133"/>
      <c r="G38" s="333"/>
      <c r="H38" s="333"/>
      <c r="I38" s="333"/>
      <c r="J38" s="878"/>
      <c r="K38" s="595"/>
      <c r="L38" s="629"/>
    </row>
    <row r="39" spans="1:14" ht="40.5" customHeight="1" thickBot="1" x14ac:dyDescent="0.3">
      <c r="A39" s="1841" t="s">
        <v>446</v>
      </c>
      <c r="B39" s="1842"/>
      <c r="C39" s="1845">
        <f>+J22</f>
        <v>0</v>
      </c>
      <c r="D39" s="1846"/>
      <c r="E39" s="143"/>
      <c r="F39" s="599"/>
      <c r="G39" s="333"/>
      <c r="H39" s="333"/>
      <c r="I39" s="333"/>
      <c r="J39" s="878"/>
      <c r="K39" s="595"/>
      <c r="L39" s="729"/>
    </row>
    <row r="40" spans="1:14" ht="27.75" customHeight="1" thickBot="1" x14ac:dyDescent="0.3">
      <c r="A40" s="1841" t="s">
        <v>355</v>
      </c>
      <c r="B40" s="1842"/>
      <c r="C40" s="1843">
        <f>+E20</f>
        <v>0</v>
      </c>
      <c r="D40" s="1844"/>
      <c r="E40" s="143"/>
      <c r="F40" s="599"/>
      <c r="G40" s="333"/>
      <c r="H40" s="333"/>
      <c r="I40" s="333"/>
      <c r="J40" s="878"/>
      <c r="K40" s="595"/>
    </row>
    <row r="41" spans="1:14" ht="39.75" customHeight="1" thickBot="1" x14ac:dyDescent="0.3">
      <c r="A41" s="1841" t="s">
        <v>258</v>
      </c>
      <c r="B41" s="1842"/>
      <c r="C41" s="1845">
        <v>0</v>
      </c>
      <c r="D41" s="1846"/>
      <c r="E41" s="342"/>
      <c r="F41" s="342"/>
      <c r="G41" s="333"/>
      <c r="H41" s="333"/>
      <c r="I41" s="333"/>
      <c r="J41" s="595"/>
      <c r="K41" s="595"/>
      <c r="L41" s="632"/>
      <c r="M41" s="636"/>
      <c r="N41" s="333"/>
    </row>
    <row r="42" spans="1:14" ht="41.25" customHeight="1" thickBot="1" x14ac:dyDescent="0.3">
      <c r="A42" s="1841" t="s">
        <v>242</v>
      </c>
      <c r="B42" s="1842"/>
      <c r="C42" s="1843">
        <v>0</v>
      </c>
      <c r="D42" s="1844"/>
      <c r="F42" s="342"/>
      <c r="H42" s="333"/>
      <c r="I42" s="333"/>
      <c r="J42" s="595"/>
      <c r="K42" s="595"/>
      <c r="L42" s="601"/>
      <c r="M42" s="598"/>
      <c r="N42" s="605"/>
    </row>
    <row r="43" spans="1:14" ht="39.75" customHeight="1" thickBot="1" x14ac:dyDescent="0.3">
      <c r="A43" s="1847" t="s">
        <v>490</v>
      </c>
      <c r="B43" s="1848"/>
      <c r="C43" s="1849">
        <f>+C32+C33+C34+C35+C36+C37-C38-C39-C40+C41+C42</f>
        <v>2117834.9300000002</v>
      </c>
      <c r="D43" s="1850"/>
      <c r="E43" s="596"/>
      <c r="F43" s="342"/>
      <c r="G43" s="593"/>
      <c r="H43" s="605"/>
      <c r="I43" s="605"/>
      <c r="J43" s="595"/>
      <c r="K43" s="595"/>
      <c r="L43" s="342"/>
      <c r="M43" s="133"/>
      <c r="N43" s="333"/>
    </row>
    <row r="44" spans="1:14" ht="29.25" customHeight="1" thickBot="1" x14ac:dyDescent="0.3">
      <c r="A44" s="1841" t="s">
        <v>445</v>
      </c>
      <c r="B44" s="1842"/>
      <c r="C44" s="1851">
        <f>+J22</f>
        <v>0</v>
      </c>
      <c r="D44" s="1852"/>
      <c r="E44" s="594"/>
      <c r="F44" s="892"/>
      <c r="H44" s="333"/>
      <c r="I44" s="333"/>
      <c r="J44" s="878"/>
      <c r="K44" s="595"/>
      <c r="L44" s="630"/>
      <c r="M44" s="133"/>
      <c r="N44" s="333"/>
    </row>
    <row r="45" spans="1:14" ht="33" customHeight="1" thickBot="1" x14ac:dyDescent="0.3">
      <c r="A45" s="1841" t="s">
        <v>199</v>
      </c>
      <c r="B45" s="1842"/>
      <c r="C45" s="1853">
        <f>+K15</f>
        <v>6905.1900000000005</v>
      </c>
      <c r="D45" s="1854"/>
      <c r="F45" s="342"/>
      <c r="G45" s="594"/>
      <c r="H45" s="333"/>
      <c r="I45" s="333"/>
      <c r="J45" s="595"/>
      <c r="K45" s="595"/>
      <c r="L45" s="342"/>
      <c r="M45" s="342"/>
      <c r="N45" s="134"/>
    </row>
    <row r="46" spans="1:14" ht="27.75" customHeight="1" thickBot="1" x14ac:dyDescent="0.3">
      <c r="A46" s="1855" t="s">
        <v>191</v>
      </c>
      <c r="B46" s="1856"/>
      <c r="C46" s="1849">
        <f>+C43+C44+C45</f>
        <v>2124740.12</v>
      </c>
      <c r="D46" s="1850"/>
      <c r="F46" s="594"/>
      <c r="G46" s="594"/>
      <c r="H46" s="134"/>
      <c r="I46" s="134"/>
      <c r="J46" s="595"/>
      <c r="K46" s="595"/>
      <c r="L46" s="143"/>
      <c r="M46" s="342"/>
      <c r="N46" s="145"/>
    </row>
    <row r="47" spans="1:14" ht="6" customHeight="1" x14ac:dyDescent="0.25">
      <c r="B47" s="144"/>
      <c r="H47" s="148"/>
      <c r="I47" s="148"/>
      <c r="J47" s="595"/>
      <c r="K47" s="595"/>
      <c r="L47" s="143"/>
      <c r="M47" s="342"/>
      <c r="N47" s="145"/>
    </row>
    <row r="48" spans="1:14" ht="18" customHeight="1" thickBot="1" x14ac:dyDescent="0.3">
      <c r="B48" s="144"/>
      <c r="F48" s="594"/>
      <c r="H48" s="148"/>
      <c r="I48" s="148"/>
      <c r="J48" s="595"/>
      <c r="K48" s="595"/>
      <c r="L48" s="342"/>
      <c r="M48" s="342"/>
      <c r="N48" s="133"/>
    </row>
    <row r="49" spans="1:14" ht="26.25" customHeight="1" thickBot="1" x14ac:dyDescent="0.3">
      <c r="A49" s="1857" t="s">
        <v>200</v>
      </c>
      <c r="B49" s="1858"/>
      <c r="C49" s="1849">
        <f>+C43</f>
        <v>2117834.9300000002</v>
      </c>
      <c r="D49" s="1850"/>
      <c r="F49" s="594"/>
      <c r="G49" s="594"/>
      <c r="H49" s="133"/>
      <c r="I49" s="133"/>
      <c r="J49" s="595"/>
      <c r="K49" s="595"/>
      <c r="L49" s="342"/>
      <c r="M49" s="342"/>
      <c r="N49" s="133"/>
    </row>
    <row r="50" spans="1:14" ht="27.75" customHeight="1" thickBot="1" x14ac:dyDescent="0.3">
      <c r="A50" s="1859" t="s">
        <v>201</v>
      </c>
      <c r="B50" s="1860"/>
      <c r="C50" s="1861">
        <f>+C45+C44</f>
        <v>6905.1900000000005</v>
      </c>
      <c r="D50" s="1862"/>
      <c r="F50" s="594"/>
      <c r="G50" s="594"/>
      <c r="H50" s="133"/>
      <c r="I50" s="133"/>
      <c r="J50" s="595"/>
      <c r="K50" s="595"/>
      <c r="L50" s="631"/>
      <c r="M50" s="635"/>
      <c r="N50" s="134"/>
    </row>
    <row r="51" spans="1:14" ht="30" customHeight="1" thickBot="1" x14ac:dyDescent="0.3">
      <c r="A51" s="1863" t="s">
        <v>202</v>
      </c>
      <c r="B51" s="1864"/>
      <c r="C51" s="1849">
        <f>SUM(C49:D50)</f>
        <v>2124740.12</v>
      </c>
      <c r="D51" s="1850"/>
      <c r="F51" s="597"/>
      <c r="H51" s="134"/>
      <c r="I51" s="134"/>
      <c r="J51" s="595"/>
      <c r="K51" s="595"/>
      <c r="L51" s="144"/>
    </row>
    <row r="52" spans="1:14" ht="27.75" customHeight="1" x14ac:dyDescent="0.25">
      <c r="A52" s="680"/>
      <c r="B52" s="681"/>
      <c r="C52" s="134"/>
      <c r="D52" s="134"/>
      <c r="F52" s="594"/>
      <c r="H52" s="134"/>
      <c r="I52" s="134"/>
      <c r="J52" s="594"/>
      <c r="K52" s="144"/>
      <c r="L52" s="144"/>
    </row>
    <row r="53" spans="1:14" ht="24" customHeight="1" x14ac:dyDescent="0.25">
      <c r="A53" s="680"/>
      <c r="B53" s="681"/>
      <c r="C53" s="134"/>
      <c r="D53" s="134"/>
      <c r="F53" s="594"/>
      <c r="H53" s="134"/>
      <c r="I53" s="134"/>
      <c r="J53" s="594"/>
      <c r="K53" s="144"/>
      <c r="L53" s="144"/>
    </row>
    <row r="54" spans="1:14" ht="21" customHeight="1" x14ac:dyDescent="0.25">
      <c r="A54" s="680"/>
      <c r="B54" s="681"/>
      <c r="C54" s="134"/>
      <c r="D54" s="134"/>
      <c r="H54" s="134"/>
      <c r="I54" s="134"/>
      <c r="J54" s="594"/>
      <c r="K54" s="144"/>
      <c r="L54" s="144"/>
    </row>
    <row r="55" spans="1:14" ht="23.25" customHeight="1" x14ac:dyDescent="0.25">
      <c r="A55" s="680"/>
      <c r="B55" s="681"/>
      <c r="C55" s="134"/>
      <c r="D55" s="134"/>
      <c r="H55" s="134"/>
      <c r="I55" s="134"/>
      <c r="J55" s="144"/>
      <c r="K55" s="144"/>
      <c r="L55" s="144"/>
    </row>
    <row r="56" spans="1:14" ht="18" customHeight="1" thickBot="1" x14ac:dyDescent="0.3">
      <c r="A56" s="682"/>
      <c r="B56" s="681"/>
      <c r="C56" s="134"/>
      <c r="D56" s="134"/>
      <c r="F56" s="596"/>
      <c r="H56" s="134"/>
      <c r="I56" s="134"/>
      <c r="J56" s="144"/>
      <c r="K56" s="144"/>
      <c r="L56" s="144"/>
    </row>
    <row r="57" spans="1:14" ht="21.75" thickBot="1" x14ac:dyDescent="0.3">
      <c r="A57" s="1865" t="s">
        <v>163</v>
      </c>
      <c r="B57" s="1866"/>
      <c r="C57" s="1866"/>
      <c r="D57" s="1866"/>
      <c r="E57" s="1866"/>
      <c r="F57" s="1865" t="s">
        <v>164</v>
      </c>
      <c r="G57" s="1866"/>
      <c r="H57" s="1866"/>
      <c r="I57" s="1866"/>
      <c r="J57" s="1866"/>
      <c r="K57" s="1867"/>
    </row>
    <row r="58" spans="1:14" ht="15.75" customHeight="1" x14ac:dyDescent="0.25">
      <c r="A58" s="1868"/>
      <c r="B58" s="1869"/>
      <c r="C58" s="1869"/>
      <c r="D58" s="1869"/>
      <c r="E58" s="1870"/>
      <c r="F58" s="1874"/>
      <c r="G58" s="1875"/>
      <c r="H58" s="1875"/>
      <c r="I58" s="1875"/>
      <c r="J58" s="1875"/>
      <c r="K58" s="1876"/>
    </row>
    <row r="59" spans="1:14" ht="43.5" customHeight="1" thickBot="1" x14ac:dyDescent="0.3">
      <c r="A59" s="1871"/>
      <c r="B59" s="1872"/>
      <c r="C59" s="1872"/>
      <c r="D59" s="1872"/>
      <c r="E59" s="1873"/>
      <c r="F59" s="1877"/>
      <c r="G59" s="1878"/>
      <c r="H59" s="1878"/>
      <c r="I59" s="1878"/>
      <c r="J59" s="1878"/>
      <c r="K59" s="1879"/>
    </row>
    <row r="60" spans="1:14" ht="21.75" thickBot="1" x14ac:dyDescent="0.3">
      <c r="A60" s="1865" t="s">
        <v>315</v>
      </c>
      <c r="B60" s="1866"/>
      <c r="C60" s="1866"/>
      <c r="D60" s="1866"/>
      <c r="E60" s="1866"/>
      <c r="F60" s="1880" t="s">
        <v>335</v>
      </c>
      <c r="G60" s="1881"/>
      <c r="H60" s="1881"/>
      <c r="I60" s="1881"/>
      <c r="J60" s="1881"/>
      <c r="K60" s="1882"/>
    </row>
    <row r="61" spans="1:14" ht="21.75" thickBot="1" x14ac:dyDescent="0.3">
      <c r="A61" s="1865" t="s">
        <v>272</v>
      </c>
      <c r="B61" s="1866"/>
      <c r="C61" s="1866"/>
      <c r="D61" s="1866"/>
      <c r="E61" s="1866"/>
      <c r="F61" s="1865" t="s">
        <v>339</v>
      </c>
      <c r="G61" s="1866"/>
      <c r="H61" s="1866"/>
      <c r="I61" s="1866"/>
      <c r="J61" s="1866"/>
      <c r="K61" s="1867"/>
    </row>
    <row r="62" spans="1:14" x14ac:dyDescent="0.25">
      <c r="F62" s="144"/>
      <c r="K62" s="144"/>
    </row>
    <row r="63" spans="1:14" x14ac:dyDescent="0.25">
      <c r="F63" s="144"/>
      <c r="K63" s="144"/>
    </row>
    <row r="65" spans="2:2" x14ac:dyDescent="0.25">
      <c r="B65" s="144"/>
    </row>
  </sheetData>
  <mergeCells count="56">
    <mergeCell ref="A61:E61"/>
    <mergeCell ref="F61:K61"/>
    <mergeCell ref="A57:E57"/>
    <mergeCell ref="F57:K57"/>
    <mergeCell ref="A58:E59"/>
    <mergeCell ref="F58:K59"/>
    <mergeCell ref="A60:E60"/>
    <mergeCell ref="F60:K60"/>
    <mergeCell ref="A49:B49"/>
    <mergeCell ref="C49:D49"/>
    <mergeCell ref="A50:B50"/>
    <mergeCell ref="C50:D50"/>
    <mergeCell ref="A51:B51"/>
    <mergeCell ref="C51:D51"/>
    <mergeCell ref="A44:B44"/>
    <mergeCell ref="C44:D44"/>
    <mergeCell ref="A45:B45"/>
    <mergeCell ref="C45:D45"/>
    <mergeCell ref="A46:B46"/>
    <mergeCell ref="C46:D46"/>
    <mergeCell ref="A41:B41"/>
    <mergeCell ref="C41:D41"/>
    <mergeCell ref="A42:B42"/>
    <mergeCell ref="C42:D42"/>
    <mergeCell ref="A43:B43"/>
    <mergeCell ref="C43:D43"/>
    <mergeCell ref="A38:B38"/>
    <mergeCell ref="C38:D38"/>
    <mergeCell ref="A39:B39"/>
    <mergeCell ref="C39:D39"/>
    <mergeCell ref="A40:B40"/>
    <mergeCell ref="C40:D40"/>
    <mergeCell ref="A35:B35"/>
    <mergeCell ref="C35:D35"/>
    <mergeCell ref="A36:B36"/>
    <mergeCell ref="C36:D36"/>
    <mergeCell ref="A37:B37"/>
    <mergeCell ref="C37:D37"/>
    <mergeCell ref="A32:B32"/>
    <mergeCell ref="C32:D32"/>
    <mergeCell ref="A33:B33"/>
    <mergeCell ref="C33:D33"/>
    <mergeCell ref="A34:B34"/>
    <mergeCell ref="C34:D34"/>
    <mergeCell ref="A12:K12"/>
    <mergeCell ref="A13:B13"/>
    <mergeCell ref="B15:E15"/>
    <mergeCell ref="G15:J15"/>
    <mergeCell ref="A31:B31"/>
    <mergeCell ref="C31:D31"/>
    <mergeCell ref="A11:K11"/>
    <mergeCell ref="A1:K1"/>
    <mergeCell ref="A3:K3"/>
    <mergeCell ref="A4:K4"/>
    <mergeCell ref="A5:K5"/>
    <mergeCell ref="A8:K8"/>
  </mergeCells>
  <printOptions horizontalCentered="1"/>
  <pageMargins left="0.39370078740157483" right="0.39370078740157483" top="0.39370078740157483" bottom="0.39370078740157483" header="0.31496062992125984" footer="0.31496062992125984"/>
  <pageSetup scale="48" orientation="portrait" r:id="rId1"/>
  <colBreaks count="1" manualBreakCount="1">
    <brk id="11"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80"/>
  <sheetViews>
    <sheetView zoomScale="60" zoomScaleNormal="60" workbookViewId="0">
      <selection activeCell="J32" sqref="J32"/>
    </sheetView>
  </sheetViews>
  <sheetFormatPr baseColWidth="10" defaultRowHeight="15" x14ac:dyDescent="0.25"/>
  <cols>
    <col min="1" max="1" width="14.28515625" customWidth="1"/>
    <col min="2" max="2" width="52.5703125" customWidth="1"/>
    <col min="3" max="3" width="25.28515625" customWidth="1"/>
    <col min="4" max="4" width="25.140625" customWidth="1"/>
    <col min="5" max="5" width="29.85546875" customWidth="1"/>
    <col min="6" max="6" width="24.140625" customWidth="1"/>
    <col min="7" max="7" width="23.7109375" customWidth="1"/>
    <col min="8" max="8" width="26.85546875" customWidth="1"/>
    <col min="10" max="10" width="20" customWidth="1"/>
    <col min="12" max="12" width="16.5703125" customWidth="1"/>
  </cols>
  <sheetData>
    <row r="1" spans="2:12" ht="24" customHeight="1" x14ac:dyDescent="0.25">
      <c r="B1" s="507" t="s">
        <v>259</v>
      </c>
      <c r="C1" s="1884" t="s">
        <v>277</v>
      </c>
      <c r="D1" s="1884"/>
      <c r="E1" s="1884"/>
      <c r="F1" s="1884"/>
      <c r="G1" s="1884"/>
      <c r="H1" s="697"/>
      <c r="I1" s="157"/>
      <c r="J1" s="157"/>
    </row>
    <row r="2" spans="2:12" ht="46.5" customHeight="1" x14ac:dyDescent="0.25">
      <c r="B2" s="447"/>
      <c r="C2" s="1885" t="s">
        <v>158</v>
      </c>
      <c r="D2" s="1885"/>
      <c r="E2" s="1885"/>
      <c r="F2" s="1885"/>
      <c r="G2" s="1885"/>
      <c r="H2" s="523"/>
    </row>
    <row r="3" spans="2:12" ht="23.25" x14ac:dyDescent="0.25">
      <c r="B3" s="449"/>
      <c r="C3" s="1884" t="s">
        <v>349</v>
      </c>
      <c r="D3" s="1884"/>
      <c r="E3" s="1884"/>
      <c r="F3" s="1884"/>
      <c r="G3" s="1884"/>
      <c r="H3" s="698"/>
    </row>
    <row r="4" spans="2:12" ht="18" hidden="1" x14ac:dyDescent="0.25">
      <c r="B4" s="467"/>
      <c r="C4" s="508"/>
      <c r="D4" s="509"/>
      <c r="E4" s="509"/>
      <c r="F4" s="509"/>
      <c r="G4" s="509"/>
    </row>
    <row r="5" spans="2:12" ht="9" customHeight="1" x14ac:dyDescent="0.25">
      <c r="B5" s="467"/>
      <c r="C5" s="508"/>
      <c r="D5" s="509"/>
      <c r="E5" s="509"/>
      <c r="F5" s="509"/>
      <c r="G5" s="509"/>
    </row>
    <row r="6" spans="2:12" ht="21" customHeight="1" x14ac:dyDescent="0.25">
      <c r="B6" s="698"/>
      <c r="C6" s="698"/>
      <c r="D6" s="1886" t="s">
        <v>37</v>
      </c>
      <c r="E6" s="1886"/>
      <c r="F6" s="1886"/>
      <c r="G6" s="510"/>
      <c r="H6" s="442"/>
    </row>
    <row r="7" spans="2:12" ht="18.75" hidden="1" x14ac:dyDescent="0.25">
      <c r="B7" s="509"/>
      <c r="C7" s="511"/>
      <c r="D7" s="509"/>
      <c r="E7" s="509"/>
      <c r="F7" s="509"/>
      <c r="G7" s="509"/>
    </row>
    <row r="8" spans="2:12" ht="18.75" hidden="1" x14ac:dyDescent="0.25">
      <c r="B8" s="509"/>
      <c r="C8" s="511"/>
      <c r="D8" s="509"/>
      <c r="E8" s="509"/>
      <c r="F8" s="509"/>
      <c r="G8" s="509"/>
    </row>
    <row r="9" spans="2:12" ht="20.25" customHeight="1" x14ac:dyDescent="0.25">
      <c r="B9" s="691"/>
      <c r="C9" s="1823" t="s">
        <v>482</v>
      </c>
      <c r="D9" s="1823"/>
      <c r="E9" s="1823"/>
      <c r="F9" s="1823"/>
      <c r="G9" s="1823"/>
      <c r="H9" s="1488"/>
    </row>
    <row r="10" spans="2:12" ht="21.75" customHeight="1" x14ac:dyDescent="0.25">
      <c r="B10" s="692"/>
      <c r="C10" s="692"/>
      <c r="D10" s="1883" t="s">
        <v>481</v>
      </c>
      <c r="E10" s="1883"/>
      <c r="F10" s="1883"/>
      <c r="G10" s="524"/>
      <c r="H10" s="863"/>
    </row>
    <row r="11" spans="2:12" ht="6.75" customHeight="1" thickBot="1" x14ac:dyDescent="0.3">
      <c r="B11" s="509"/>
      <c r="C11" s="512"/>
      <c r="D11" s="509"/>
      <c r="E11" s="509"/>
      <c r="F11" s="509"/>
      <c r="G11" s="509"/>
    </row>
    <row r="12" spans="2:12" ht="54" customHeight="1" thickBot="1" x14ac:dyDescent="0.3">
      <c r="B12" s="1887" t="s">
        <v>18</v>
      </c>
      <c r="C12" s="1889" t="s">
        <v>483</v>
      </c>
      <c r="D12" s="1889" t="s">
        <v>561</v>
      </c>
      <c r="E12" s="1891" t="s">
        <v>192</v>
      </c>
      <c r="F12" s="1514" t="s">
        <v>19</v>
      </c>
      <c r="G12" s="1515">
        <v>45657</v>
      </c>
      <c r="H12" s="1516">
        <v>671048.29999999993</v>
      </c>
      <c r="J12" s="138">
        <f>+H12-C27</f>
        <v>0</v>
      </c>
    </row>
    <row r="13" spans="2:12" ht="24.75" customHeight="1" thickBot="1" x14ac:dyDescent="0.4">
      <c r="B13" s="1888"/>
      <c r="C13" s="1890"/>
      <c r="D13" s="1890"/>
      <c r="E13" s="1892"/>
      <c r="F13" s="1517" t="s">
        <v>10</v>
      </c>
      <c r="G13" s="1518" t="s">
        <v>11</v>
      </c>
      <c r="H13" s="1517" t="s">
        <v>20</v>
      </c>
      <c r="L13" s="954"/>
    </row>
    <row r="14" spans="2:12" s="487" customFormat="1" ht="27" customHeight="1" x14ac:dyDescent="0.35">
      <c r="B14" s="940" t="s">
        <v>342</v>
      </c>
      <c r="C14" s="1353">
        <v>17075.16</v>
      </c>
      <c r="D14" s="1353">
        <v>17075.16</v>
      </c>
      <c r="E14" s="1354">
        <f>+D14-C14</f>
        <v>0</v>
      </c>
      <c r="F14" s="1354"/>
      <c r="G14" s="1355"/>
      <c r="H14" s="1356">
        <f>+H12+F14-G14</f>
        <v>671048.29999999993</v>
      </c>
      <c r="L14" s="1357"/>
    </row>
    <row r="15" spans="2:12" s="487" customFormat="1" ht="59.25" customHeight="1" x14ac:dyDescent="0.35">
      <c r="B15" s="942" t="s">
        <v>422</v>
      </c>
      <c r="C15" s="1360">
        <v>107689.60000000001</v>
      </c>
      <c r="D15" s="1360">
        <v>77976.11</v>
      </c>
      <c r="E15" s="1359">
        <f>+D15-C15</f>
        <v>-29713.490000000005</v>
      </c>
      <c r="F15" s="1359"/>
      <c r="G15" s="1361">
        <v>29713.49</v>
      </c>
      <c r="H15" s="1359">
        <f>+H14+F15-G15</f>
        <v>641334.80999999994</v>
      </c>
      <c r="J15" s="758"/>
      <c r="L15" s="1357"/>
    </row>
    <row r="16" spans="2:12" s="487" customFormat="1" ht="41.25" hidden="1" customHeight="1" x14ac:dyDescent="0.35">
      <c r="B16" s="942" t="s">
        <v>265</v>
      </c>
      <c r="C16" s="1360"/>
      <c r="D16" s="1360"/>
      <c r="E16" s="1359">
        <f t="shared" ref="E16:E26" si="0">+D16-C16</f>
        <v>0</v>
      </c>
      <c r="F16" s="1359"/>
      <c r="G16" s="1361"/>
      <c r="H16" s="1359">
        <f t="shared" ref="H16:H24" si="1">+H15+F16-G16</f>
        <v>641334.80999999994</v>
      </c>
      <c r="J16" s="758"/>
      <c r="L16" s="1357"/>
    </row>
    <row r="17" spans="2:13" s="487" customFormat="1" ht="30" customHeight="1" x14ac:dyDescent="0.35">
      <c r="B17" s="942" t="s">
        <v>182</v>
      </c>
      <c r="C17" s="1360">
        <v>15787.12</v>
      </c>
      <c r="D17" s="1360">
        <v>14270.91</v>
      </c>
      <c r="E17" s="1359">
        <f t="shared" si="0"/>
        <v>-1516.2100000000009</v>
      </c>
      <c r="F17" s="1359"/>
      <c r="G17" s="1361">
        <v>1516.21</v>
      </c>
      <c r="H17" s="1359">
        <f t="shared" si="1"/>
        <v>639818.6</v>
      </c>
      <c r="J17" s="758"/>
      <c r="L17" s="1357"/>
    </row>
    <row r="18" spans="2:13" s="487" customFormat="1" ht="45" customHeight="1" x14ac:dyDescent="0.35">
      <c r="B18" s="942" t="s">
        <v>279</v>
      </c>
      <c r="C18" s="1360">
        <v>6420</v>
      </c>
      <c r="D18" s="1360">
        <v>6420</v>
      </c>
      <c r="E18" s="1359">
        <f t="shared" si="0"/>
        <v>0</v>
      </c>
      <c r="F18" s="1359"/>
      <c r="G18" s="1361"/>
      <c r="H18" s="1359">
        <f t="shared" si="1"/>
        <v>639818.6</v>
      </c>
      <c r="J18" s="758"/>
      <c r="L18" s="1357"/>
    </row>
    <row r="19" spans="2:13" s="487" customFormat="1" ht="28.5" customHeight="1" x14ac:dyDescent="0.35">
      <c r="B19" s="942" t="s">
        <v>183</v>
      </c>
      <c r="C19" s="1360">
        <v>33789.03</v>
      </c>
      <c r="D19" s="1360">
        <v>26457.279999999999</v>
      </c>
      <c r="E19" s="1359">
        <f>+D19-C19</f>
        <v>-7331.75</v>
      </c>
      <c r="F19" s="1359"/>
      <c r="G19" s="1361">
        <v>7331.75</v>
      </c>
      <c r="H19" s="1359">
        <f t="shared" si="1"/>
        <v>632486.85</v>
      </c>
      <c r="L19" s="1357"/>
    </row>
    <row r="20" spans="2:13" s="487" customFormat="1" ht="28.5" customHeight="1" x14ac:dyDescent="0.35">
      <c r="B20" s="942" t="s">
        <v>354</v>
      </c>
      <c r="C20" s="1358">
        <v>24617.66</v>
      </c>
      <c r="D20" s="1358">
        <v>0</v>
      </c>
      <c r="E20" s="1359">
        <f t="shared" si="0"/>
        <v>-24617.66</v>
      </c>
      <c r="F20" s="1359"/>
      <c r="G20" s="1361">
        <v>24617.66</v>
      </c>
      <c r="H20" s="1359">
        <f t="shared" si="1"/>
        <v>607869.18999999994</v>
      </c>
      <c r="L20" s="1357"/>
    </row>
    <row r="21" spans="2:13" s="487" customFormat="1" ht="30" customHeight="1" x14ac:dyDescent="0.35">
      <c r="B21" s="942" t="s">
        <v>336</v>
      </c>
      <c r="C21" s="1360">
        <v>350</v>
      </c>
      <c r="D21" s="1360">
        <v>350</v>
      </c>
      <c r="E21" s="1359">
        <f t="shared" si="0"/>
        <v>0</v>
      </c>
      <c r="F21" s="1359"/>
      <c r="G21" s="1361"/>
      <c r="H21" s="1359">
        <f t="shared" si="1"/>
        <v>607869.18999999994</v>
      </c>
      <c r="L21" s="1357"/>
    </row>
    <row r="22" spans="2:13" s="487" customFormat="1" ht="42" hidden="1" customHeight="1" x14ac:dyDescent="0.35">
      <c r="B22" s="941" t="s">
        <v>351</v>
      </c>
      <c r="C22" s="1360"/>
      <c r="D22" s="1360"/>
      <c r="E22" s="1359">
        <f t="shared" si="0"/>
        <v>0</v>
      </c>
      <c r="F22" s="1359"/>
      <c r="G22" s="1361"/>
      <c r="H22" s="1359">
        <f t="shared" si="1"/>
        <v>607869.18999999994</v>
      </c>
      <c r="L22" s="1357"/>
    </row>
    <row r="23" spans="2:13" s="487" customFormat="1" ht="28.5" customHeight="1" x14ac:dyDescent="0.35">
      <c r="B23" s="941" t="s">
        <v>341</v>
      </c>
      <c r="C23" s="1360">
        <v>243361.4</v>
      </c>
      <c r="D23" s="1360">
        <v>182720.38</v>
      </c>
      <c r="E23" s="1359">
        <f t="shared" si="0"/>
        <v>-60641.01999999999</v>
      </c>
      <c r="F23" s="1359"/>
      <c r="G23" s="1361">
        <v>60641.02</v>
      </c>
      <c r="H23" s="1359">
        <f t="shared" si="1"/>
        <v>547228.16999999993</v>
      </c>
      <c r="L23" s="1357"/>
    </row>
    <row r="24" spans="2:13" s="487" customFormat="1" ht="45.75" customHeight="1" x14ac:dyDescent="0.35">
      <c r="B24" s="941" t="s">
        <v>357</v>
      </c>
      <c r="C24" s="938">
        <v>7140</v>
      </c>
      <c r="D24" s="1362">
        <v>7140</v>
      </c>
      <c r="E24" s="1363">
        <f t="shared" si="0"/>
        <v>0</v>
      </c>
      <c r="F24" s="1363"/>
      <c r="G24" s="1364"/>
      <c r="H24" s="1359">
        <f t="shared" si="1"/>
        <v>547228.16999999993</v>
      </c>
      <c r="L24" s="1357"/>
    </row>
    <row r="25" spans="2:13" s="487" customFormat="1" ht="48" hidden="1" customHeight="1" x14ac:dyDescent="0.35">
      <c r="B25" s="941"/>
      <c r="C25" s="938"/>
      <c r="D25" s="1362"/>
      <c r="E25" s="1363"/>
      <c r="F25" s="1363"/>
      <c r="G25" s="1364"/>
      <c r="H25" s="1359"/>
      <c r="L25" s="1357"/>
    </row>
    <row r="26" spans="2:13" s="487" customFormat="1" ht="31.5" customHeight="1" thickBot="1" x14ac:dyDescent="0.4">
      <c r="B26" s="943" t="s">
        <v>184</v>
      </c>
      <c r="C26" s="939">
        <v>214818.33</v>
      </c>
      <c r="D26" s="1365">
        <v>220913.32</v>
      </c>
      <c r="E26" s="1363">
        <f t="shared" si="0"/>
        <v>6094.9900000000198</v>
      </c>
      <c r="F26" s="1366">
        <v>6094.99</v>
      </c>
      <c r="G26" s="1367"/>
      <c r="H26" s="1363">
        <f>+H24+F26-G26</f>
        <v>553323.15999999992</v>
      </c>
      <c r="J26" s="758"/>
      <c r="L26" s="1357"/>
      <c r="M26" s="758"/>
    </row>
    <row r="27" spans="2:13" ht="48" customHeight="1" thickBot="1" x14ac:dyDescent="0.3">
      <c r="B27" s="936" t="s">
        <v>239</v>
      </c>
      <c r="C27" s="1519">
        <f>SUM(C14:C26)</f>
        <v>671048.29999999993</v>
      </c>
      <c r="D27" s="1520">
        <f>SUM(D14:D26)</f>
        <v>553323.16</v>
      </c>
      <c r="E27" s="1368">
        <f>SUM(E14:E26)</f>
        <v>-117725.13999999997</v>
      </c>
      <c r="F27" s="1369">
        <f>SUM(F14:F26)</f>
        <v>6094.99</v>
      </c>
      <c r="G27" s="1370">
        <f>SUM(G14:G26)</f>
        <v>123820.13</v>
      </c>
      <c r="H27" s="1521">
        <f>+H26</f>
        <v>553323.15999999992</v>
      </c>
      <c r="J27" s="307">
        <f>+H27-D27</f>
        <v>0</v>
      </c>
      <c r="L27" s="22"/>
    </row>
    <row r="28" spans="2:13" ht="13.5" customHeight="1" x14ac:dyDescent="0.25">
      <c r="B28" s="693"/>
      <c r="C28" s="694"/>
      <c r="D28" s="694"/>
      <c r="E28" s="694"/>
      <c r="F28" s="694"/>
      <c r="G28" s="694"/>
      <c r="H28" s="694"/>
      <c r="J28" s="307"/>
    </row>
    <row r="29" spans="2:13" ht="78.75" customHeight="1" thickBot="1" x14ac:dyDescent="0.3">
      <c r="C29" s="22"/>
      <c r="D29" s="307"/>
      <c r="E29" s="307"/>
      <c r="F29" s="307"/>
      <c r="G29" s="307"/>
    </row>
    <row r="30" spans="2:13" ht="30" customHeight="1" thickBot="1" x14ac:dyDescent="0.3">
      <c r="B30" s="1781" t="s">
        <v>163</v>
      </c>
      <c r="C30" s="1782"/>
      <c r="D30" s="1783"/>
      <c r="E30" s="1782" t="s">
        <v>164</v>
      </c>
      <c r="F30" s="1782"/>
      <c r="G30" s="1782"/>
      <c r="H30" s="1783"/>
      <c r="I30" s="689"/>
      <c r="J30" s="686"/>
      <c r="K30" s="686"/>
      <c r="L30" s="686"/>
    </row>
    <row r="31" spans="2:13" ht="15.75" customHeight="1" x14ac:dyDescent="0.25">
      <c r="B31" s="1868"/>
      <c r="C31" s="1869"/>
      <c r="D31" s="1870"/>
      <c r="E31" s="1869"/>
      <c r="F31" s="1869"/>
      <c r="G31" s="1869"/>
      <c r="H31" s="1870"/>
      <c r="I31" s="133"/>
      <c r="J31" s="133"/>
      <c r="K31" s="145"/>
      <c r="L31" s="133"/>
    </row>
    <row r="32" spans="2:13" ht="67.5" customHeight="1" thickBot="1" x14ac:dyDescent="0.3">
      <c r="B32" s="1871"/>
      <c r="C32" s="1872"/>
      <c r="D32" s="1873"/>
      <c r="E32" s="1872"/>
      <c r="F32" s="1872"/>
      <c r="G32" s="1872"/>
      <c r="H32" s="1873"/>
      <c r="I32" s="133"/>
      <c r="J32" s="133"/>
      <c r="K32" s="145"/>
      <c r="L32" s="145"/>
    </row>
    <row r="33" spans="2:12" ht="29.25" customHeight="1" thickBot="1" x14ac:dyDescent="0.4">
      <c r="B33" s="1781" t="s">
        <v>273</v>
      </c>
      <c r="C33" s="1782"/>
      <c r="D33" s="1783"/>
      <c r="E33" s="1893" t="s">
        <v>227</v>
      </c>
      <c r="F33" s="1893"/>
      <c r="G33" s="1893"/>
      <c r="H33" s="1894"/>
      <c r="I33" s="690"/>
      <c r="J33" s="687"/>
      <c r="K33" s="687"/>
      <c r="L33" s="687"/>
    </row>
    <row r="34" spans="2:12" ht="29.25" customHeight="1" thickBot="1" x14ac:dyDescent="0.3">
      <c r="B34" s="1781" t="s">
        <v>272</v>
      </c>
      <c r="C34" s="1782"/>
      <c r="D34" s="1783"/>
      <c r="E34" s="1895" t="s">
        <v>337</v>
      </c>
      <c r="F34" s="1895"/>
      <c r="G34" s="1895"/>
      <c r="H34" s="1896"/>
      <c r="I34" s="689"/>
      <c r="J34" s="688"/>
      <c r="K34" s="688"/>
      <c r="L34" s="688"/>
    </row>
    <row r="35" spans="2:12" s="487" customFormat="1" ht="29.25" customHeight="1" x14ac:dyDescent="0.25">
      <c r="B35" s="955"/>
      <c r="C35" s="955"/>
      <c r="D35" s="955"/>
      <c r="E35" s="956"/>
      <c r="F35" s="956"/>
      <c r="G35" s="956"/>
      <c r="H35" s="956"/>
      <c r="I35" s="689"/>
      <c r="J35" s="688"/>
      <c r="K35" s="688"/>
      <c r="L35" s="688"/>
    </row>
    <row r="36" spans="2:12" ht="18" x14ac:dyDescent="0.25">
      <c r="D36" s="307"/>
      <c r="E36" s="307"/>
      <c r="F36" s="307"/>
    </row>
    <row r="37" spans="2:12" ht="18" x14ac:dyDescent="0.25">
      <c r="D37" s="22"/>
      <c r="E37" s="307"/>
      <c r="G37" s="22"/>
    </row>
    <row r="38" spans="2:12" ht="21" x14ac:dyDescent="0.35">
      <c r="D38" s="953"/>
      <c r="F38" s="22"/>
    </row>
    <row r="39" spans="2:12" ht="20.25" customHeight="1" x14ac:dyDescent="0.35">
      <c r="C39" s="22"/>
      <c r="D39" s="954"/>
      <c r="E39" s="1024"/>
      <c r="F39" s="758"/>
      <c r="G39" s="22"/>
      <c r="H39" s="22"/>
    </row>
    <row r="40" spans="2:12" ht="23.25" x14ac:dyDescent="0.35">
      <c r="C40" s="22"/>
      <c r="D40" s="954"/>
      <c r="E40" s="954"/>
      <c r="F40" s="1042"/>
      <c r="G40" s="699"/>
      <c r="H40" s="22"/>
    </row>
    <row r="41" spans="2:12" ht="23.25" x14ac:dyDescent="0.35">
      <c r="C41" s="22"/>
      <c r="D41" s="954"/>
      <c r="E41" s="22"/>
      <c r="F41" s="1042"/>
      <c r="G41" s="699"/>
    </row>
    <row r="42" spans="2:12" ht="23.25" x14ac:dyDescent="0.35">
      <c r="C42" s="22"/>
      <c r="D42" s="954"/>
      <c r="F42" s="1042"/>
      <c r="G42" s="699"/>
    </row>
    <row r="43" spans="2:12" ht="23.25" x14ac:dyDescent="0.35">
      <c r="C43" s="22"/>
      <c r="D43" s="954"/>
      <c r="F43" s="1042"/>
      <c r="G43" s="699"/>
    </row>
    <row r="44" spans="2:12" ht="23.25" x14ac:dyDescent="0.35">
      <c r="C44" s="22"/>
      <c r="D44" s="954"/>
      <c r="F44" s="1042"/>
      <c r="G44" s="699"/>
    </row>
    <row r="45" spans="2:12" ht="23.25" x14ac:dyDescent="0.35">
      <c r="C45" s="22"/>
      <c r="D45" s="954"/>
      <c r="F45" s="1042"/>
      <c r="G45" s="699"/>
    </row>
    <row r="46" spans="2:12" ht="23.25" x14ac:dyDescent="0.35">
      <c r="C46" s="22"/>
      <c r="D46" s="954"/>
      <c r="F46" s="1042"/>
      <c r="G46" s="699"/>
    </row>
    <row r="47" spans="2:12" ht="23.25" x14ac:dyDescent="0.35">
      <c r="D47" s="954"/>
      <c r="F47" s="699"/>
      <c r="G47" s="699"/>
    </row>
    <row r="48" spans="2:12" ht="23.25" x14ac:dyDescent="0.35">
      <c r="D48" s="954"/>
      <c r="F48" s="699"/>
      <c r="G48" s="699"/>
    </row>
    <row r="49" spans="2:7" ht="23.25" x14ac:dyDescent="0.35">
      <c r="D49" s="954"/>
      <c r="F49" s="699"/>
      <c r="G49" s="699"/>
    </row>
    <row r="50" spans="2:7" ht="23.25" x14ac:dyDescent="0.35">
      <c r="D50" s="954"/>
      <c r="E50" s="22"/>
      <c r="F50" s="699"/>
      <c r="G50" s="699"/>
    </row>
    <row r="51" spans="2:7" ht="23.25" x14ac:dyDescent="0.35">
      <c r="F51" s="699"/>
      <c r="G51" s="699"/>
    </row>
    <row r="52" spans="2:7" ht="23.25" x14ac:dyDescent="0.35">
      <c r="F52" s="699"/>
      <c r="G52" s="699"/>
    </row>
    <row r="53" spans="2:7" ht="23.25" x14ac:dyDescent="0.35">
      <c r="F53" s="699"/>
      <c r="G53" s="699"/>
    </row>
    <row r="54" spans="2:7" ht="23.25" x14ac:dyDescent="0.35">
      <c r="F54" s="699"/>
      <c r="G54" s="699"/>
    </row>
    <row r="55" spans="2:7" ht="23.25" x14ac:dyDescent="0.35">
      <c r="F55" s="22"/>
      <c r="G55" s="699"/>
    </row>
    <row r="56" spans="2:7" ht="23.25" x14ac:dyDescent="0.35">
      <c r="F56" s="22"/>
      <c r="G56" s="699"/>
    </row>
    <row r="57" spans="2:7" ht="23.25" x14ac:dyDescent="0.35">
      <c r="F57" s="22"/>
      <c r="G57" s="699"/>
    </row>
    <row r="58" spans="2:7" ht="23.25" x14ac:dyDescent="0.35">
      <c r="F58" s="22"/>
      <c r="G58" s="699"/>
    </row>
    <row r="59" spans="2:7" ht="24.95" customHeight="1" x14ac:dyDescent="0.35">
      <c r="B59" s="1371"/>
      <c r="C59" s="1024"/>
      <c r="D59" s="1024"/>
      <c r="F59" s="22"/>
      <c r="G59" s="699"/>
    </row>
    <row r="60" spans="2:7" ht="24.95" customHeight="1" x14ac:dyDescent="0.35">
      <c r="B60" s="1371"/>
      <c r="C60" s="1024"/>
      <c r="D60" s="1024"/>
      <c r="E60" s="22"/>
      <c r="F60" s="22"/>
      <c r="G60" s="22"/>
    </row>
    <row r="61" spans="2:7" ht="24.95" customHeight="1" x14ac:dyDescent="0.35">
      <c r="B61" s="1371"/>
      <c r="C61" s="1024"/>
      <c r="D61" s="1024"/>
      <c r="F61" s="22"/>
    </row>
    <row r="62" spans="2:7" ht="24.95" customHeight="1" x14ac:dyDescent="0.35">
      <c r="B62" s="1371"/>
      <c r="C62" s="1024"/>
      <c r="D62" s="1024"/>
      <c r="F62" s="22"/>
    </row>
    <row r="63" spans="2:7" ht="24.95" customHeight="1" x14ac:dyDescent="0.35">
      <c r="B63" s="1371"/>
      <c r="C63" s="1024"/>
      <c r="D63" s="1024"/>
      <c r="F63" s="22"/>
    </row>
    <row r="64" spans="2:7" ht="24.95" customHeight="1" x14ac:dyDescent="0.35">
      <c r="B64" s="1371"/>
      <c r="C64" s="1024"/>
      <c r="D64" s="1024"/>
      <c r="F64" s="22"/>
    </row>
    <row r="65" spans="2:6" ht="24.95" customHeight="1" x14ac:dyDescent="0.35">
      <c r="B65" s="1371"/>
      <c r="C65" s="1024"/>
      <c r="D65" s="1024"/>
      <c r="F65" s="22"/>
    </row>
    <row r="66" spans="2:6" ht="24.95" customHeight="1" x14ac:dyDescent="0.35">
      <c r="B66" s="1371"/>
      <c r="C66" s="1024"/>
      <c r="D66" s="1024"/>
      <c r="F66" s="22"/>
    </row>
    <row r="67" spans="2:6" ht="24.95" customHeight="1" x14ac:dyDescent="0.35">
      <c r="B67" s="1371"/>
      <c r="C67" s="1024"/>
      <c r="D67" s="1024"/>
      <c r="F67" s="22"/>
    </row>
    <row r="68" spans="2:6" ht="24.95" customHeight="1" x14ac:dyDescent="0.35">
      <c r="B68" s="1371"/>
      <c r="C68" s="1024"/>
      <c r="D68" s="1024"/>
      <c r="F68" s="22"/>
    </row>
    <row r="69" spans="2:6" ht="24.95" customHeight="1" x14ac:dyDescent="0.35">
      <c r="B69" s="1371"/>
      <c r="C69" s="1024"/>
      <c r="D69" s="1024"/>
      <c r="F69" s="22"/>
    </row>
    <row r="70" spans="2:6" ht="24.95" customHeight="1" x14ac:dyDescent="0.35">
      <c r="B70" s="1371"/>
      <c r="C70" s="1024"/>
      <c r="D70" s="1024"/>
    </row>
    <row r="71" spans="2:6" ht="24.95" customHeight="1" x14ac:dyDescent="0.35">
      <c r="B71" s="1371"/>
      <c r="C71" s="1024"/>
      <c r="D71" s="1024"/>
      <c r="E71" s="1372"/>
    </row>
    <row r="72" spans="2:6" ht="24.95" customHeight="1" x14ac:dyDescent="0.3">
      <c r="C72" s="1024"/>
      <c r="E72" s="1024"/>
    </row>
    <row r="73" spans="2:6" ht="27" customHeight="1" x14ac:dyDescent="0.35">
      <c r="C73" s="954"/>
      <c r="D73" s="954"/>
    </row>
    <row r="74" spans="2:6" ht="24.95" customHeight="1" x14ac:dyDescent="0.25"/>
    <row r="75" spans="2:6" ht="24.95" customHeight="1" x14ac:dyDescent="0.35">
      <c r="C75" s="954"/>
      <c r="D75" s="1024"/>
    </row>
    <row r="76" spans="2:6" ht="24.95" customHeight="1" x14ac:dyDescent="0.25"/>
    <row r="77" spans="2:6" ht="24.95" customHeight="1" x14ac:dyDescent="0.25"/>
    <row r="78" spans="2:6" ht="24.95" customHeight="1" x14ac:dyDescent="0.25"/>
    <row r="79" spans="2:6" ht="24.95" customHeight="1" x14ac:dyDescent="0.25"/>
    <row r="80" spans="2:6" ht="24.95" customHeight="1" x14ac:dyDescent="0.25"/>
  </sheetData>
  <mergeCells count="18">
    <mergeCell ref="B31:D32"/>
    <mergeCell ref="E31:H32"/>
    <mergeCell ref="B33:D33"/>
    <mergeCell ref="E33:H33"/>
    <mergeCell ref="B34:D34"/>
    <mergeCell ref="E34:H34"/>
    <mergeCell ref="B12:B13"/>
    <mergeCell ref="C12:C13"/>
    <mergeCell ref="D12:D13"/>
    <mergeCell ref="E12:E13"/>
    <mergeCell ref="B30:D30"/>
    <mergeCell ref="E30:H30"/>
    <mergeCell ref="D10:F10"/>
    <mergeCell ref="C1:G1"/>
    <mergeCell ref="C2:G2"/>
    <mergeCell ref="C3:G3"/>
    <mergeCell ref="D6:F6"/>
    <mergeCell ref="C9:G9"/>
  </mergeCells>
  <printOptions horizontalCentered="1"/>
  <pageMargins left="0.19685039370078741" right="0.39370078740157483" top="0.39370078740157483" bottom="0.39370078740157483" header="0.31496062992125984" footer="0.31496062992125984"/>
  <pageSetup paperSize="9" scale="58" orientation="landscape"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view="pageBreakPreview" topLeftCell="A13" zoomScale="70" zoomScaleSheetLayoutView="70" workbookViewId="0">
      <selection activeCell="B28" sqref="B28:B29"/>
    </sheetView>
  </sheetViews>
  <sheetFormatPr baseColWidth="10" defaultColWidth="11.42578125" defaultRowHeight="20.100000000000001" customHeight="1" x14ac:dyDescent="0.25"/>
  <cols>
    <col min="1" max="1" width="78" style="311" customWidth="1"/>
    <col min="2" max="2" width="70" style="311" customWidth="1"/>
    <col min="3" max="3" width="4" style="311" customWidth="1"/>
    <col min="4" max="4" width="17.7109375" style="311" customWidth="1"/>
    <col min="5" max="5" width="16.140625" style="311" customWidth="1"/>
    <col min="6" max="6" width="14.140625" style="311" customWidth="1"/>
    <col min="7" max="7" width="16.140625" style="311" customWidth="1"/>
    <col min="8" max="8" width="18" style="311" customWidth="1"/>
    <col min="9" max="9" width="15" style="311" customWidth="1"/>
    <col min="10" max="10" width="17.28515625" style="311" customWidth="1"/>
    <col min="11" max="11" width="18.5703125" style="311" customWidth="1"/>
    <col min="12" max="12" width="10.140625" style="311" customWidth="1"/>
    <col min="13" max="13" width="15.5703125" style="311" customWidth="1"/>
    <col min="14" max="16384" width="11.42578125" style="311"/>
  </cols>
  <sheetData>
    <row r="1" spans="1:13" ht="20.100000000000001" customHeight="1" x14ac:dyDescent="0.25">
      <c r="A1" s="783"/>
      <c r="B1" s="784"/>
    </row>
    <row r="2" spans="1:13" ht="20.100000000000001" customHeight="1" x14ac:dyDescent="0.25">
      <c r="A2" s="783"/>
      <c r="B2" s="784"/>
    </row>
    <row r="3" spans="1:13" ht="29.25" customHeight="1" x14ac:dyDescent="0.25">
      <c r="A3" s="1627" t="str">
        <f>+'[15]132 F.T. NOVIEMBRE'!A3:B3</f>
        <v>REPÚBLICA BOLIVARIANA DE VENEZUELA</v>
      </c>
      <c r="B3" s="1628"/>
    </row>
    <row r="4" spans="1:13" ht="31.5" customHeight="1" x14ac:dyDescent="0.25">
      <c r="A4" s="1629" t="str">
        <f>+'[15]132 F.T. NOVIEMBRE'!A4:B4</f>
        <v>SERVICIO ADMINISTRATIVO DE PROTECCIÓN DEL NIÑO, NIÑA Y ADOLESCENTE DEL ESTADO TRUJILLO</v>
      </c>
      <c r="B4" s="1630"/>
    </row>
    <row r="5" spans="1:13" ht="33.75" customHeight="1" x14ac:dyDescent="0.25">
      <c r="A5" s="1627" t="str">
        <f>+'[15]132 F.T. NOVIEMBRE'!A5:B5</f>
        <v>DIRECCIÓN DE ADMINISTRACIÓN-UNIDAD DE CONTABILIDAD</v>
      </c>
      <c r="B5" s="1628"/>
    </row>
    <row r="6" spans="1:13" ht="27.75" customHeight="1" x14ac:dyDescent="0.25">
      <c r="A6" s="785"/>
      <c r="B6" s="786"/>
    </row>
    <row r="7" spans="1:13" ht="28.5" customHeight="1" x14ac:dyDescent="0.25">
      <c r="A7" s="1633" t="str">
        <f>+'[4]BALANCE GENERAL'!A5:I5</f>
        <v>BALANCE   GENERAL</v>
      </c>
      <c r="B7" s="1634"/>
    </row>
    <row r="8" spans="1:13" ht="25.5" customHeight="1" x14ac:dyDescent="0.25">
      <c r="A8" s="1635" t="s">
        <v>529</v>
      </c>
      <c r="B8" s="1632"/>
    </row>
    <row r="9" spans="1:13" ht="27" customHeight="1" x14ac:dyDescent="0.25">
      <c r="A9" s="1820" t="s">
        <v>501</v>
      </c>
      <c r="B9" s="1821"/>
      <c r="I9" s="311">
        <v>576.47</v>
      </c>
    </row>
    <row r="10" spans="1:13" ht="15.75" customHeight="1" thickBot="1" x14ac:dyDescent="0.3">
      <c r="A10" s="1820"/>
      <c r="B10" s="1821"/>
    </row>
    <row r="11" spans="1:13" ht="12" hidden="1" customHeight="1" thickBot="1" x14ac:dyDescent="0.3">
      <c r="A11" s="717"/>
      <c r="B11" s="788"/>
    </row>
    <row r="12" spans="1:13" ht="36" customHeight="1" thickBot="1" x14ac:dyDescent="0.25">
      <c r="A12" s="345" t="s">
        <v>190</v>
      </c>
      <c r="B12" s="346" t="s">
        <v>71</v>
      </c>
      <c r="F12" s="1544" t="s">
        <v>530</v>
      </c>
      <c r="G12" s="1545" t="s">
        <v>531</v>
      </c>
      <c r="H12" s="1546" t="s">
        <v>532</v>
      </c>
      <c r="I12" s="1545" t="s">
        <v>533</v>
      </c>
      <c r="J12" s="1547" t="s">
        <v>534</v>
      </c>
      <c r="K12" s="787"/>
      <c r="L12" s="782"/>
      <c r="M12" s="782"/>
    </row>
    <row r="13" spans="1:13" ht="41.1" customHeight="1" thickBot="1" x14ac:dyDescent="0.3">
      <c r="A13" s="1548" t="s">
        <v>535</v>
      </c>
      <c r="B13" s="1549">
        <v>49438937</v>
      </c>
      <c r="F13" s="1550" t="s">
        <v>536</v>
      </c>
      <c r="G13" s="1551">
        <v>0</v>
      </c>
      <c r="H13" s="1552">
        <f>+'ASIENTOS  '!D35</f>
        <v>2540651.33</v>
      </c>
      <c r="I13" s="1551">
        <f>+'ASIENTOS  '!D37</f>
        <v>11400</v>
      </c>
      <c r="J13" s="1552">
        <v>0</v>
      </c>
      <c r="K13" s="1897"/>
      <c r="L13" s="1553"/>
      <c r="M13" s="787"/>
    </row>
    <row r="14" spans="1:13" ht="51.95" customHeight="1" thickBot="1" x14ac:dyDescent="0.3">
      <c r="A14" s="1554" t="s">
        <v>559</v>
      </c>
      <c r="B14" s="1555">
        <v>132000</v>
      </c>
      <c r="F14" s="1556" t="s">
        <v>537</v>
      </c>
      <c r="G14" s="1557"/>
      <c r="H14" s="1558"/>
      <c r="I14" s="1557"/>
      <c r="J14" s="1558"/>
      <c r="K14" s="1897"/>
      <c r="L14" s="1553"/>
      <c r="M14" s="787"/>
    </row>
    <row r="15" spans="1:13" ht="51.95" customHeight="1" thickBot="1" x14ac:dyDescent="0.3">
      <c r="A15" s="1582" t="s">
        <v>568</v>
      </c>
      <c r="B15" s="1555">
        <v>576.47</v>
      </c>
      <c r="F15" s="1556"/>
      <c r="G15" s="1557"/>
      <c r="H15" s="1558"/>
      <c r="I15" s="1557"/>
      <c r="J15" s="1558"/>
      <c r="K15" s="1897"/>
      <c r="L15" s="1553"/>
      <c r="M15" s="787"/>
    </row>
    <row r="16" spans="1:13" ht="38.25" thickBot="1" x14ac:dyDescent="0.3">
      <c r="A16" s="798" t="s">
        <v>567</v>
      </c>
      <c r="B16" s="1541">
        <f>SUM(B13:B15)</f>
        <v>49571513.469999999</v>
      </c>
      <c r="F16" s="1556" t="s">
        <v>538</v>
      </c>
      <c r="G16" s="1557"/>
      <c r="H16" s="1558"/>
      <c r="I16" s="1557"/>
      <c r="J16" s="1558"/>
      <c r="K16" s="1897"/>
      <c r="L16" s="1553"/>
      <c r="M16" s="787"/>
    </row>
    <row r="17" spans="1:13" ht="51.75" customHeight="1" thickBot="1" x14ac:dyDescent="0.3">
      <c r="A17" s="1554" t="s">
        <v>539</v>
      </c>
      <c r="B17" s="1559">
        <f>+G26+H26+C17+J26</f>
        <v>2540651.33</v>
      </c>
      <c r="F17" s="1556" t="s">
        <v>540</v>
      </c>
      <c r="G17" s="1557"/>
      <c r="H17" s="1558"/>
      <c r="I17" s="1557"/>
      <c r="J17" s="1558"/>
      <c r="K17" s="1897"/>
      <c r="L17" s="1553"/>
      <c r="M17" s="787"/>
    </row>
    <row r="18" spans="1:13" ht="45" customHeight="1" thickBot="1" x14ac:dyDescent="0.3">
      <c r="A18" s="1554" t="s">
        <v>569</v>
      </c>
      <c r="B18" s="1560">
        <v>11400</v>
      </c>
      <c r="F18" s="1556" t="s">
        <v>541</v>
      </c>
      <c r="G18" s="1557"/>
      <c r="H18" s="1558"/>
      <c r="I18" s="1557"/>
      <c r="J18" s="1558"/>
      <c r="K18" s="1897"/>
      <c r="L18" s="1553"/>
      <c r="M18" s="787"/>
    </row>
    <row r="19" spans="1:13" ht="50.1" customHeight="1" thickBot="1" x14ac:dyDescent="0.3">
      <c r="A19" s="1554" t="s">
        <v>570</v>
      </c>
      <c r="B19" s="1560">
        <v>576.47</v>
      </c>
      <c r="D19" s="443">
        <f>+MAYORES!N26</f>
        <v>47018885.670000002</v>
      </c>
      <c r="F19" s="1556" t="s">
        <v>542</v>
      </c>
      <c r="G19" s="1557"/>
      <c r="H19" s="1558"/>
      <c r="I19" s="1557"/>
      <c r="J19" s="1558"/>
      <c r="K19" s="1897"/>
      <c r="L19" s="1553"/>
      <c r="M19" s="787"/>
    </row>
    <row r="20" spans="1:13" ht="50.1" customHeight="1" thickBot="1" x14ac:dyDescent="0.3">
      <c r="A20" s="1587" t="s">
        <v>571</v>
      </c>
      <c r="B20" s="1541">
        <f>+B16-B17-B18-B19</f>
        <v>47018885.670000002</v>
      </c>
      <c r="D20" s="443">
        <f>+B20-D19</f>
        <v>0</v>
      </c>
      <c r="F20" s="1556" t="s">
        <v>543</v>
      </c>
      <c r="G20" s="1557"/>
      <c r="H20" s="1558"/>
      <c r="I20" s="1557"/>
      <c r="J20" s="1558"/>
      <c r="K20" s="1897"/>
      <c r="L20" s="1553"/>
      <c r="M20" s="787"/>
    </row>
    <row r="21" spans="1:13" ht="50.1" customHeight="1" thickBot="1" x14ac:dyDescent="0.3">
      <c r="A21" s="1554"/>
      <c r="B21" s="1559"/>
      <c r="F21" s="1556" t="s">
        <v>544</v>
      </c>
      <c r="G21" s="1557"/>
      <c r="H21" s="1558"/>
      <c r="I21" s="1557"/>
      <c r="J21" s="1558"/>
      <c r="K21" s="1897"/>
      <c r="L21" s="1553"/>
      <c r="M21" s="787"/>
    </row>
    <row r="22" spans="1:13" ht="50.25" customHeight="1" thickBot="1" x14ac:dyDescent="0.3">
      <c r="A22" s="744"/>
      <c r="B22" s="802"/>
      <c r="F22" s="1556" t="s">
        <v>545</v>
      </c>
      <c r="G22" s="1557"/>
      <c r="H22" s="1558"/>
      <c r="I22" s="1557"/>
      <c r="J22" s="1558"/>
      <c r="K22" s="1897"/>
      <c r="L22" s="1553"/>
      <c r="M22" s="787"/>
    </row>
    <row r="23" spans="1:13" ht="47.25" customHeight="1" thickBot="1" x14ac:dyDescent="0.3">
      <c r="A23" s="744"/>
      <c r="B23" s="802"/>
      <c r="D23" s="443"/>
      <c r="F23" s="1556" t="s">
        <v>546</v>
      </c>
      <c r="G23" s="1557"/>
      <c r="H23" s="1558"/>
      <c r="I23" s="1557"/>
      <c r="J23" s="1558"/>
      <c r="K23" s="1897"/>
      <c r="L23" s="1553"/>
      <c r="M23" s="787"/>
    </row>
    <row r="24" spans="1:13" ht="42" customHeight="1" thickBot="1" x14ac:dyDescent="0.3">
      <c r="A24" s="744"/>
      <c r="B24" s="724"/>
      <c r="D24" s="443"/>
      <c r="E24" s="443"/>
      <c r="F24" s="1561" t="s">
        <v>547</v>
      </c>
      <c r="G24" s="1562"/>
      <c r="H24" s="1563"/>
      <c r="I24" s="1562"/>
      <c r="J24" s="1563"/>
      <c r="K24" s="1897"/>
      <c r="L24" s="1553"/>
      <c r="M24" s="787"/>
    </row>
    <row r="25" spans="1:13" ht="38.25" customHeight="1" thickBot="1" x14ac:dyDescent="0.3">
      <c r="A25" s="1564" t="s">
        <v>549</v>
      </c>
      <c r="B25" s="1565">
        <f>SUM(B20)</f>
        <v>47018885.670000002</v>
      </c>
      <c r="D25" s="1566">
        <f>+MAYORES!N26</f>
        <v>47018885.670000002</v>
      </c>
      <c r="E25" s="1567"/>
      <c r="F25" s="1561" t="s">
        <v>548</v>
      </c>
      <c r="G25" s="1562"/>
      <c r="H25" s="1563"/>
      <c r="I25" s="1562"/>
      <c r="J25" s="1563"/>
      <c r="K25" s="1897"/>
      <c r="L25" s="1553"/>
      <c r="M25" s="787"/>
    </row>
    <row r="26" spans="1:13" ht="28.5" customHeight="1" thickBot="1" x14ac:dyDescent="0.3">
      <c r="A26" s="717"/>
      <c r="B26" s="788"/>
      <c r="D26" s="443">
        <f>+B25-D25</f>
        <v>0</v>
      </c>
      <c r="F26" s="1568" t="s">
        <v>550</v>
      </c>
      <c r="G26" s="1569">
        <f>SUM(G13:G25)</f>
        <v>0</v>
      </c>
      <c r="H26" s="1570">
        <f>SUM(H13:H25)</f>
        <v>2540651.33</v>
      </c>
      <c r="I26" s="1569">
        <f>SUM(I13:I25)+576.47</f>
        <v>11976.47</v>
      </c>
      <c r="J26" s="1570">
        <f>SUM(J13:J25)</f>
        <v>0</v>
      </c>
      <c r="K26" s="1571">
        <f>+G26+H26+I26+J26</f>
        <v>2552627.8000000003</v>
      </c>
      <c r="L26" s="1553"/>
      <c r="M26" s="1572"/>
    </row>
    <row r="27" spans="1:13" ht="26.25" customHeight="1" thickBot="1" x14ac:dyDescent="0.3">
      <c r="A27" s="745" t="s">
        <v>163</v>
      </c>
      <c r="B27" s="745" t="s">
        <v>293</v>
      </c>
      <c r="E27" s="1573"/>
      <c r="I27" s="158"/>
      <c r="K27" s="1571"/>
      <c r="L27" s="1553"/>
      <c r="M27" s="782"/>
    </row>
    <row r="28" spans="1:13" ht="20.100000000000001" customHeight="1" x14ac:dyDescent="0.25">
      <c r="A28" s="1625"/>
      <c r="B28" s="1625"/>
      <c r="F28" s="1553"/>
      <c r="G28" s="782"/>
      <c r="H28" s="787"/>
      <c r="I28" s="782"/>
    </row>
    <row r="29" spans="1:13" ht="58.5" customHeight="1" thickBot="1" x14ac:dyDescent="0.3">
      <c r="A29" s="1626"/>
      <c r="B29" s="1626"/>
      <c r="F29" s="1553"/>
      <c r="G29" s="782"/>
      <c r="H29" s="787"/>
      <c r="I29" s="1574"/>
      <c r="J29" s="443"/>
    </row>
    <row r="30" spans="1:13" ht="24.75" customHeight="1" thickBot="1" x14ac:dyDescent="0.3">
      <c r="A30" s="745" t="str">
        <f>+'[15]BALANCE GENERAL '!A39:C39</f>
        <v xml:space="preserve">LCDO. ALEXANDER BRICEÑO </v>
      </c>
      <c r="B30" s="745" t="str">
        <f>+'[15]132 F.T. NOVIEMBRE'!B30</f>
        <v>LCDA. MIRIAN MENDOZA</v>
      </c>
      <c r="H30" s="443"/>
    </row>
    <row r="31" spans="1:13" ht="29.25" customHeight="1" thickBot="1" x14ac:dyDescent="0.3">
      <c r="A31" s="745" t="str">
        <f>+'[15]132 F.T. NOVIEMBRE'!A31</f>
        <v>ADMINISTRADOR I</v>
      </c>
      <c r="B31" s="745" t="str">
        <f>+'[15]132 F.T. NOVIEMBRE'!B31</f>
        <v>JEFA (E) DE DIRECCIÓN DE ADMINISTRACIÓN</v>
      </c>
    </row>
    <row r="32" spans="1:13" ht="20.100000000000001" customHeight="1" x14ac:dyDescent="0.25">
      <c r="B32" s="443" t="s">
        <v>551</v>
      </c>
    </row>
    <row r="33" spans="2:2" ht="20.100000000000001" customHeight="1" x14ac:dyDescent="0.25">
      <c r="B33" s="443"/>
    </row>
    <row r="34" spans="2:2" ht="20.100000000000001" customHeight="1" x14ac:dyDescent="0.25">
      <c r="B34" s="443"/>
    </row>
    <row r="37" spans="2:2" ht="20.100000000000001" customHeight="1" x14ac:dyDescent="0.25">
      <c r="B37" s="443"/>
    </row>
  </sheetData>
  <mergeCells count="10">
    <mergeCell ref="A10:B10"/>
    <mergeCell ref="K13:K25"/>
    <mergeCell ref="A28:A29"/>
    <mergeCell ref="B28:B29"/>
    <mergeCell ref="A3:B3"/>
    <mergeCell ref="A4:B4"/>
    <mergeCell ref="A5:B5"/>
    <mergeCell ref="A7:B7"/>
    <mergeCell ref="A8:B8"/>
    <mergeCell ref="A9:B9"/>
  </mergeCells>
  <printOptions horizontalCentered="1"/>
  <pageMargins left="0.59055118110236227" right="0.59055118110236227" top="0.59055118110236227" bottom="0.39370078740157483" header="0.31496062992125984" footer="0.31496062992125984"/>
  <pageSetup scale="60" orientation="portrait"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K278"/>
  <sheetViews>
    <sheetView topLeftCell="A58" workbookViewId="0">
      <selection activeCell="C267" sqref="C267"/>
    </sheetView>
  </sheetViews>
  <sheetFormatPr baseColWidth="10" defaultRowHeight="15" x14ac:dyDescent="0.25"/>
  <cols>
    <col min="1" max="4" width="11.42578125" style="73"/>
    <col min="5" max="5" width="13.7109375" style="73" customWidth="1"/>
    <col min="6" max="6" width="11.42578125" style="73"/>
    <col min="7" max="7" width="11.42578125" style="73" customWidth="1"/>
    <col min="8" max="16384" width="11.42578125" style="73"/>
  </cols>
  <sheetData>
    <row r="1" spans="1:9" ht="15.75" x14ac:dyDescent="0.25">
      <c r="A1" s="142"/>
      <c r="B1" s="142"/>
      <c r="C1" s="142"/>
      <c r="D1" s="204"/>
      <c r="E1" s="205"/>
      <c r="F1" s="206"/>
    </row>
    <row r="2" spans="1:9" ht="18.75" x14ac:dyDescent="0.25">
      <c r="A2" s="322" t="s">
        <v>82</v>
      </c>
      <c r="B2" s="322"/>
      <c r="C2" s="322"/>
      <c r="D2" s="322"/>
      <c r="E2" s="322"/>
      <c r="F2" s="322"/>
      <c r="G2" s="311"/>
      <c r="H2" s="311"/>
      <c r="I2" s="311"/>
    </row>
    <row r="3" spans="1:9" ht="18.75" x14ac:dyDescent="0.25">
      <c r="A3" s="323"/>
      <c r="B3" s="323"/>
      <c r="C3" s="324"/>
      <c r="D3" s="324"/>
      <c r="E3" s="324"/>
      <c r="F3" s="325"/>
      <c r="G3" s="311"/>
      <c r="H3" s="311"/>
      <c r="I3" s="311"/>
    </row>
    <row r="4" spans="1:9" ht="19.5" thickBot="1" x14ac:dyDescent="0.3">
      <c r="A4" s="326"/>
      <c r="B4" s="1902" t="s">
        <v>16</v>
      </c>
      <c r="C4" s="1902"/>
      <c r="D4" s="1902"/>
      <c r="E4" s="1902"/>
      <c r="F4" s="1902"/>
      <c r="G4" s="311"/>
      <c r="H4" s="311"/>
      <c r="I4" s="311"/>
    </row>
    <row r="5" spans="1:9" ht="19.5" thickBot="1" x14ac:dyDescent="0.3">
      <c r="A5" s="323"/>
      <c r="B5" s="327" t="s">
        <v>18</v>
      </c>
      <c r="C5" s="328" t="s">
        <v>19</v>
      </c>
      <c r="D5" s="328" t="s">
        <v>10</v>
      </c>
      <c r="E5" s="328" t="s">
        <v>11</v>
      </c>
      <c r="F5" s="329" t="s">
        <v>20</v>
      </c>
      <c r="G5" s="311"/>
      <c r="H5" s="311"/>
      <c r="I5" s="311"/>
    </row>
    <row r="6" spans="1:9" x14ac:dyDescent="0.25">
      <c r="A6" s="207"/>
      <c r="B6" s="210" t="s">
        <v>240</v>
      </c>
      <c r="C6" s="211">
        <f>+MAYORES!F10</f>
        <v>11120.3</v>
      </c>
      <c r="D6" s="211"/>
      <c r="E6" s="211"/>
      <c r="F6" s="212">
        <f>C6</f>
        <v>11120.3</v>
      </c>
    </row>
    <row r="7" spans="1:9" x14ac:dyDescent="0.25">
      <c r="A7" s="426">
        <v>43131</v>
      </c>
      <c r="B7" s="213" t="s">
        <v>22</v>
      </c>
      <c r="C7" s="214"/>
      <c r="D7" s="215">
        <f>+MAYORES!D26</f>
        <v>2552765.1800000006</v>
      </c>
      <c r="E7" s="215">
        <f>+MAYORES!E26</f>
        <v>2531518.4699999969</v>
      </c>
      <c r="F7" s="216">
        <f>F6+D7-E7</f>
        <v>32367.010000003502</v>
      </c>
      <c r="G7" s="74">
        <f>+F7-MAYORES!F26</f>
        <v>0</v>
      </c>
    </row>
    <row r="8" spans="1:9" x14ac:dyDescent="0.25">
      <c r="A8" s="426">
        <v>43159</v>
      </c>
      <c r="B8" s="213" t="s">
        <v>22</v>
      </c>
      <c r="C8" s="214"/>
      <c r="D8" s="215"/>
      <c r="E8" s="215"/>
      <c r="F8" s="216">
        <f t="shared" ref="F8:F18" si="0">F7+D8-E8</f>
        <v>32367.010000003502</v>
      </c>
      <c r="G8" s="74">
        <v>0</v>
      </c>
    </row>
    <row r="9" spans="1:9" x14ac:dyDescent="0.25">
      <c r="A9" s="426">
        <v>43190</v>
      </c>
      <c r="B9" s="213" t="s">
        <v>22</v>
      </c>
      <c r="C9" s="214"/>
      <c r="D9" s="215"/>
      <c r="E9" s="215"/>
      <c r="F9" s="216">
        <f t="shared" si="0"/>
        <v>32367.010000003502</v>
      </c>
      <c r="G9" s="74">
        <v>0</v>
      </c>
      <c r="H9" s="74"/>
    </row>
    <row r="10" spans="1:9" x14ac:dyDescent="0.25">
      <c r="A10" s="426">
        <v>43220</v>
      </c>
      <c r="B10" s="213" t="s">
        <v>22</v>
      </c>
      <c r="C10" s="214"/>
      <c r="D10" s="215"/>
      <c r="E10" s="215"/>
      <c r="F10" s="216">
        <f t="shared" si="0"/>
        <v>32367.010000003502</v>
      </c>
      <c r="G10" s="74">
        <v>0</v>
      </c>
    </row>
    <row r="11" spans="1:9" x14ac:dyDescent="0.25">
      <c r="A11" s="426">
        <v>43251</v>
      </c>
      <c r="B11" s="213" t="s">
        <v>22</v>
      </c>
      <c r="C11" s="214"/>
      <c r="D11" s="215"/>
      <c r="E11" s="215"/>
      <c r="F11" s="216">
        <f t="shared" si="0"/>
        <v>32367.010000003502</v>
      </c>
      <c r="G11" s="74">
        <v>0</v>
      </c>
    </row>
    <row r="12" spans="1:9" x14ac:dyDescent="0.25">
      <c r="A12" s="426">
        <v>43281</v>
      </c>
      <c r="B12" s="213" t="s">
        <v>22</v>
      </c>
      <c r="C12" s="214"/>
      <c r="D12" s="215"/>
      <c r="E12" s="215"/>
      <c r="F12" s="216">
        <f t="shared" si="0"/>
        <v>32367.010000003502</v>
      </c>
      <c r="G12" s="74">
        <v>0</v>
      </c>
    </row>
    <row r="13" spans="1:9" x14ac:dyDescent="0.25">
      <c r="A13" s="426">
        <v>43312</v>
      </c>
      <c r="B13" s="213" t="s">
        <v>22</v>
      </c>
      <c r="C13" s="214"/>
      <c r="D13" s="215"/>
      <c r="E13" s="215"/>
      <c r="F13" s="216">
        <f t="shared" si="0"/>
        <v>32367.010000003502</v>
      </c>
      <c r="G13" s="74">
        <v>0</v>
      </c>
      <c r="H13" s="74"/>
    </row>
    <row r="14" spans="1:9" x14ac:dyDescent="0.25">
      <c r="A14" s="426">
        <v>43343</v>
      </c>
      <c r="B14" s="213" t="s">
        <v>22</v>
      </c>
      <c r="C14" s="214"/>
      <c r="D14" s="215"/>
      <c r="E14" s="215"/>
      <c r="F14" s="216">
        <f t="shared" si="0"/>
        <v>32367.010000003502</v>
      </c>
      <c r="G14" s="74">
        <v>0</v>
      </c>
    </row>
    <row r="15" spans="1:9" x14ac:dyDescent="0.25">
      <c r="A15" s="426">
        <v>43373</v>
      </c>
      <c r="B15" s="213" t="s">
        <v>22</v>
      </c>
      <c r="C15" s="214"/>
      <c r="D15" s="215"/>
      <c r="E15" s="215"/>
      <c r="F15" s="216">
        <f t="shared" si="0"/>
        <v>32367.010000003502</v>
      </c>
      <c r="G15" s="74">
        <v>0</v>
      </c>
    </row>
    <row r="16" spans="1:9" x14ac:dyDescent="0.25">
      <c r="A16" s="427">
        <v>43404</v>
      </c>
      <c r="B16" s="213" t="s">
        <v>22</v>
      </c>
      <c r="C16" s="214"/>
      <c r="D16" s="215"/>
      <c r="E16" s="215"/>
      <c r="F16" s="216">
        <f t="shared" si="0"/>
        <v>32367.010000003502</v>
      </c>
      <c r="G16" s="74">
        <v>0</v>
      </c>
    </row>
    <row r="17" spans="1:9" x14ac:dyDescent="0.25">
      <c r="A17" s="427" t="s">
        <v>264</v>
      </c>
      <c r="B17" s="213" t="s">
        <v>22</v>
      </c>
      <c r="C17" s="214"/>
      <c r="D17" s="215"/>
      <c r="E17" s="215"/>
      <c r="F17" s="216">
        <f t="shared" si="0"/>
        <v>32367.010000003502</v>
      </c>
      <c r="G17" s="74">
        <v>0</v>
      </c>
    </row>
    <row r="18" spans="1:9" ht="15.75" thickBot="1" x14ac:dyDescent="0.3">
      <c r="A18" s="426">
        <v>43465</v>
      </c>
      <c r="B18" s="217" t="s">
        <v>22</v>
      </c>
      <c r="C18" s="218"/>
      <c r="D18" s="219"/>
      <c r="E18" s="219"/>
      <c r="F18" s="221">
        <f t="shared" si="0"/>
        <v>32367.010000003502</v>
      </c>
      <c r="G18" s="74">
        <f>+F18-MAYORES!F26</f>
        <v>0</v>
      </c>
    </row>
    <row r="19" spans="1:9" ht="15.75" thickBot="1" x14ac:dyDescent="0.3">
      <c r="A19" s="207"/>
      <c r="B19" s="208"/>
      <c r="C19" s="209"/>
      <c r="D19" s="227">
        <f>SUM(D7:D18)</f>
        <v>2552765.1800000006</v>
      </c>
      <c r="E19" s="236">
        <f>SUM(E7:E18)</f>
        <v>2531518.4699999969</v>
      </c>
      <c r="F19" s="206"/>
    </row>
    <row r="20" spans="1:9" x14ac:dyDescent="0.25">
      <c r="G20" s="74"/>
    </row>
    <row r="21" spans="1:9" ht="16.5" thickBot="1" x14ac:dyDescent="0.3">
      <c r="B21" s="1898" t="s">
        <v>17</v>
      </c>
      <c r="C21" s="1898"/>
      <c r="D21" s="1898"/>
      <c r="E21" s="1898"/>
      <c r="F21" s="1898"/>
    </row>
    <row r="22" spans="1:9" ht="15.75" thickBot="1" x14ac:dyDescent="0.3">
      <c r="B22" s="231" t="s">
        <v>18</v>
      </c>
      <c r="C22" s="232" t="s">
        <v>19</v>
      </c>
      <c r="D22" s="232" t="s">
        <v>10</v>
      </c>
      <c r="E22" s="232" t="s">
        <v>11</v>
      </c>
      <c r="F22" s="233" t="s">
        <v>20</v>
      </c>
    </row>
    <row r="23" spans="1:9" x14ac:dyDescent="0.25">
      <c r="B23" s="210" t="str">
        <f>+B6</f>
        <v>SALDO AL 31/12/2017</v>
      </c>
      <c r="C23" s="211">
        <f>+MAYORES!K10</f>
        <v>0</v>
      </c>
      <c r="D23" s="211"/>
      <c r="E23" s="211"/>
      <c r="F23" s="212">
        <f>C23</f>
        <v>0</v>
      </c>
    </row>
    <row r="24" spans="1:9" x14ac:dyDescent="0.25">
      <c r="A24" s="426">
        <v>43131</v>
      </c>
      <c r="B24" s="213" t="s">
        <v>22</v>
      </c>
      <c r="C24" s="214"/>
      <c r="D24" s="215">
        <f>+MAYORES!L26</f>
        <v>49571513.469999999</v>
      </c>
      <c r="E24" s="215">
        <f>+MAYORES!M26</f>
        <v>2552627.8000000003</v>
      </c>
      <c r="F24" s="216">
        <f>F23+D24-E24</f>
        <v>47018885.670000002</v>
      </c>
      <c r="G24" s="74">
        <v>0</v>
      </c>
    </row>
    <row r="25" spans="1:9" x14ac:dyDescent="0.25">
      <c r="A25" s="426">
        <v>43159</v>
      </c>
      <c r="B25" s="213" t="s">
        <v>22</v>
      </c>
      <c r="C25" s="214"/>
      <c r="D25" s="215"/>
      <c r="E25" s="215"/>
      <c r="F25" s="216">
        <f>F24+D25-E25</f>
        <v>47018885.670000002</v>
      </c>
      <c r="G25" s="74">
        <v>0</v>
      </c>
    </row>
    <row r="26" spans="1:9" x14ac:dyDescent="0.25">
      <c r="A26" s="426">
        <v>43190</v>
      </c>
      <c r="B26" s="213" t="s">
        <v>22</v>
      </c>
      <c r="C26" s="214"/>
      <c r="D26" s="215"/>
      <c r="E26" s="215"/>
      <c r="F26" s="216">
        <f t="shared" ref="F26:F35" si="1">F25+D26-E26</f>
        <v>47018885.670000002</v>
      </c>
      <c r="G26" s="74">
        <v>0</v>
      </c>
      <c r="I26" s="74"/>
    </row>
    <row r="27" spans="1:9" x14ac:dyDescent="0.25">
      <c r="A27" s="426">
        <v>43220</v>
      </c>
      <c r="B27" s="213" t="s">
        <v>22</v>
      </c>
      <c r="C27" s="214"/>
      <c r="D27" s="215"/>
      <c r="E27" s="215"/>
      <c r="F27" s="216">
        <f t="shared" si="1"/>
        <v>47018885.670000002</v>
      </c>
      <c r="G27" s="74">
        <v>0</v>
      </c>
    </row>
    <row r="28" spans="1:9" x14ac:dyDescent="0.25">
      <c r="A28" s="426">
        <v>43251</v>
      </c>
      <c r="B28" s="213" t="s">
        <v>22</v>
      </c>
      <c r="C28" s="214"/>
      <c r="D28" s="215"/>
      <c r="E28" s="215"/>
      <c r="F28" s="216">
        <f t="shared" si="1"/>
        <v>47018885.670000002</v>
      </c>
      <c r="G28" s="74">
        <v>0</v>
      </c>
    </row>
    <row r="29" spans="1:9" x14ac:dyDescent="0.25">
      <c r="A29" s="426">
        <v>43281</v>
      </c>
      <c r="B29" s="213" t="s">
        <v>22</v>
      </c>
      <c r="C29" s="214"/>
      <c r="D29" s="215"/>
      <c r="E29" s="215"/>
      <c r="F29" s="216">
        <f t="shared" si="1"/>
        <v>47018885.670000002</v>
      </c>
      <c r="G29" s="74">
        <v>0</v>
      </c>
    </row>
    <row r="30" spans="1:9" x14ac:dyDescent="0.25">
      <c r="A30" s="426">
        <v>43312</v>
      </c>
      <c r="B30" s="213" t="s">
        <v>22</v>
      </c>
      <c r="C30" s="214"/>
      <c r="D30" s="215"/>
      <c r="E30" s="215"/>
      <c r="F30" s="216">
        <f t="shared" si="1"/>
        <v>47018885.670000002</v>
      </c>
      <c r="G30" s="74">
        <v>0</v>
      </c>
    </row>
    <row r="31" spans="1:9" x14ac:dyDescent="0.25">
      <c r="A31" s="426">
        <v>43343</v>
      </c>
      <c r="B31" s="213" t="s">
        <v>22</v>
      </c>
      <c r="C31" s="214"/>
      <c r="D31" s="215"/>
      <c r="E31" s="215"/>
      <c r="F31" s="216">
        <f t="shared" si="1"/>
        <v>47018885.670000002</v>
      </c>
      <c r="G31" s="74">
        <v>0</v>
      </c>
    </row>
    <row r="32" spans="1:9" x14ac:dyDescent="0.25">
      <c r="A32" s="426">
        <v>43373</v>
      </c>
      <c r="B32" s="213" t="s">
        <v>22</v>
      </c>
      <c r="C32" s="214"/>
      <c r="D32" s="215"/>
      <c r="E32" s="215"/>
      <c r="F32" s="216">
        <f t="shared" si="1"/>
        <v>47018885.670000002</v>
      </c>
      <c r="G32" s="74">
        <v>0</v>
      </c>
    </row>
    <row r="33" spans="1:11" x14ac:dyDescent="0.25">
      <c r="A33" s="427">
        <v>43404</v>
      </c>
      <c r="B33" s="213" t="s">
        <v>22</v>
      </c>
      <c r="C33" s="214"/>
      <c r="D33" s="215"/>
      <c r="E33" s="215"/>
      <c r="F33" s="216">
        <f t="shared" si="1"/>
        <v>47018885.670000002</v>
      </c>
      <c r="G33" s="74">
        <v>0</v>
      </c>
    </row>
    <row r="34" spans="1:11" x14ac:dyDescent="0.25">
      <c r="A34" s="427" t="s">
        <v>264</v>
      </c>
      <c r="B34" s="213" t="s">
        <v>22</v>
      </c>
      <c r="C34" s="214"/>
      <c r="D34" s="215"/>
      <c r="E34" s="215"/>
      <c r="F34" s="216">
        <f t="shared" si="1"/>
        <v>47018885.670000002</v>
      </c>
      <c r="G34" s="74">
        <v>0</v>
      </c>
    </row>
    <row r="35" spans="1:11" x14ac:dyDescent="0.25">
      <c r="A35" s="426">
        <v>43465</v>
      </c>
      <c r="B35" s="217" t="s">
        <v>22</v>
      </c>
      <c r="C35" s="218"/>
      <c r="D35" s="219"/>
      <c r="E35" s="219"/>
      <c r="F35" s="221">
        <f t="shared" si="1"/>
        <v>47018885.670000002</v>
      </c>
      <c r="G35" s="74">
        <f>+F35-MAYORES!N26</f>
        <v>0</v>
      </c>
    </row>
    <row r="36" spans="1:11" x14ac:dyDescent="0.25">
      <c r="B36" s="208"/>
      <c r="C36" s="209"/>
      <c r="D36" s="234">
        <f>SUM(D24:D35)</f>
        <v>49571513.469999999</v>
      </c>
      <c r="E36" s="235">
        <f>SUM(E24:E35)</f>
        <v>2552627.8000000003</v>
      </c>
      <c r="F36" s="206"/>
      <c r="H36" s="74"/>
      <c r="I36" s="74"/>
      <c r="J36" s="74"/>
      <c r="K36" s="74"/>
    </row>
    <row r="37" spans="1:11" x14ac:dyDescent="0.25">
      <c r="G37" s="74"/>
      <c r="I37" s="74"/>
      <c r="J37" s="74"/>
    </row>
    <row r="38" spans="1:11" ht="16.5" thickBot="1" x14ac:dyDescent="0.3">
      <c r="B38" s="1898" t="s">
        <v>23</v>
      </c>
      <c r="C38" s="1898"/>
      <c r="D38" s="1898"/>
      <c r="E38" s="1898"/>
      <c r="F38" s="1898"/>
    </row>
    <row r="39" spans="1:11" ht="15.75" thickBot="1" x14ac:dyDescent="0.3">
      <c r="B39" s="228" t="s">
        <v>18</v>
      </c>
      <c r="C39" s="229" t="s">
        <v>19</v>
      </c>
      <c r="D39" s="229" t="s">
        <v>10</v>
      </c>
      <c r="E39" s="229" t="s">
        <v>11</v>
      </c>
      <c r="F39" s="230" t="s">
        <v>20</v>
      </c>
    </row>
    <row r="40" spans="1:11" x14ac:dyDescent="0.25">
      <c r="B40" s="210" t="str">
        <f>+B23</f>
        <v>SALDO AL 31/12/2017</v>
      </c>
      <c r="C40" s="211">
        <f>+MAYORES!C32</f>
        <v>61484.600000000006</v>
      </c>
      <c r="D40" s="211"/>
      <c r="E40" s="211"/>
      <c r="F40" s="212">
        <f>C40</f>
        <v>61484.600000000006</v>
      </c>
    </row>
    <row r="41" spans="1:11" x14ac:dyDescent="0.25">
      <c r="A41" s="426">
        <v>43131</v>
      </c>
      <c r="B41" s="213" t="s">
        <v>22</v>
      </c>
      <c r="C41" s="214"/>
      <c r="D41" s="215">
        <f>+MAYORES!D42</f>
        <v>188006.91999999998</v>
      </c>
      <c r="E41" s="215">
        <f>+MAYORES!E42</f>
        <v>46317.56</v>
      </c>
      <c r="F41" s="216">
        <f>F40+D41-E41</f>
        <v>203173.96</v>
      </c>
      <c r="G41" s="74">
        <v>0</v>
      </c>
    </row>
    <row r="42" spans="1:11" x14ac:dyDescent="0.25">
      <c r="A42" s="426">
        <v>43159</v>
      </c>
      <c r="B42" s="213" t="s">
        <v>22</v>
      </c>
      <c r="C42" s="214"/>
      <c r="D42" s="215"/>
      <c r="E42" s="215"/>
      <c r="F42" s="216">
        <f>F41+D42-E42</f>
        <v>203173.96</v>
      </c>
      <c r="G42" s="74">
        <v>0</v>
      </c>
    </row>
    <row r="43" spans="1:11" x14ac:dyDescent="0.25">
      <c r="A43" s="426">
        <v>43190</v>
      </c>
      <c r="B43" s="213" t="s">
        <v>22</v>
      </c>
      <c r="C43" s="214"/>
      <c r="D43" s="215"/>
      <c r="E43" s="215"/>
      <c r="F43" s="216">
        <f t="shared" ref="F43:F52" si="2">F42+D43-E43</f>
        <v>203173.96</v>
      </c>
      <c r="G43" s="74">
        <v>0</v>
      </c>
    </row>
    <row r="44" spans="1:11" x14ac:dyDescent="0.25">
      <c r="A44" s="426">
        <v>43220</v>
      </c>
      <c r="B44" s="213" t="s">
        <v>22</v>
      </c>
      <c r="C44" s="214"/>
      <c r="D44" s="215"/>
      <c r="E44" s="215"/>
      <c r="F44" s="216">
        <f t="shared" si="2"/>
        <v>203173.96</v>
      </c>
      <c r="G44" s="74">
        <v>0</v>
      </c>
    </row>
    <row r="45" spans="1:11" x14ac:dyDescent="0.25">
      <c r="A45" s="426">
        <v>43251</v>
      </c>
      <c r="B45" s="213" t="s">
        <v>22</v>
      </c>
      <c r="C45" s="214"/>
      <c r="D45" s="215"/>
      <c r="E45" s="215"/>
      <c r="F45" s="216">
        <f t="shared" si="2"/>
        <v>203173.96</v>
      </c>
      <c r="G45" s="74">
        <v>0</v>
      </c>
    </row>
    <row r="46" spans="1:11" x14ac:dyDescent="0.25">
      <c r="A46" s="426">
        <v>43281</v>
      </c>
      <c r="B46" s="213" t="s">
        <v>22</v>
      </c>
      <c r="C46" s="214"/>
      <c r="D46" s="215"/>
      <c r="E46" s="215"/>
      <c r="F46" s="216">
        <f t="shared" si="2"/>
        <v>203173.96</v>
      </c>
      <c r="G46" s="74">
        <v>0</v>
      </c>
    </row>
    <row r="47" spans="1:11" x14ac:dyDescent="0.25">
      <c r="A47" s="426">
        <v>43312</v>
      </c>
      <c r="B47" s="213" t="s">
        <v>22</v>
      </c>
      <c r="C47" s="214"/>
      <c r="D47" s="215"/>
      <c r="E47" s="215"/>
      <c r="F47" s="216">
        <f t="shared" si="2"/>
        <v>203173.96</v>
      </c>
      <c r="G47" s="74">
        <v>0</v>
      </c>
    </row>
    <row r="48" spans="1:11" x14ac:dyDescent="0.25">
      <c r="A48" s="426">
        <v>43343</v>
      </c>
      <c r="B48" s="213" t="s">
        <v>22</v>
      </c>
      <c r="C48" s="214"/>
      <c r="D48" s="215"/>
      <c r="E48" s="215"/>
      <c r="F48" s="216">
        <f t="shared" si="2"/>
        <v>203173.96</v>
      </c>
      <c r="G48" s="74">
        <v>0</v>
      </c>
    </row>
    <row r="49" spans="1:7" x14ac:dyDescent="0.25">
      <c r="A49" s="426">
        <v>43373</v>
      </c>
      <c r="B49" s="213" t="s">
        <v>22</v>
      </c>
      <c r="C49" s="214"/>
      <c r="D49" s="215"/>
      <c r="E49" s="215"/>
      <c r="F49" s="216">
        <f t="shared" si="2"/>
        <v>203173.96</v>
      </c>
      <c r="G49" s="74">
        <v>0</v>
      </c>
    </row>
    <row r="50" spans="1:7" x14ac:dyDescent="0.25">
      <c r="A50" s="427">
        <v>43404</v>
      </c>
      <c r="B50" s="213" t="s">
        <v>22</v>
      </c>
      <c r="C50" s="214"/>
      <c r="D50" s="215"/>
      <c r="E50" s="215"/>
      <c r="F50" s="216">
        <f t="shared" si="2"/>
        <v>203173.96</v>
      </c>
      <c r="G50" s="74">
        <v>0</v>
      </c>
    </row>
    <row r="51" spans="1:7" x14ac:dyDescent="0.25">
      <c r="A51" s="427" t="s">
        <v>264</v>
      </c>
      <c r="B51" s="213" t="s">
        <v>22</v>
      </c>
      <c r="C51" s="214"/>
      <c r="D51" s="215"/>
      <c r="E51" s="215"/>
      <c r="F51" s="216">
        <f t="shared" si="2"/>
        <v>203173.96</v>
      </c>
      <c r="G51" s="74">
        <v>0</v>
      </c>
    </row>
    <row r="52" spans="1:7" x14ac:dyDescent="0.25">
      <c r="A52" s="426">
        <v>43465</v>
      </c>
      <c r="B52" s="217" t="s">
        <v>22</v>
      </c>
      <c r="C52" s="218"/>
      <c r="D52" s="219"/>
      <c r="E52" s="219"/>
      <c r="F52" s="221">
        <f t="shared" si="2"/>
        <v>203173.96</v>
      </c>
      <c r="G52" s="74">
        <f>+F52-MAYORES!F42</f>
        <v>0</v>
      </c>
    </row>
    <row r="53" spans="1:7" x14ac:dyDescent="0.25">
      <c r="B53" s="208"/>
      <c r="C53" s="209"/>
      <c r="D53" s="234">
        <f>SUM(D41:D52)</f>
        <v>188006.91999999998</v>
      </c>
      <c r="E53" s="235">
        <f>SUM(E41:E52)</f>
        <v>46317.56</v>
      </c>
      <c r="F53" s="206"/>
    </row>
    <row r="55" spans="1:7" ht="16.5" thickBot="1" x14ac:dyDescent="0.3">
      <c r="B55" s="1903" t="s">
        <v>24</v>
      </c>
      <c r="C55" s="1903"/>
      <c r="D55" s="1903"/>
      <c r="E55" s="1903"/>
      <c r="F55" s="1903"/>
    </row>
    <row r="56" spans="1:7" ht="15.75" thickBot="1" x14ac:dyDescent="0.3">
      <c r="B56" s="231" t="s">
        <v>18</v>
      </c>
      <c r="C56" s="232" t="s">
        <v>19</v>
      </c>
      <c r="D56" s="232" t="s">
        <v>10</v>
      </c>
      <c r="E56" s="232" t="s">
        <v>11</v>
      </c>
      <c r="F56" s="233" t="s">
        <v>20</v>
      </c>
    </row>
    <row r="57" spans="1:7" x14ac:dyDescent="0.25">
      <c r="B57" s="210" t="str">
        <f>+B40</f>
        <v>SALDO AL 31/12/2017</v>
      </c>
      <c r="C57" s="211">
        <f>+MAYORES!K32</f>
        <v>10568.719999996014</v>
      </c>
      <c r="D57" s="211"/>
      <c r="E57" s="211"/>
      <c r="F57" s="212">
        <f>C57</f>
        <v>10568.719999996014</v>
      </c>
    </row>
    <row r="58" spans="1:7" x14ac:dyDescent="0.25">
      <c r="A58" s="426">
        <v>43131</v>
      </c>
      <c r="B58" s="213" t="s">
        <v>22</v>
      </c>
      <c r="C58" s="214"/>
      <c r="D58" s="215">
        <f>+MAYORES!L42</f>
        <v>45879375.460000008</v>
      </c>
      <c r="E58" s="215">
        <f>+MAYORES!M42</f>
        <v>10568.720000001136</v>
      </c>
      <c r="F58" s="216">
        <f>F57+D58-E58</f>
        <v>45879375.460000008</v>
      </c>
      <c r="G58" s="74">
        <v>0</v>
      </c>
    </row>
    <row r="59" spans="1:7" x14ac:dyDescent="0.25">
      <c r="A59" s="426">
        <v>43159</v>
      </c>
      <c r="B59" s="213" t="s">
        <v>22</v>
      </c>
      <c r="C59" s="214"/>
      <c r="D59" s="215"/>
      <c r="E59" s="215"/>
      <c r="F59" s="216">
        <f>F58+D59-E59</f>
        <v>45879375.460000008</v>
      </c>
      <c r="G59" s="74">
        <v>0</v>
      </c>
    </row>
    <row r="60" spans="1:7" x14ac:dyDescent="0.25">
      <c r="A60" s="426">
        <v>43190</v>
      </c>
      <c r="B60" s="213" t="s">
        <v>22</v>
      </c>
      <c r="C60" s="214"/>
      <c r="D60" s="215"/>
      <c r="E60" s="215"/>
      <c r="F60" s="216">
        <f t="shared" ref="F60:F69" si="3">F59+D60-E60</f>
        <v>45879375.460000008</v>
      </c>
      <c r="G60" s="74">
        <v>0</v>
      </c>
    </row>
    <row r="61" spans="1:7" x14ac:dyDescent="0.25">
      <c r="A61" s="426">
        <v>43220</v>
      </c>
      <c r="B61" s="213" t="s">
        <v>22</v>
      </c>
      <c r="C61" s="214"/>
      <c r="D61" s="215"/>
      <c r="E61" s="215"/>
      <c r="F61" s="216">
        <f t="shared" si="3"/>
        <v>45879375.460000008</v>
      </c>
      <c r="G61" s="74">
        <v>0</v>
      </c>
    </row>
    <row r="62" spans="1:7" x14ac:dyDescent="0.25">
      <c r="A62" s="426">
        <v>43251</v>
      </c>
      <c r="B62" s="213" t="s">
        <v>22</v>
      </c>
      <c r="C62" s="214"/>
      <c r="D62" s="215"/>
      <c r="E62" s="215"/>
      <c r="F62" s="216">
        <f t="shared" si="3"/>
        <v>45879375.460000008</v>
      </c>
      <c r="G62" s="74">
        <v>0</v>
      </c>
    </row>
    <row r="63" spans="1:7" x14ac:dyDescent="0.25">
      <c r="A63" s="426">
        <v>43281</v>
      </c>
      <c r="B63" s="213" t="s">
        <v>22</v>
      </c>
      <c r="C63" s="214"/>
      <c r="D63" s="215"/>
      <c r="E63" s="215"/>
      <c r="F63" s="216">
        <f t="shared" si="3"/>
        <v>45879375.460000008</v>
      </c>
      <c r="G63" s="74">
        <v>0</v>
      </c>
    </row>
    <row r="64" spans="1:7" x14ac:dyDescent="0.25">
      <c r="A64" s="426">
        <v>43312</v>
      </c>
      <c r="B64" s="213" t="s">
        <v>22</v>
      </c>
      <c r="C64" s="214"/>
      <c r="D64" s="215"/>
      <c r="E64" s="215"/>
      <c r="F64" s="216">
        <f t="shared" si="3"/>
        <v>45879375.460000008</v>
      </c>
      <c r="G64" s="74">
        <v>0</v>
      </c>
    </row>
    <row r="65" spans="1:7" x14ac:dyDescent="0.25">
      <c r="A65" s="426">
        <v>43343</v>
      </c>
      <c r="B65" s="213" t="s">
        <v>22</v>
      </c>
      <c r="C65" s="214"/>
      <c r="D65" s="215"/>
      <c r="E65" s="215"/>
      <c r="F65" s="216">
        <f t="shared" si="3"/>
        <v>45879375.460000008</v>
      </c>
      <c r="G65" s="74">
        <v>7.4505805969238281E-9</v>
      </c>
    </row>
    <row r="66" spans="1:7" x14ac:dyDescent="0.25">
      <c r="A66" s="426">
        <v>43373</v>
      </c>
      <c r="B66" s="213" t="s">
        <v>22</v>
      </c>
      <c r="C66" s="214"/>
      <c r="D66" s="215"/>
      <c r="E66" s="215"/>
      <c r="F66" s="216">
        <f t="shared" si="3"/>
        <v>45879375.460000008</v>
      </c>
      <c r="G66" s="74">
        <v>7.4505805969238281E-9</v>
      </c>
    </row>
    <row r="67" spans="1:7" x14ac:dyDescent="0.25">
      <c r="A67" s="427">
        <v>43404</v>
      </c>
      <c r="B67" s="213" t="s">
        <v>22</v>
      </c>
      <c r="C67" s="214"/>
      <c r="D67" s="215"/>
      <c r="E67" s="215"/>
      <c r="F67" s="216">
        <f t="shared" si="3"/>
        <v>45879375.460000008</v>
      </c>
      <c r="G67" s="74">
        <v>7.4505805969238281E-9</v>
      </c>
    </row>
    <row r="68" spans="1:7" x14ac:dyDescent="0.25">
      <c r="A68" s="427" t="s">
        <v>264</v>
      </c>
      <c r="B68" s="213" t="s">
        <v>22</v>
      </c>
      <c r="C68" s="214"/>
      <c r="D68" s="215"/>
      <c r="E68" s="215"/>
      <c r="F68" s="216">
        <f t="shared" si="3"/>
        <v>45879375.460000008</v>
      </c>
      <c r="G68" s="74">
        <v>0</v>
      </c>
    </row>
    <row r="69" spans="1:7" x14ac:dyDescent="0.25">
      <c r="A69" s="426">
        <v>43465</v>
      </c>
      <c r="B69" s="217" t="s">
        <v>22</v>
      </c>
      <c r="C69" s="218"/>
      <c r="D69" s="219"/>
      <c r="E69" s="219"/>
      <c r="F69" s="221">
        <f t="shared" si="3"/>
        <v>45879375.460000008</v>
      </c>
      <c r="G69" s="74">
        <f>+F69-MAYORES!N42</f>
        <v>0</v>
      </c>
    </row>
    <row r="70" spans="1:7" x14ac:dyDescent="0.25">
      <c r="B70" s="208"/>
      <c r="C70" s="209"/>
      <c r="D70" s="234">
        <f>SUM(D58:D69)</f>
        <v>45879375.460000008</v>
      </c>
      <c r="E70" s="235">
        <f>SUM(E58:E69)</f>
        <v>10568.720000001136</v>
      </c>
      <c r="F70" s="206"/>
    </row>
    <row r="72" spans="1:7" ht="16.5" thickBot="1" x14ac:dyDescent="0.3">
      <c r="B72" s="1901" t="s">
        <v>25</v>
      </c>
      <c r="C72" s="1901"/>
      <c r="D72" s="1901"/>
      <c r="E72" s="1901"/>
      <c r="F72" s="1901"/>
    </row>
    <row r="73" spans="1:7" ht="15.75" thickBot="1" x14ac:dyDescent="0.3">
      <c r="B73" s="231" t="s">
        <v>18</v>
      </c>
      <c r="C73" s="232" t="s">
        <v>19</v>
      </c>
      <c r="D73" s="232" t="s">
        <v>10</v>
      </c>
      <c r="E73" s="232" t="s">
        <v>11</v>
      </c>
      <c r="F73" s="233" t="s">
        <v>20</v>
      </c>
    </row>
    <row r="74" spans="1:7" x14ac:dyDescent="0.25">
      <c r="B74" s="210" t="str">
        <f>+B57</f>
        <v>SALDO AL 31/12/2017</v>
      </c>
      <c r="C74" s="211">
        <f>+MAYORES!C59</f>
        <v>0</v>
      </c>
      <c r="D74" s="211"/>
      <c r="E74" s="211"/>
      <c r="F74" s="212">
        <f>C74</f>
        <v>0</v>
      </c>
    </row>
    <row r="75" spans="1:7" x14ac:dyDescent="0.25">
      <c r="A75" s="426">
        <v>43131</v>
      </c>
      <c r="B75" s="213" t="s">
        <v>22</v>
      </c>
      <c r="C75" s="214"/>
      <c r="D75" s="215">
        <f>+MAYORES!D67</f>
        <v>0</v>
      </c>
      <c r="E75" s="215">
        <f>+MAYORES!E67</f>
        <v>0</v>
      </c>
      <c r="F75" s="216">
        <f>F74+D75-E75</f>
        <v>0</v>
      </c>
      <c r="G75" s="74">
        <v>0</v>
      </c>
    </row>
    <row r="76" spans="1:7" x14ac:dyDescent="0.25">
      <c r="A76" s="426">
        <v>43159</v>
      </c>
      <c r="B76" s="213" t="s">
        <v>22</v>
      </c>
      <c r="C76" s="214"/>
      <c r="D76" s="215"/>
      <c r="E76" s="215"/>
      <c r="F76" s="216">
        <f>F75+D76-E76</f>
        <v>0</v>
      </c>
      <c r="G76" s="74">
        <v>0</v>
      </c>
    </row>
    <row r="77" spans="1:7" x14ac:dyDescent="0.25">
      <c r="A77" s="426">
        <v>43190</v>
      </c>
      <c r="B77" s="213" t="s">
        <v>22</v>
      </c>
      <c r="C77" s="214"/>
      <c r="D77" s="215"/>
      <c r="E77" s="215"/>
      <c r="F77" s="216">
        <f t="shared" ref="F77:F86" si="4">F76+D77-E77</f>
        <v>0</v>
      </c>
      <c r="G77" s="74">
        <v>0</v>
      </c>
    </row>
    <row r="78" spans="1:7" x14ac:dyDescent="0.25">
      <c r="A78" s="426">
        <v>43220</v>
      </c>
      <c r="B78" s="213" t="s">
        <v>22</v>
      </c>
      <c r="C78" s="214"/>
      <c r="D78" s="215"/>
      <c r="E78" s="215"/>
      <c r="F78" s="216">
        <f t="shared" si="4"/>
        <v>0</v>
      </c>
      <c r="G78" s="74">
        <v>0</v>
      </c>
    </row>
    <row r="79" spans="1:7" x14ac:dyDescent="0.25">
      <c r="A79" s="426">
        <v>43251</v>
      </c>
      <c r="B79" s="213" t="s">
        <v>22</v>
      </c>
      <c r="C79" s="214"/>
      <c r="D79" s="215"/>
      <c r="E79" s="215"/>
      <c r="F79" s="216">
        <f t="shared" si="4"/>
        <v>0</v>
      </c>
      <c r="G79" s="74">
        <v>0</v>
      </c>
    </row>
    <row r="80" spans="1:7" x14ac:dyDescent="0.25">
      <c r="A80" s="426">
        <v>43281</v>
      </c>
      <c r="B80" s="213" t="s">
        <v>22</v>
      </c>
      <c r="C80" s="214"/>
      <c r="D80" s="215"/>
      <c r="E80" s="215"/>
      <c r="F80" s="216">
        <f t="shared" si="4"/>
        <v>0</v>
      </c>
      <c r="G80" s="74">
        <v>0</v>
      </c>
    </row>
    <row r="81" spans="1:7" x14ac:dyDescent="0.25">
      <c r="A81" s="426">
        <v>43312</v>
      </c>
      <c r="B81" s="213" t="s">
        <v>22</v>
      </c>
      <c r="C81" s="214"/>
      <c r="D81" s="215"/>
      <c r="E81" s="215"/>
      <c r="F81" s="216">
        <f t="shared" si="4"/>
        <v>0</v>
      </c>
      <c r="G81" s="74">
        <v>0</v>
      </c>
    </row>
    <row r="82" spans="1:7" x14ac:dyDescent="0.25">
      <c r="A82" s="426">
        <v>43343</v>
      </c>
      <c r="B82" s="213" t="s">
        <v>22</v>
      </c>
      <c r="C82" s="214"/>
      <c r="D82" s="215"/>
      <c r="E82" s="215"/>
      <c r="F82" s="216">
        <f t="shared" si="4"/>
        <v>0</v>
      </c>
      <c r="G82" s="74">
        <v>0</v>
      </c>
    </row>
    <row r="83" spans="1:7" x14ac:dyDescent="0.25">
      <c r="A83" s="426">
        <v>43373</v>
      </c>
      <c r="B83" s="213" t="s">
        <v>22</v>
      </c>
      <c r="C83" s="214"/>
      <c r="D83" s="215"/>
      <c r="E83" s="215"/>
      <c r="F83" s="216">
        <f t="shared" si="4"/>
        <v>0</v>
      </c>
      <c r="G83" s="74">
        <v>0</v>
      </c>
    </row>
    <row r="84" spans="1:7" x14ac:dyDescent="0.25">
      <c r="A84" s="427">
        <v>43404</v>
      </c>
      <c r="B84" s="213" t="s">
        <v>22</v>
      </c>
      <c r="C84" s="214"/>
      <c r="D84" s="215"/>
      <c r="E84" s="215"/>
      <c r="F84" s="216">
        <f t="shared" si="4"/>
        <v>0</v>
      </c>
      <c r="G84" s="74">
        <v>0</v>
      </c>
    </row>
    <row r="85" spans="1:7" x14ac:dyDescent="0.25">
      <c r="A85" s="427" t="s">
        <v>264</v>
      </c>
      <c r="B85" s="213" t="s">
        <v>22</v>
      </c>
      <c r="C85" s="214"/>
      <c r="D85" s="215"/>
      <c r="E85" s="215"/>
      <c r="F85" s="216">
        <f t="shared" si="4"/>
        <v>0</v>
      </c>
      <c r="G85" s="74">
        <v>0</v>
      </c>
    </row>
    <row r="86" spans="1:7" x14ac:dyDescent="0.25">
      <c r="A86" s="426">
        <v>43465</v>
      </c>
      <c r="B86" s="217" t="s">
        <v>22</v>
      </c>
      <c r="C86" s="218"/>
      <c r="D86" s="219"/>
      <c r="E86" s="219"/>
      <c r="F86" s="221">
        <f t="shared" si="4"/>
        <v>0</v>
      </c>
      <c r="G86" s="74">
        <f>+F86-MAYORES!F67</f>
        <v>0</v>
      </c>
    </row>
    <row r="87" spans="1:7" x14ac:dyDescent="0.25">
      <c r="B87" s="208"/>
      <c r="C87" s="209"/>
      <c r="D87" s="234">
        <f>SUM(D75:D86)</f>
        <v>0</v>
      </c>
      <c r="E87" s="235">
        <f>SUM(E75:E86)</f>
        <v>0</v>
      </c>
      <c r="F87" s="206"/>
    </row>
    <row r="89" spans="1:7" ht="16.5" thickBot="1" x14ac:dyDescent="0.3">
      <c r="B89" s="1901" t="s">
        <v>26</v>
      </c>
      <c r="C89" s="1901"/>
      <c r="D89" s="1901"/>
      <c r="E89" s="1901"/>
      <c r="F89" s="1901"/>
    </row>
    <row r="90" spans="1:7" ht="15.75" thickBot="1" x14ac:dyDescent="0.3">
      <c r="B90" s="231" t="s">
        <v>18</v>
      </c>
      <c r="C90" s="232" t="s">
        <v>19</v>
      </c>
      <c r="D90" s="232" t="s">
        <v>10</v>
      </c>
      <c r="E90" s="232" t="s">
        <v>11</v>
      </c>
      <c r="F90" s="233" t="s">
        <v>20</v>
      </c>
    </row>
    <row r="91" spans="1:7" x14ac:dyDescent="0.25">
      <c r="B91" s="210" t="str">
        <f>+B74</f>
        <v>SALDO AL 31/12/2017</v>
      </c>
      <c r="C91" s="211">
        <f>+MAYORES!K59</f>
        <v>1993279.07</v>
      </c>
      <c r="D91" s="211"/>
      <c r="E91" s="211"/>
      <c r="F91" s="212">
        <f>C91</f>
        <v>1993279.07</v>
      </c>
    </row>
    <row r="92" spans="1:7" x14ac:dyDescent="0.25">
      <c r="A92" s="426">
        <v>43131</v>
      </c>
      <c r="B92" s="213" t="s">
        <v>22</v>
      </c>
      <c r="C92" s="214"/>
      <c r="D92" s="215">
        <f>+MAYORES!L67</f>
        <v>131461.04999999999</v>
      </c>
      <c r="E92" s="215">
        <f>+MAYORES!M67</f>
        <v>0</v>
      </c>
      <c r="F92" s="216">
        <f>F91+D92-E92</f>
        <v>2124740.12</v>
      </c>
      <c r="G92" s="74">
        <v>0</v>
      </c>
    </row>
    <row r="93" spans="1:7" x14ac:dyDescent="0.25">
      <c r="A93" s="426">
        <v>43159</v>
      </c>
      <c r="B93" s="213" t="s">
        <v>22</v>
      </c>
      <c r="C93" s="214"/>
      <c r="D93" s="215"/>
      <c r="E93" s="215"/>
      <c r="F93" s="216">
        <f>F92+D93-E93</f>
        <v>2124740.12</v>
      </c>
      <c r="G93" s="74">
        <v>0</v>
      </c>
    </row>
    <row r="94" spans="1:7" x14ac:dyDescent="0.25">
      <c r="A94" s="426">
        <v>43190</v>
      </c>
      <c r="B94" s="213" t="s">
        <v>22</v>
      </c>
      <c r="C94" s="214"/>
      <c r="D94" s="215"/>
      <c r="E94" s="215"/>
      <c r="F94" s="216">
        <f t="shared" ref="F94:F103" si="5">F93+D94-E94</f>
        <v>2124740.12</v>
      </c>
      <c r="G94" s="74">
        <v>0</v>
      </c>
    </row>
    <row r="95" spans="1:7" x14ac:dyDescent="0.25">
      <c r="A95" s="426">
        <v>43220</v>
      </c>
      <c r="B95" s="213" t="s">
        <v>22</v>
      </c>
      <c r="C95" s="214"/>
      <c r="D95" s="215"/>
      <c r="E95" s="215"/>
      <c r="F95" s="216">
        <f t="shared" si="5"/>
        <v>2124740.12</v>
      </c>
      <c r="G95" s="74">
        <v>0</v>
      </c>
    </row>
    <row r="96" spans="1:7" x14ac:dyDescent="0.25">
      <c r="A96" s="426">
        <v>43251</v>
      </c>
      <c r="B96" s="213" t="s">
        <v>22</v>
      </c>
      <c r="C96" s="214"/>
      <c r="D96" s="215"/>
      <c r="E96" s="215"/>
      <c r="F96" s="216">
        <f t="shared" si="5"/>
        <v>2124740.12</v>
      </c>
      <c r="G96" s="74">
        <v>0</v>
      </c>
    </row>
    <row r="97" spans="1:7" x14ac:dyDescent="0.25">
      <c r="A97" s="426">
        <v>43281</v>
      </c>
      <c r="B97" s="213" t="s">
        <v>22</v>
      </c>
      <c r="C97" s="214"/>
      <c r="D97" s="215"/>
      <c r="E97" s="215"/>
      <c r="F97" s="216">
        <f t="shared" si="5"/>
        <v>2124740.12</v>
      </c>
      <c r="G97" s="74">
        <v>0</v>
      </c>
    </row>
    <row r="98" spans="1:7" x14ac:dyDescent="0.25">
      <c r="A98" s="426">
        <v>43312</v>
      </c>
      <c r="B98" s="213" t="s">
        <v>22</v>
      </c>
      <c r="C98" s="214"/>
      <c r="D98" s="215"/>
      <c r="E98" s="215"/>
      <c r="F98" s="216">
        <f t="shared" si="5"/>
        <v>2124740.12</v>
      </c>
      <c r="G98" s="74">
        <v>0</v>
      </c>
    </row>
    <row r="99" spans="1:7" x14ac:dyDescent="0.25">
      <c r="A99" s="426">
        <v>43343</v>
      </c>
      <c r="B99" s="213" t="s">
        <v>22</v>
      </c>
      <c r="C99" s="214"/>
      <c r="D99" s="215"/>
      <c r="E99" s="215"/>
      <c r="F99" s="216">
        <f t="shared" si="5"/>
        <v>2124740.12</v>
      </c>
      <c r="G99" s="74">
        <v>0</v>
      </c>
    </row>
    <row r="100" spans="1:7" x14ac:dyDescent="0.25">
      <c r="A100" s="426">
        <v>43373</v>
      </c>
      <c r="B100" s="213" t="s">
        <v>22</v>
      </c>
      <c r="C100" s="214"/>
      <c r="D100" s="215"/>
      <c r="E100" s="215"/>
      <c r="F100" s="216">
        <f t="shared" si="5"/>
        <v>2124740.12</v>
      </c>
      <c r="G100" s="74">
        <v>0</v>
      </c>
    </row>
    <row r="101" spans="1:7" x14ac:dyDescent="0.25">
      <c r="A101" s="427">
        <v>43404</v>
      </c>
      <c r="B101" s="213" t="s">
        <v>22</v>
      </c>
      <c r="C101" s="214"/>
      <c r="D101" s="215"/>
      <c r="E101" s="215"/>
      <c r="F101" s="216">
        <f t="shared" si="5"/>
        <v>2124740.12</v>
      </c>
      <c r="G101" s="74">
        <v>0</v>
      </c>
    </row>
    <row r="102" spans="1:7" x14ac:dyDescent="0.25">
      <c r="A102" s="427" t="s">
        <v>264</v>
      </c>
      <c r="B102" s="213" t="s">
        <v>22</v>
      </c>
      <c r="C102" s="214"/>
      <c r="D102" s="215"/>
      <c r="E102" s="215"/>
      <c r="F102" s="216">
        <f t="shared" si="5"/>
        <v>2124740.12</v>
      </c>
      <c r="G102" s="74">
        <v>0</v>
      </c>
    </row>
    <row r="103" spans="1:7" x14ac:dyDescent="0.25">
      <c r="A103" s="426">
        <v>43465</v>
      </c>
      <c r="B103" s="217" t="s">
        <v>22</v>
      </c>
      <c r="C103" s="218"/>
      <c r="D103" s="219"/>
      <c r="E103" s="219"/>
      <c r="F103" s="221">
        <f t="shared" si="5"/>
        <v>2124740.12</v>
      </c>
      <c r="G103" s="74">
        <f>+F103-MAYORES!N67</f>
        <v>0</v>
      </c>
    </row>
    <row r="104" spans="1:7" x14ac:dyDescent="0.25">
      <c r="B104" s="208"/>
      <c r="C104" s="209"/>
      <c r="D104" s="234">
        <f>SUM(D92:D103)</f>
        <v>131461.04999999999</v>
      </c>
      <c r="E104" s="235">
        <f>SUM(E92:E103)</f>
        <v>0</v>
      </c>
      <c r="F104" s="206"/>
    </row>
    <row r="105" spans="1:7" x14ac:dyDescent="0.25">
      <c r="B105" s="208"/>
      <c r="C105" s="209"/>
      <c r="D105" s="222"/>
      <c r="E105" s="222"/>
      <c r="F105" s="206"/>
    </row>
    <row r="106" spans="1:7" x14ac:dyDescent="0.25">
      <c r="A106" s="223"/>
      <c r="B106" s="224"/>
      <c r="C106" s="225"/>
      <c r="D106" s="222"/>
      <c r="E106" s="222"/>
      <c r="F106" s="225"/>
    </row>
    <row r="107" spans="1:7" ht="21" customHeight="1" thickBot="1" x14ac:dyDescent="0.3">
      <c r="A107" s="220"/>
      <c r="B107" s="1899" t="s">
        <v>193</v>
      </c>
      <c r="C107" s="1899"/>
      <c r="D107" s="1899"/>
      <c r="E107" s="1899"/>
      <c r="F107" s="1899"/>
    </row>
    <row r="108" spans="1:7" ht="15.75" thickBot="1" x14ac:dyDescent="0.3">
      <c r="A108" s="220"/>
      <c r="B108" s="231" t="s">
        <v>18</v>
      </c>
      <c r="C108" s="232" t="s">
        <v>19</v>
      </c>
      <c r="D108" s="232" t="s">
        <v>10</v>
      </c>
      <c r="E108" s="232" t="s">
        <v>11</v>
      </c>
      <c r="F108" s="233" t="s">
        <v>20</v>
      </c>
    </row>
    <row r="109" spans="1:7" x14ac:dyDescent="0.25">
      <c r="A109" s="220"/>
      <c r="B109" s="210" t="str">
        <f>+B91</f>
        <v>SALDO AL 31/12/2017</v>
      </c>
      <c r="C109" s="211">
        <f>+MAYORES!C75</f>
        <v>671048.29999999981</v>
      </c>
      <c r="D109" s="211"/>
      <c r="E109" s="211"/>
      <c r="F109" s="212">
        <f>C109</f>
        <v>671048.29999999981</v>
      </c>
    </row>
    <row r="110" spans="1:7" x14ac:dyDescent="0.25">
      <c r="A110" s="426">
        <v>43131</v>
      </c>
      <c r="B110" s="213" t="s">
        <v>22</v>
      </c>
      <c r="C110" s="214"/>
      <c r="D110" s="215">
        <f>+MAYORES!D83</f>
        <v>6094.99</v>
      </c>
      <c r="E110" s="215">
        <f>+MAYORES!E83</f>
        <v>123820.13</v>
      </c>
      <c r="F110" s="216">
        <f>F109+D110-E110</f>
        <v>553323.1599999998</v>
      </c>
    </row>
    <row r="111" spans="1:7" x14ac:dyDescent="0.25">
      <c r="A111" s="426">
        <v>43159</v>
      </c>
      <c r="B111" s="213" t="s">
        <v>22</v>
      </c>
      <c r="C111" s="214"/>
      <c r="D111" s="215"/>
      <c r="E111" s="215"/>
      <c r="F111" s="216">
        <f>F110+D111-E111</f>
        <v>553323.1599999998</v>
      </c>
    </row>
    <row r="112" spans="1:7" x14ac:dyDescent="0.25">
      <c r="A112" s="426">
        <v>43190</v>
      </c>
      <c r="B112" s="213" t="s">
        <v>22</v>
      </c>
      <c r="C112" s="214"/>
      <c r="D112" s="215"/>
      <c r="E112" s="215"/>
      <c r="F112" s="216">
        <f t="shared" ref="F112:F121" si="6">F111+D112-E112</f>
        <v>553323.1599999998</v>
      </c>
    </row>
    <row r="113" spans="1:7" x14ac:dyDescent="0.25">
      <c r="A113" s="426">
        <v>43220</v>
      </c>
      <c r="B113" s="213" t="s">
        <v>22</v>
      </c>
      <c r="C113" s="214"/>
      <c r="D113" s="215"/>
      <c r="E113" s="215"/>
      <c r="F113" s="216">
        <f t="shared" si="6"/>
        <v>553323.1599999998</v>
      </c>
    </row>
    <row r="114" spans="1:7" x14ac:dyDescent="0.25">
      <c r="A114" s="426">
        <v>43251</v>
      </c>
      <c r="B114" s="213" t="s">
        <v>22</v>
      </c>
      <c r="C114" s="214"/>
      <c r="D114" s="215"/>
      <c r="E114" s="215"/>
      <c r="F114" s="216">
        <f t="shared" si="6"/>
        <v>553323.1599999998</v>
      </c>
    </row>
    <row r="115" spans="1:7" x14ac:dyDescent="0.25">
      <c r="A115" s="426">
        <v>43281</v>
      </c>
      <c r="B115" s="213" t="s">
        <v>22</v>
      </c>
      <c r="C115" s="214"/>
      <c r="D115" s="215"/>
      <c r="E115" s="215"/>
      <c r="F115" s="216">
        <f t="shared" si="6"/>
        <v>553323.1599999998</v>
      </c>
      <c r="G115" s="74">
        <v>0</v>
      </c>
    </row>
    <row r="116" spans="1:7" x14ac:dyDescent="0.25">
      <c r="A116" s="426">
        <v>43312</v>
      </c>
      <c r="B116" s="213" t="s">
        <v>22</v>
      </c>
      <c r="C116" s="214"/>
      <c r="D116" s="215"/>
      <c r="E116" s="215"/>
      <c r="F116" s="216">
        <f t="shared" si="6"/>
        <v>553323.1599999998</v>
      </c>
      <c r="G116" s="74">
        <v>0</v>
      </c>
    </row>
    <row r="117" spans="1:7" x14ac:dyDescent="0.25">
      <c r="A117" s="426">
        <v>43343</v>
      </c>
      <c r="B117" s="213" t="s">
        <v>22</v>
      </c>
      <c r="C117" s="214"/>
      <c r="D117" s="215"/>
      <c r="E117" s="215"/>
      <c r="F117" s="216">
        <f t="shared" si="6"/>
        <v>553323.1599999998</v>
      </c>
      <c r="G117" s="74">
        <v>0</v>
      </c>
    </row>
    <row r="118" spans="1:7" x14ac:dyDescent="0.25">
      <c r="A118" s="426">
        <v>43373</v>
      </c>
      <c r="B118" s="213" t="s">
        <v>22</v>
      </c>
      <c r="C118" s="214"/>
      <c r="D118" s="215"/>
      <c r="E118" s="215"/>
      <c r="F118" s="216">
        <f t="shared" si="6"/>
        <v>553323.1599999998</v>
      </c>
      <c r="G118" s="74">
        <v>0</v>
      </c>
    </row>
    <row r="119" spans="1:7" x14ac:dyDescent="0.25">
      <c r="A119" s="427">
        <v>43404</v>
      </c>
      <c r="B119" s="213" t="s">
        <v>22</v>
      </c>
      <c r="C119" s="214"/>
      <c r="D119" s="215"/>
      <c r="E119" s="215"/>
      <c r="F119" s="216">
        <f t="shared" si="6"/>
        <v>553323.1599999998</v>
      </c>
      <c r="G119" s="74">
        <v>0</v>
      </c>
    </row>
    <row r="120" spans="1:7" x14ac:dyDescent="0.25">
      <c r="A120" s="427" t="s">
        <v>264</v>
      </c>
      <c r="B120" s="213" t="s">
        <v>22</v>
      </c>
      <c r="C120" s="214"/>
      <c r="D120" s="215"/>
      <c r="E120" s="215"/>
      <c r="F120" s="216">
        <f t="shared" si="6"/>
        <v>553323.1599999998</v>
      </c>
      <c r="G120" s="74">
        <v>0</v>
      </c>
    </row>
    <row r="121" spans="1:7" x14ac:dyDescent="0.25">
      <c r="A121" s="426">
        <v>43465</v>
      </c>
      <c r="B121" s="217" t="s">
        <v>22</v>
      </c>
      <c r="C121" s="218"/>
      <c r="D121" s="219"/>
      <c r="E121" s="219"/>
      <c r="F121" s="221">
        <f t="shared" si="6"/>
        <v>553323.1599999998</v>
      </c>
      <c r="G121" s="74">
        <f>+F121-MAYORES!F83</f>
        <v>0</v>
      </c>
    </row>
    <row r="122" spans="1:7" x14ac:dyDescent="0.25">
      <c r="B122" s="208"/>
      <c r="C122" s="209"/>
      <c r="D122" s="234">
        <f>SUM(D110:D121)</f>
        <v>6094.99</v>
      </c>
      <c r="E122" s="235">
        <f>SUM(E110:E121)</f>
        <v>123820.13</v>
      </c>
      <c r="F122" s="206"/>
    </row>
    <row r="125" spans="1:7" ht="23.25" customHeight="1" thickBot="1" x14ac:dyDescent="0.3">
      <c r="B125" s="1900" t="s">
        <v>27</v>
      </c>
      <c r="C125" s="1900"/>
      <c r="D125" s="1900"/>
      <c r="E125" s="1900"/>
      <c r="F125" s="1900"/>
    </row>
    <row r="126" spans="1:7" ht="15.75" thickBot="1" x14ac:dyDescent="0.3">
      <c r="B126" s="231" t="s">
        <v>18</v>
      </c>
      <c r="C126" s="232" t="s">
        <v>19</v>
      </c>
      <c r="D126" s="232" t="s">
        <v>10</v>
      </c>
      <c r="E126" s="232" t="s">
        <v>11</v>
      </c>
      <c r="F126" s="233" t="s">
        <v>20</v>
      </c>
    </row>
    <row r="127" spans="1:7" x14ac:dyDescent="0.25">
      <c r="B127" s="210" t="str">
        <f>+B109</f>
        <v>SALDO AL 31/12/2017</v>
      </c>
      <c r="C127" s="211">
        <f>+MAYORES!K75</f>
        <v>0</v>
      </c>
      <c r="D127" s="211"/>
      <c r="E127" s="211"/>
      <c r="F127" s="212">
        <f>C127</f>
        <v>0</v>
      </c>
    </row>
    <row r="128" spans="1:7" x14ac:dyDescent="0.25">
      <c r="A128" s="426">
        <v>43131</v>
      </c>
      <c r="B128" s="213" t="s">
        <v>22</v>
      </c>
      <c r="C128" s="214"/>
      <c r="D128" s="215">
        <f>+MAYORES!L83</f>
        <v>3692138.01</v>
      </c>
      <c r="E128" s="215"/>
      <c r="F128" s="216">
        <f>F127+D128-E128</f>
        <v>3692138.01</v>
      </c>
      <c r="G128" s="74">
        <v>0</v>
      </c>
    </row>
    <row r="129" spans="1:7" x14ac:dyDescent="0.25">
      <c r="A129" s="426">
        <v>43159</v>
      </c>
      <c r="B129" s="213" t="s">
        <v>22</v>
      </c>
      <c r="C129" s="214"/>
      <c r="D129" s="215"/>
      <c r="E129" s="215"/>
      <c r="F129" s="216">
        <f>F128+D129-E129</f>
        <v>3692138.01</v>
      </c>
      <c r="G129" s="74">
        <v>0</v>
      </c>
    </row>
    <row r="130" spans="1:7" x14ac:dyDescent="0.25">
      <c r="A130" s="426">
        <v>43190</v>
      </c>
      <c r="B130" s="213" t="s">
        <v>22</v>
      </c>
      <c r="C130" s="214"/>
      <c r="D130" s="215"/>
      <c r="E130" s="215"/>
      <c r="F130" s="216">
        <f t="shared" ref="F130:F139" si="7">F129+D130-E130</f>
        <v>3692138.01</v>
      </c>
      <c r="G130" s="74">
        <v>0</v>
      </c>
    </row>
    <row r="131" spans="1:7" x14ac:dyDescent="0.25">
      <c r="A131" s="426">
        <v>43220</v>
      </c>
      <c r="B131" s="213" t="s">
        <v>22</v>
      </c>
      <c r="C131" s="214"/>
      <c r="D131" s="215"/>
      <c r="E131" s="215"/>
      <c r="F131" s="216">
        <f t="shared" si="7"/>
        <v>3692138.01</v>
      </c>
      <c r="G131" s="74">
        <v>0</v>
      </c>
    </row>
    <row r="132" spans="1:7" x14ac:dyDescent="0.25">
      <c r="A132" s="426">
        <v>43251</v>
      </c>
      <c r="B132" s="213" t="s">
        <v>22</v>
      </c>
      <c r="C132" s="214"/>
      <c r="D132" s="215"/>
      <c r="E132" s="215"/>
      <c r="F132" s="216">
        <f t="shared" si="7"/>
        <v>3692138.01</v>
      </c>
      <c r="G132" s="74">
        <v>0</v>
      </c>
    </row>
    <row r="133" spans="1:7" x14ac:dyDescent="0.25">
      <c r="A133" s="426">
        <v>43281</v>
      </c>
      <c r="B133" s="213" t="s">
        <v>22</v>
      </c>
      <c r="C133" s="214"/>
      <c r="D133" s="215"/>
      <c r="E133" s="215"/>
      <c r="F133" s="216">
        <f t="shared" si="7"/>
        <v>3692138.01</v>
      </c>
      <c r="G133" s="74">
        <v>0</v>
      </c>
    </row>
    <row r="134" spans="1:7" x14ac:dyDescent="0.25">
      <c r="A134" s="426">
        <v>43312</v>
      </c>
      <c r="B134" s="213" t="s">
        <v>22</v>
      </c>
      <c r="C134" s="214"/>
      <c r="D134" s="215"/>
      <c r="E134" s="215"/>
      <c r="F134" s="216">
        <f t="shared" si="7"/>
        <v>3692138.01</v>
      </c>
      <c r="G134" s="74">
        <v>0</v>
      </c>
    </row>
    <row r="135" spans="1:7" x14ac:dyDescent="0.25">
      <c r="A135" s="426">
        <v>43343</v>
      </c>
      <c r="B135" s="213" t="s">
        <v>22</v>
      </c>
      <c r="C135" s="214"/>
      <c r="D135" s="215"/>
      <c r="E135" s="215"/>
      <c r="F135" s="216">
        <f t="shared" si="7"/>
        <v>3692138.01</v>
      </c>
      <c r="G135" s="74">
        <v>0</v>
      </c>
    </row>
    <row r="136" spans="1:7" x14ac:dyDescent="0.25">
      <c r="A136" s="426">
        <v>43373</v>
      </c>
      <c r="B136" s="213" t="s">
        <v>22</v>
      </c>
      <c r="C136" s="214"/>
      <c r="D136" s="215"/>
      <c r="E136" s="215"/>
      <c r="F136" s="216">
        <f t="shared" si="7"/>
        <v>3692138.01</v>
      </c>
      <c r="G136" s="74">
        <v>0</v>
      </c>
    </row>
    <row r="137" spans="1:7" x14ac:dyDescent="0.25">
      <c r="A137" s="427">
        <v>43404</v>
      </c>
      <c r="B137" s="213" t="s">
        <v>22</v>
      </c>
      <c r="C137" s="214"/>
      <c r="D137" s="215"/>
      <c r="E137" s="215"/>
      <c r="F137" s="216">
        <f t="shared" si="7"/>
        <v>3692138.01</v>
      </c>
      <c r="G137" s="74">
        <v>0</v>
      </c>
    </row>
    <row r="138" spans="1:7" x14ac:dyDescent="0.25">
      <c r="A138" s="427" t="s">
        <v>264</v>
      </c>
      <c r="B138" s="213" t="s">
        <v>22</v>
      </c>
      <c r="C138" s="214"/>
      <c r="D138" s="215"/>
      <c r="E138" s="215"/>
      <c r="F138" s="216">
        <f t="shared" si="7"/>
        <v>3692138.01</v>
      </c>
      <c r="G138" s="74">
        <v>0</v>
      </c>
    </row>
    <row r="139" spans="1:7" x14ac:dyDescent="0.25">
      <c r="A139" s="426">
        <v>43465</v>
      </c>
      <c r="B139" s="217" t="s">
        <v>22</v>
      </c>
      <c r="C139" s="218"/>
      <c r="D139" s="219"/>
      <c r="E139" s="219"/>
      <c r="F139" s="221">
        <f t="shared" si="7"/>
        <v>3692138.01</v>
      </c>
      <c r="G139" s="74">
        <f>+F139-MAYORES!N83</f>
        <v>0</v>
      </c>
    </row>
    <row r="140" spans="1:7" x14ac:dyDescent="0.25">
      <c r="B140" s="208"/>
      <c r="C140" s="209"/>
      <c r="D140" s="234">
        <f>SUM(D128:D139)</f>
        <v>3692138.01</v>
      </c>
      <c r="E140" s="235">
        <f>SUM(E128:E139)</f>
        <v>0</v>
      </c>
      <c r="F140" s="206"/>
    </row>
    <row r="142" spans="1:7" ht="16.5" thickBot="1" x14ac:dyDescent="0.3">
      <c r="B142" s="1898" t="s">
        <v>28</v>
      </c>
      <c r="C142" s="1898"/>
      <c r="D142" s="1898"/>
      <c r="E142" s="1898"/>
      <c r="F142" s="1898"/>
    </row>
    <row r="143" spans="1:7" ht="15.75" thickBot="1" x14ac:dyDescent="0.3">
      <c r="B143" s="231" t="s">
        <v>18</v>
      </c>
      <c r="C143" s="232" t="s">
        <v>19</v>
      </c>
      <c r="D143" s="232" t="s">
        <v>10</v>
      </c>
      <c r="E143" s="232" t="s">
        <v>11</v>
      </c>
      <c r="F143" s="233" t="s">
        <v>20</v>
      </c>
    </row>
    <row r="144" spans="1:7" x14ac:dyDescent="0.25">
      <c r="B144" s="210" t="str">
        <f>+B109</f>
        <v>SALDO AL 31/12/2017</v>
      </c>
      <c r="C144" s="211">
        <f>+MAYORES!C98</f>
        <v>551.57999999867752</v>
      </c>
      <c r="D144" s="211"/>
      <c r="E144" s="211"/>
      <c r="F144" s="212">
        <f>C144</f>
        <v>551.57999999867752</v>
      </c>
    </row>
    <row r="145" spans="1:7" x14ac:dyDescent="0.25">
      <c r="A145" s="426">
        <v>43131</v>
      </c>
      <c r="B145" s="213" t="s">
        <v>22</v>
      </c>
      <c r="C145" s="214"/>
      <c r="D145" s="215">
        <f>+MAYORES!D105</f>
        <v>2520812.3699999973</v>
      </c>
      <c r="E145" s="215">
        <f>+MAYORES!E105</f>
        <v>2520260.79</v>
      </c>
      <c r="F145" s="216">
        <f>+F144-D145+E145</f>
        <v>0</v>
      </c>
      <c r="G145" s="74">
        <v>0</v>
      </c>
    </row>
    <row r="146" spans="1:7" x14ac:dyDescent="0.25">
      <c r="A146" s="426">
        <v>43159</v>
      </c>
      <c r="B146" s="213" t="s">
        <v>22</v>
      </c>
      <c r="C146" s="214"/>
      <c r="D146" s="215"/>
      <c r="E146" s="215"/>
      <c r="F146" s="216">
        <f t="shared" ref="F146:F156" si="8">+F145-D146+E146</f>
        <v>0</v>
      </c>
      <c r="G146" s="74">
        <v>0</v>
      </c>
    </row>
    <row r="147" spans="1:7" x14ac:dyDescent="0.25">
      <c r="A147" s="426">
        <v>43190</v>
      </c>
      <c r="B147" s="213" t="s">
        <v>22</v>
      </c>
      <c r="C147" s="214"/>
      <c r="D147" s="215"/>
      <c r="E147" s="215"/>
      <c r="F147" s="216">
        <f t="shared" si="8"/>
        <v>0</v>
      </c>
      <c r="G147" s="74">
        <v>0</v>
      </c>
    </row>
    <row r="148" spans="1:7" x14ac:dyDescent="0.25">
      <c r="A148" s="426">
        <v>43220</v>
      </c>
      <c r="B148" s="213" t="s">
        <v>22</v>
      </c>
      <c r="C148" s="214"/>
      <c r="D148" s="215"/>
      <c r="E148" s="215"/>
      <c r="F148" s="216">
        <f t="shared" si="8"/>
        <v>0</v>
      </c>
      <c r="G148" s="74">
        <v>0</v>
      </c>
    </row>
    <row r="149" spans="1:7" x14ac:dyDescent="0.25">
      <c r="A149" s="426">
        <v>43251</v>
      </c>
      <c r="B149" s="213" t="s">
        <v>22</v>
      </c>
      <c r="C149" s="214"/>
      <c r="D149" s="215"/>
      <c r="E149" s="215"/>
      <c r="F149" s="216">
        <f t="shared" si="8"/>
        <v>0</v>
      </c>
      <c r="G149" s="74">
        <v>0</v>
      </c>
    </row>
    <row r="150" spans="1:7" x14ac:dyDescent="0.25">
      <c r="A150" s="426">
        <v>43281</v>
      </c>
      <c r="B150" s="213" t="s">
        <v>22</v>
      </c>
      <c r="C150" s="214"/>
      <c r="D150" s="215"/>
      <c r="E150" s="215"/>
      <c r="F150" s="216">
        <f t="shared" si="8"/>
        <v>0</v>
      </c>
      <c r="G150" s="74">
        <v>0</v>
      </c>
    </row>
    <row r="151" spans="1:7" x14ac:dyDescent="0.25">
      <c r="A151" s="426">
        <v>43312</v>
      </c>
      <c r="B151" s="213" t="s">
        <v>22</v>
      </c>
      <c r="C151" s="214"/>
      <c r="D151" s="215"/>
      <c r="E151" s="215"/>
      <c r="F151" s="216">
        <f t="shared" si="8"/>
        <v>0</v>
      </c>
      <c r="G151" s="74">
        <v>0</v>
      </c>
    </row>
    <row r="152" spans="1:7" x14ac:dyDescent="0.25">
      <c r="A152" s="426">
        <v>43343</v>
      </c>
      <c r="B152" s="213" t="s">
        <v>22</v>
      </c>
      <c r="C152" s="214"/>
      <c r="D152" s="215"/>
      <c r="E152" s="215"/>
      <c r="F152" s="216">
        <f t="shared" si="8"/>
        <v>0</v>
      </c>
      <c r="G152" s="74">
        <v>0</v>
      </c>
    </row>
    <row r="153" spans="1:7" x14ac:dyDescent="0.25">
      <c r="A153" s="426">
        <v>43373</v>
      </c>
      <c r="B153" s="213" t="s">
        <v>22</v>
      </c>
      <c r="C153" s="214"/>
      <c r="D153" s="215"/>
      <c r="E153" s="215"/>
      <c r="F153" s="216">
        <f t="shared" si="8"/>
        <v>0</v>
      </c>
      <c r="G153" s="74">
        <v>0</v>
      </c>
    </row>
    <row r="154" spans="1:7" x14ac:dyDescent="0.25">
      <c r="A154" s="427">
        <v>43404</v>
      </c>
      <c r="B154" s="213" t="s">
        <v>22</v>
      </c>
      <c r="C154" s="214"/>
      <c r="D154" s="215"/>
      <c r="E154" s="215"/>
      <c r="F154" s="216">
        <f t="shared" si="8"/>
        <v>0</v>
      </c>
      <c r="G154" s="74">
        <v>0</v>
      </c>
    </row>
    <row r="155" spans="1:7" x14ac:dyDescent="0.25">
      <c r="A155" s="427" t="s">
        <v>264</v>
      </c>
      <c r="B155" s="213" t="s">
        <v>22</v>
      </c>
      <c r="C155" s="214"/>
      <c r="D155" s="215"/>
      <c r="E155" s="215"/>
      <c r="F155" s="216">
        <f t="shared" si="8"/>
        <v>0</v>
      </c>
      <c r="G155" s="74">
        <v>0</v>
      </c>
    </row>
    <row r="156" spans="1:7" x14ac:dyDescent="0.25">
      <c r="A156" s="426">
        <v>43465</v>
      </c>
      <c r="B156" s="217" t="s">
        <v>22</v>
      </c>
      <c r="C156" s="218"/>
      <c r="D156" s="219"/>
      <c r="E156" s="219"/>
      <c r="F156" s="221">
        <f t="shared" si="8"/>
        <v>0</v>
      </c>
      <c r="G156" s="74">
        <f>+F156-MAYORES!F105</f>
        <v>0</v>
      </c>
    </row>
    <row r="157" spans="1:7" x14ac:dyDescent="0.25">
      <c r="B157" s="208"/>
      <c r="C157" s="209"/>
      <c r="D157" s="234">
        <f>SUM(D145:D156)</f>
        <v>2520812.3699999973</v>
      </c>
      <c r="E157" s="235">
        <f>SUM(E145:E156)</f>
        <v>2520260.79</v>
      </c>
      <c r="F157" s="206"/>
    </row>
    <row r="159" spans="1:7" ht="16.5" thickBot="1" x14ac:dyDescent="0.3">
      <c r="B159" s="1898" t="s">
        <v>29</v>
      </c>
      <c r="C159" s="1898"/>
      <c r="D159" s="1898"/>
      <c r="E159" s="1898"/>
      <c r="F159" s="1898"/>
    </row>
    <row r="160" spans="1:7" ht="15.75" thickBot="1" x14ac:dyDescent="0.3">
      <c r="B160" s="231" t="s">
        <v>18</v>
      </c>
      <c r="C160" s="232" t="s">
        <v>19</v>
      </c>
      <c r="D160" s="232" t="s">
        <v>10</v>
      </c>
      <c r="E160" s="232" t="s">
        <v>11</v>
      </c>
      <c r="F160" s="233" t="s">
        <v>20</v>
      </c>
    </row>
    <row r="161" spans="1:7" x14ac:dyDescent="0.25">
      <c r="B161" s="210" t="str">
        <f>+B144</f>
        <v>SALDO AL 31/12/2017</v>
      </c>
      <c r="C161" s="211" t="e">
        <f>+MAYORES!#REF!</f>
        <v>#REF!</v>
      </c>
      <c r="D161" s="211"/>
      <c r="E161" s="211"/>
      <c r="F161" s="212" t="e">
        <f>C161</f>
        <v>#REF!</v>
      </c>
    </row>
    <row r="162" spans="1:7" x14ac:dyDescent="0.25">
      <c r="A162" s="426">
        <v>43131</v>
      </c>
      <c r="B162" s="213" t="s">
        <v>22</v>
      </c>
      <c r="C162" s="214"/>
      <c r="D162" s="215">
        <f>+MAYORES!L105</f>
        <v>2520260.79</v>
      </c>
      <c r="E162" s="215">
        <f>+MAYORES!M105</f>
        <v>3692138.01</v>
      </c>
      <c r="F162" s="216" t="e">
        <f>+F161-D162+E162</f>
        <v>#REF!</v>
      </c>
      <c r="G162" s="74">
        <v>0</v>
      </c>
    </row>
    <row r="163" spans="1:7" x14ac:dyDescent="0.25">
      <c r="A163" s="426">
        <v>43159</v>
      </c>
      <c r="B163" s="213" t="s">
        <v>22</v>
      </c>
      <c r="C163" s="214"/>
      <c r="D163" s="215"/>
      <c r="E163" s="215"/>
      <c r="F163" s="216" t="e">
        <f t="shared" ref="F163:F173" si="9">+F162-D163+E163</f>
        <v>#REF!</v>
      </c>
      <c r="G163" s="74">
        <v>0</v>
      </c>
    </row>
    <row r="164" spans="1:7" x14ac:dyDescent="0.25">
      <c r="A164" s="426">
        <v>43190</v>
      </c>
      <c r="B164" s="213" t="s">
        <v>22</v>
      </c>
      <c r="C164" s="214"/>
      <c r="D164" s="215"/>
      <c r="E164" s="215"/>
      <c r="F164" s="216" t="e">
        <f t="shared" si="9"/>
        <v>#REF!</v>
      </c>
      <c r="G164" s="74">
        <v>0</v>
      </c>
    </row>
    <row r="165" spans="1:7" x14ac:dyDescent="0.25">
      <c r="A165" s="426">
        <v>43220</v>
      </c>
      <c r="B165" s="213" t="s">
        <v>22</v>
      </c>
      <c r="C165" s="214"/>
      <c r="D165" s="215"/>
      <c r="E165" s="215"/>
      <c r="F165" s="216" t="e">
        <f t="shared" si="9"/>
        <v>#REF!</v>
      </c>
      <c r="G165" s="74">
        <v>0</v>
      </c>
    </row>
    <row r="166" spans="1:7" x14ac:dyDescent="0.25">
      <c r="A166" s="426">
        <v>43251</v>
      </c>
      <c r="B166" s="213" t="s">
        <v>22</v>
      </c>
      <c r="C166" s="214"/>
      <c r="D166" s="215"/>
      <c r="E166" s="215"/>
      <c r="F166" s="216" t="e">
        <f t="shared" si="9"/>
        <v>#REF!</v>
      </c>
      <c r="G166" s="74">
        <v>0</v>
      </c>
    </row>
    <row r="167" spans="1:7" x14ac:dyDescent="0.25">
      <c r="A167" s="426">
        <v>43281</v>
      </c>
      <c r="B167" s="213" t="s">
        <v>22</v>
      </c>
      <c r="C167" s="214"/>
      <c r="D167" s="215"/>
      <c r="E167" s="215"/>
      <c r="F167" s="216" t="e">
        <f t="shared" si="9"/>
        <v>#REF!</v>
      </c>
      <c r="G167" s="74">
        <v>0</v>
      </c>
    </row>
    <row r="168" spans="1:7" x14ac:dyDescent="0.25">
      <c r="A168" s="426">
        <v>43312</v>
      </c>
      <c r="B168" s="213" t="s">
        <v>22</v>
      </c>
      <c r="C168" s="214"/>
      <c r="D168" s="215"/>
      <c r="E168" s="215"/>
      <c r="F168" s="216" t="e">
        <f t="shared" si="9"/>
        <v>#REF!</v>
      </c>
      <c r="G168" s="74">
        <v>0</v>
      </c>
    </row>
    <row r="169" spans="1:7" x14ac:dyDescent="0.25">
      <c r="A169" s="426">
        <v>43343</v>
      </c>
      <c r="B169" s="213" t="s">
        <v>22</v>
      </c>
      <c r="C169" s="214"/>
      <c r="D169" s="215"/>
      <c r="E169" s="215"/>
      <c r="F169" s="216" t="e">
        <f t="shared" si="9"/>
        <v>#REF!</v>
      </c>
      <c r="G169" s="74">
        <v>0</v>
      </c>
    </row>
    <row r="170" spans="1:7" x14ac:dyDescent="0.25">
      <c r="A170" s="426">
        <v>43373</v>
      </c>
      <c r="B170" s="213" t="s">
        <v>22</v>
      </c>
      <c r="C170" s="214"/>
      <c r="D170" s="215"/>
      <c r="E170" s="215"/>
      <c r="F170" s="216" t="e">
        <f t="shared" si="9"/>
        <v>#REF!</v>
      </c>
      <c r="G170" s="74">
        <v>0</v>
      </c>
    </row>
    <row r="171" spans="1:7" x14ac:dyDescent="0.25">
      <c r="A171" s="427">
        <v>43404</v>
      </c>
      <c r="B171" s="213" t="s">
        <v>22</v>
      </c>
      <c r="C171" s="214"/>
      <c r="D171" s="215"/>
      <c r="E171" s="215"/>
      <c r="F171" s="216" t="e">
        <f t="shared" si="9"/>
        <v>#REF!</v>
      </c>
      <c r="G171" s="74">
        <v>0</v>
      </c>
    </row>
    <row r="172" spans="1:7" x14ac:dyDescent="0.25">
      <c r="A172" s="427" t="s">
        <v>264</v>
      </c>
      <c r="B172" s="213" t="s">
        <v>22</v>
      </c>
      <c r="C172" s="214"/>
      <c r="D172" s="215"/>
      <c r="E172" s="215"/>
      <c r="F172" s="216" t="e">
        <f t="shared" si="9"/>
        <v>#REF!</v>
      </c>
      <c r="G172" s="74">
        <v>-1.862645149230957E-9</v>
      </c>
    </row>
    <row r="173" spans="1:7" x14ac:dyDescent="0.25">
      <c r="A173" s="426">
        <v>43465</v>
      </c>
      <c r="B173" s="217" t="s">
        <v>22</v>
      </c>
      <c r="C173" s="218"/>
      <c r="D173" s="219"/>
      <c r="E173" s="219"/>
      <c r="F173" s="221" t="e">
        <f t="shared" si="9"/>
        <v>#REF!</v>
      </c>
      <c r="G173" s="74" t="e">
        <f>+F173-MAYORES!N105</f>
        <v>#REF!</v>
      </c>
    </row>
    <row r="174" spans="1:7" x14ac:dyDescent="0.25">
      <c r="B174" s="208"/>
      <c r="C174" s="209"/>
      <c r="D174" s="234">
        <f>SUM(D162:D173)</f>
        <v>2520260.79</v>
      </c>
      <c r="E174" s="235">
        <f>SUM(E162:E173)</f>
        <v>3692138.01</v>
      </c>
      <c r="F174" s="206"/>
    </row>
    <row r="176" spans="1:7" ht="16.5" thickBot="1" x14ac:dyDescent="0.3">
      <c r="B176" s="1898" t="s">
        <v>30</v>
      </c>
      <c r="C176" s="1898"/>
      <c r="D176" s="1898"/>
      <c r="E176" s="1898"/>
      <c r="F176" s="1898"/>
    </row>
    <row r="177" spans="1:8" ht="15.75" thickBot="1" x14ac:dyDescent="0.3">
      <c r="B177" s="231" t="s">
        <v>18</v>
      </c>
      <c r="C177" s="232" t="s">
        <v>19</v>
      </c>
      <c r="D177" s="232" t="s">
        <v>10</v>
      </c>
      <c r="E177" s="232" t="s">
        <v>11</v>
      </c>
      <c r="F177" s="233" t="s">
        <v>20</v>
      </c>
    </row>
    <row r="178" spans="1:8" x14ac:dyDescent="0.25">
      <c r="B178" s="210" t="str">
        <f>+B161</f>
        <v>SALDO AL 31/12/2017</v>
      </c>
      <c r="C178" s="211">
        <f>+MAYORES!C111</f>
        <v>61484.600000000006</v>
      </c>
      <c r="D178" s="211"/>
      <c r="E178" s="211"/>
      <c r="F178" s="212">
        <f>C178</f>
        <v>61484.600000000006</v>
      </c>
    </row>
    <row r="179" spans="1:8" x14ac:dyDescent="0.25">
      <c r="A179" s="426">
        <v>43131</v>
      </c>
      <c r="B179" s="213" t="s">
        <v>22</v>
      </c>
      <c r="C179" s="214"/>
      <c r="D179" s="215">
        <f>+MAYORES!D121</f>
        <v>46317.56</v>
      </c>
      <c r="E179" s="215">
        <f>+MAYORES!E121</f>
        <v>188006.91999999998</v>
      </c>
      <c r="F179" s="216">
        <f>+F178-D179+E179</f>
        <v>203173.96</v>
      </c>
      <c r="G179" s="74">
        <v>0</v>
      </c>
    </row>
    <row r="180" spans="1:8" x14ac:dyDescent="0.25">
      <c r="A180" s="426">
        <v>43159</v>
      </c>
      <c r="B180" s="213" t="s">
        <v>22</v>
      </c>
      <c r="C180" s="214"/>
      <c r="D180" s="215"/>
      <c r="E180" s="215"/>
      <c r="F180" s="216">
        <f>+F179-D180+E180</f>
        <v>203173.96</v>
      </c>
      <c r="G180" s="74">
        <v>0</v>
      </c>
    </row>
    <row r="181" spans="1:8" x14ac:dyDescent="0.25">
      <c r="A181" s="426">
        <v>43190</v>
      </c>
      <c r="B181" s="213" t="s">
        <v>22</v>
      </c>
      <c r="C181" s="214"/>
      <c r="D181" s="215"/>
      <c r="E181" s="215"/>
      <c r="F181" s="216">
        <f>+F180-D181+E181</f>
        <v>203173.96</v>
      </c>
      <c r="G181" s="74">
        <v>0</v>
      </c>
    </row>
    <row r="182" spans="1:8" x14ac:dyDescent="0.25">
      <c r="A182" s="426">
        <v>43220</v>
      </c>
      <c r="B182" s="213" t="s">
        <v>22</v>
      </c>
      <c r="C182" s="214"/>
      <c r="D182" s="215"/>
      <c r="E182" s="215"/>
      <c r="F182" s="216">
        <f t="shared" ref="F182:F190" si="10">+F181-D182+E182</f>
        <v>203173.96</v>
      </c>
      <c r="G182" s="74">
        <v>0</v>
      </c>
    </row>
    <row r="183" spans="1:8" x14ac:dyDescent="0.25">
      <c r="A183" s="426">
        <v>43251</v>
      </c>
      <c r="B183" s="213" t="s">
        <v>22</v>
      </c>
      <c r="C183" s="214"/>
      <c r="D183" s="215"/>
      <c r="E183" s="215"/>
      <c r="F183" s="216">
        <f t="shared" si="10"/>
        <v>203173.96</v>
      </c>
      <c r="G183" s="74">
        <v>0</v>
      </c>
    </row>
    <row r="184" spans="1:8" x14ac:dyDescent="0.25">
      <c r="A184" s="426">
        <v>43281</v>
      </c>
      <c r="B184" s="213" t="s">
        <v>22</v>
      </c>
      <c r="C184" s="214"/>
      <c r="D184" s="215"/>
      <c r="E184" s="215"/>
      <c r="F184" s="216">
        <f t="shared" si="10"/>
        <v>203173.96</v>
      </c>
      <c r="G184" s="74">
        <v>0</v>
      </c>
    </row>
    <row r="185" spans="1:8" x14ac:dyDescent="0.25">
      <c r="A185" s="426">
        <v>43312</v>
      </c>
      <c r="B185" s="213" t="s">
        <v>22</v>
      </c>
      <c r="C185" s="214"/>
      <c r="D185" s="215"/>
      <c r="E185" s="215"/>
      <c r="F185" s="216">
        <f t="shared" si="10"/>
        <v>203173.96</v>
      </c>
      <c r="G185" s="74">
        <v>0</v>
      </c>
    </row>
    <row r="186" spans="1:8" x14ac:dyDescent="0.25">
      <c r="A186" s="426">
        <v>43343</v>
      </c>
      <c r="B186" s="213" t="s">
        <v>22</v>
      </c>
      <c r="C186" s="214"/>
      <c r="D186" s="215"/>
      <c r="E186" s="215"/>
      <c r="F186" s="216">
        <f t="shared" si="10"/>
        <v>203173.96</v>
      </c>
      <c r="G186" s="74">
        <v>0</v>
      </c>
    </row>
    <row r="187" spans="1:8" x14ac:dyDescent="0.25">
      <c r="A187" s="426">
        <v>43373</v>
      </c>
      <c r="B187" s="213" t="s">
        <v>22</v>
      </c>
      <c r="C187" s="214"/>
      <c r="D187" s="215"/>
      <c r="E187" s="215"/>
      <c r="F187" s="216">
        <f t="shared" si="10"/>
        <v>203173.96</v>
      </c>
      <c r="G187" s="74">
        <v>0</v>
      </c>
    </row>
    <row r="188" spans="1:8" x14ac:dyDescent="0.25">
      <c r="A188" s="427">
        <v>43404</v>
      </c>
      <c r="B188" s="213" t="s">
        <v>22</v>
      </c>
      <c r="C188" s="214"/>
      <c r="D188" s="215"/>
      <c r="E188" s="215"/>
      <c r="F188" s="216">
        <f t="shared" si="10"/>
        <v>203173.96</v>
      </c>
      <c r="G188" s="74">
        <v>0</v>
      </c>
    </row>
    <row r="189" spans="1:8" x14ac:dyDescent="0.25">
      <c r="A189" s="427" t="s">
        <v>264</v>
      </c>
      <c r="B189" s="213" t="s">
        <v>22</v>
      </c>
      <c r="C189" s="214"/>
      <c r="D189" s="215"/>
      <c r="E189" s="215"/>
      <c r="F189" s="216">
        <f t="shared" si="10"/>
        <v>203173.96</v>
      </c>
      <c r="G189" s="74">
        <v>0</v>
      </c>
    </row>
    <row r="190" spans="1:8" x14ac:dyDescent="0.25">
      <c r="A190" s="426">
        <v>43465</v>
      </c>
      <c r="B190" s="217" t="s">
        <v>22</v>
      </c>
      <c r="C190" s="218"/>
      <c r="D190" s="219"/>
      <c r="E190" s="219"/>
      <c r="F190" s="221">
        <f t="shared" si="10"/>
        <v>203173.96</v>
      </c>
      <c r="G190" s="74">
        <v>0</v>
      </c>
    </row>
    <row r="191" spans="1:8" x14ac:dyDescent="0.25">
      <c r="B191" s="208"/>
      <c r="C191" s="209"/>
      <c r="D191" s="234">
        <f>SUM(D179:D190)</f>
        <v>46317.56</v>
      </c>
      <c r="E191" s="235">
        <f>SUM(E179:E190)</f>
        <v>188006.91999999998</v>
      </c>
      <c r="F191" s="206"/>
      <c r="H191" s="74"/>
    </row>
    <row r="193" spans="1:8" ht="16.5" thickBot="1" x14ac:dyDescent="0.3">
      <c r="B193" s="1898" t="s">
        <v>31</v>
      </c>
      <c r="C193" s="1898"/>
      <c r="D193" s="1898"/>
      <c r="E193" s="1898"/>
      <c r="F193" s="1898"/>
    </row>
    <row r="194" spans="1:8" ht="15.75" thickBot="1" x14ac:dyDescent="0.3">
      <c r="B194" s="231" t="s">
        <v>18</v>
      </c>
      <c r="C194" s="232" t="s">
        <v>19</v>
      </c>
      <c r="D194" s="232" t="s">
        <v>10</v>
      </c>
      <c r="E194" s="232" t="s">
        <v>11</v>
      </c>
      <c r="F194" s="233" t="s">
        <v>20</v>
      </c>
    </row>
    <row r="195" spans="1:8" x14ac:dyDescent="0.25">
      <c r="B195" s="210" t="str">
        <f>+B178</f>
        <v>SALDO AL 31/12/2017</v>
      </c>
      <c r="C195" s="211">
        <f>+MAYORES!K111</f>
        <v>10568.719999996014</v>
      </c>
      <c r="D195" s="211"/>
      <c r="E195" s="211"/>
      <c r="F195" s="212">
        <f>C195</f>
        <v>10568.719999996014</v>
      </c>
    </row>
    <row r="196" spans="1:8" x14ac:dyDescent="0.25">
      <c r="A196" s="426">
        <v>43131</v>
      </c>
      <c r="B196" s="213" t="s">
        <v>22</v>
      </c>
      <c r="C196" s="214"/>
      <c r="D196" s="215">
        <f>+MAYORES!L121</f>
        <v>10568.720000001136</v>
      </c>
      <c r="E196" s="215">
        <f>+MAYORES!M121</f>
        <v>45879375.460000008</v>
      </c>
      <c r="F196" s="216">
        <f>+F195-D196+E196</f>
        <v>45879375.460000001</v>
      </c>
      <c r="G196" s="74">
        <v>0</v>
      </c>
    </row>
    <row r="197" spans="1:8" x14ac:dyDescent="0.25">
      <c r="A197" s="426">
        <v>43159</v>
      </c>
      <c r="B197" s="213" t="s">
        <v>22</v>
      </c>
      <c r="C197" s="214"/>
      <c r="D197" s="215"/>
      <c r="E197" s="215"/>
      <c r="F197" s="216">
        <f t="shared" ref="F197:F207" si="11">+F196-D197+E197</f>
        <v>45879375.460000001</v>
      </c>
      <c r="G197" s="74">
        <v>0</v>
      </c>
    </row>
    <row r="198" spans="1:8" x14ac:dyDescent="0.25">
      <c r="A198" s="426">
        <v>43190</v>
      </c>
      <c r="B198" s="213" t="s">
        <v>22</v>
      </c>
      <c r="C198" s="214"/>
      <c r="D198" s="215"/>
      <c r="E198" s="215"/>
      <c r="F198" s="216">
        <f t="shared" si="11"/>
        <v>45879375.460000001</v>
      </c>
      <c r="G198" s="74">
        <v>0</v>
      </c>
    </row>
    <row r="199" spans="1:8" x14ac:dyDescent="0.25">
      <c r="A199" s="426">
        <v>43220</v>
      </c>
      <c r="B199" s="213" t="s">
        <v>22</v>
      </c>
      <c r="C199" s="214"/>
      <c r="D199" s="215"/>
      <c r="E199" s="215"/>
      <c r="F199" s="216">
        <f t="shared" si="11"/>
        <v>45879375.460000001</v>
      </c>
      <c r="G199" s="74">
        <v>0</v>
      </c>
    </row>
    <row r="200" spans="1:8" x14ac:dyDescent="0.25">
      <c r="A200" s="426">
        <v>43251</v>
      </c>
      <c r="B200" s="213" t="s">
        <v>22</v>
      </c>
      <c r="C200" s="214"/>
      <c r="D200" s="215"/>
      <c r="E200" s="215"/>
      <c r="F200" s="216">
        <f t="shared" si="11"/>
        <v>45879375.460000001</v>
      </c>
      <c r="G200" s="74">
        <v>0</v>
      </c>
    </row>
    <row r="201" spans="1:8" x14ac:dyDescent="0.25">
      <c r="A201" s="426">
        <v>43281</v>
      </c>
      <c r="B201" s="213" t="s">
        <v>22</v>
      </c>
      <c r="C201" s="214"/>
      <c r="D201" s="215"/>
      <c r="E201" s="215"/>
      <c r="F201" s="216">
        <f t="shared" si="11"/>
        <v>45879375.460000001</v>
      </c>
      <c r="G201" s="74">
        <v>0</v>
      </c>
    </row>
    <row r="202" spans="1:8" x14ac:dyDescent="0.25">
      <c r="A202" s="426">
        <v>43312</v>
      </c>
      <c r="B202" s="213" t="s">
        <v>22</v>
      </c>
      <c r="C202" s="214"/>
      <c r="D202" s="215"/>
      <c r="E202" s="215"/>
      <c r="F202" s="216">
        <f t="shared" si="11"/>
        <v>45879375.460000001</v>
      </c>
      <c r="G202" s="74">
        <v>0</v>
      </c>
    </row>
    <row r="203" spans="1:8" x14ac:dyDescent="0.25">
      <c r="A203" s="426">
        <v>43343</v>
      </c>
      <c r="B203" s="213" t="s">
        <v>22</v>
      </c>
      <c r="C203" s="214"/>
      <c r="D203" s="215"/>
      <c r="E203" s="215"/>
      <c r="F203" s="216">
        <f t="shared" si="11"/>
        <v>45879375.460000001</v>
      </c>
      <c r="G203" s="74">
        <v>0</v>
      </c>
    </row>
    <row r="204" spans="1:8" x14ac:dyDescent="0.25">
      <c r="A204" s="426">
        <v>43373</v>
      </c>
      <c r="B204" s="213" t="s">
        <v>22</v>
      </c>
      <c r="C204" s="214"/>
      <c r="D204" s="215"/>
      <c r="E204" s="215"/>
      <c r="F204" s="216">
        <f t="shared" si="11"/>
        <v>45879375.460000001</v>
      </c>
      <c r="G204" s="74">
        <v>0</v>
      </c>
    </row>
    <row r="205" spans="1:8" x14ac:dyDescent="0.25">
      <c r="A205" s="427">
        <v>43404</v>
      </c>
      <c r="B205" s="213" t="s">
        <v>22</v>
      </c>
      <c r="C205" s="214"/>
      <c r="D205" s="215"/>
      <c r="E205" s="215"/>
      <c r="F205" s="216">
        <f t="shared" si="11"/>
        <v>45879375.460000001</v>
      </c>
      <c r="G205" s="74">
        <v>0</v>
      </c>
    </row>
    <row r="206" spans="1:8" x14ac:dyDescent="0.25">
      <c r="A206" s="427" t="s">
        <v>264</v>
      </c>
      <c r="B206" s="213" t="s">
        <v>22</v>
      </c>
      <c r="C206" s="214"/>
      <c r="D206" s="215"/>
      <c r="E206" s="215"/>
      <c r="F206" s="216">
        <f t="shared" si="11"/>
        <v>45879375.460000001</v>
      </c>
      <c r="G206" s="74">
        <v>0</v>
      </c>
    </row>
    <row r="207" spans="1:8" x14ac:dyDescent="0.25">
      <c r="A207" s="426">
        <v>43465</v>
      </c>
      <c r="B207" s="217" t="s">
        <v>22</v>
      </c>
      <c r="C207" s="218"/>
      <c r="D207" s="219"/>
      <c r="E207" s="219"/>
      <c r="F207" s="221">
        <f t="shared" si="11"/>
        <v>45879375.460000001</v>
      </c>
      <c r="G207" s="74">
        <v>0</v>
      </c>
    </row>
    <row r="208" spans="1:8" x14ac:dyDescent="0.25">
      <c r="B208" s="208"/>
      <c r="C208" s="209"/>
      <c r="D208" s="234">
        <f>SUM(D196:D207)</f>
        <v>10568.720000001136</v>
      </c>
      <c r="E208" s="235">
        <f>SUM(E196:E207)</f>
        <v>45879375.460000008</v>
      </c>
      <c r="F208" s="206"/>
      <c r="G208" s="74"/>
      <c r="H208" s="74"/>
    </row>
    <row r="210" spans="1:7" ht="16.5" thickBot="1" x14ac:dyDescent="0.3">
      <c r="B210" s="1898" t="s">
        <v>32</v>
      </c>
      <c r="C210" s="1898"/>
      <c r="D210" s="1898"/>
      <c r="E210" s="1898"/>
      <c r="F210" s="1898"/>
    </row>
    <row r="211" spans="1:7" ht="15.75" thickBot="1" x14ac:dyDescent="0.3">
      <c r="B211" s="231" t="s">
        <v>18</v>
      </c>
      <c r="C211" s="232" t="s">
        <v>19</v>
      </c>
      <c r="D211" s="232" t="s">
        <v>10</v>
      </c>
      <c r="E211" s="232" t="s">
        <v>11</v>
      </c>
      <c r="F211" s="233" t="s">
        <v>20</v>
      </c>
    </row>
    <row r="212" spans="1:7" x14ac:dyDescent="0.25">
      <c r="B212" s="210" t="str">
        <f>+B195</f>
        <v>SALDO AL 31/12/2017</v>
      </c>
      <c r="C212" s="211">
        <f>+'BALANCE GENERAL '!I17</f>
        <v>0</v>
      </c>
      <c r="D212" s="211"/>
      <c r="E212" s="211"/>
      <c r="F212" s="212">
        <f>C212</f>
        <v>0</v>
      </c>
    </row>
    <row r="213" spans="1:7" x14ac:dyDescent="0.25">
      <c r="A213" s="426">
        <v>43131</v>
      </c>
      <c r="B213" s="213" t="s">
        <v>22</v>
      </c>
      <c r="C213" s="214"/>
      <c r="D213" s="215"/>
      <c r="E213" s="215"/>
      <c r="F213" s="216">
        <f>F212+D213-E213</f>
        <v>0</v>
      </c>
      <c r="G213" s="74">
        <v>0</v>
      </c>
    </row>
    <row r="214" spans="1:7" x14ac:dyDescent="0.25">
      <c r="A214" s="426">
        <v>43159</v>
      </c>
      <c r="B214" s="213" t="s">
        <v>22</v>
      </c>
      <c r="C214" s="214"/>
      <c r="D214" s="215"/>
      <c r="E214" s="215"/>
      <c r="F214" s="216">
        <f>F213+D214-E214</f>
        <v>0</v>
      </c>
      <c r="G214" s="74">
        <v>0</v>
      </c>
    </row>
    <row r="215" spans="1:7" x14ac:dyDescent="0.25">
      <c r="A215" s="426">
        <v>43190</v>
      </c>
      <c r="B215" s="213" t="s">
        <v>22</v>
      </c>
      <c r="C215" s="214"/>
      <c r="D215" s="215"/>
      <c r="E215" s="215"/>
      <c r="F215" s="216">
        <f t="shared" ref="F215:F224" si="12">F214+D215-E215</f>
        <v>0</v>
      </c>
      <c r="G215" s="74">
        <v>0</v>
      </c>
    </row>
    <row r="216" spans="1:7" x14ac:dyDescent="0.25">
      <c r="A216" s="426">
        <v>43220</v>
      </c>
      <c r="B216" s="213" t="s">
        <v>22</v>
      </c>
      <c r="C216" s="214"/>
      <c r="D216" s="215"/>
      <c r="E216" s="215"/>
      <c r="F216" s="216">
        <f t="shared" si="12"/>
        <v>0</v>
      </c>
      <c r="G216" s="74">
        <v>0</v>
      </c>
    </row>
    <row r="217" spans="1:7" x14ac:dyDescent="0.25">
      <c r="A217" s="426">
        <v>43251</v>
      </c>
      <c r="B217" s="213" t="s">
        <v>22</v>
      </c>
      <c r="C217" s="214"/>
      <c r="D217" s="215"/>
      <c r="E217" s="215"/>
      <c r="F217" s="216">
        <f t="shared" si="12"/>
        <v>0</v>
      </c>
      <c r="G217" s="74">
        <v>0</v>
      </c>
    </row>
    <row r="218" spans="1:7" x14ac:dyDescent="0.25">
      <c r="A218" s="426">
        <v>43281</v>
      </c>
      <c r="B218" s="213" t="s">
        <v>22</v>
      </c>
      <c r="C218" s="214"/>
      <c r="D218" s="215"/>
      <c r="E218" s="215"/>
      <c r="F218" s="216">
        <f t="shared" si="12"/>
        <v>0</v>
      </c>
      <c r="G218" s="74">
        <v>0</v>
      </c>
    </row>
    <row r="219" spans="1:7" x14ac:dyDescent="0.25">
      <c r="A219" s="426">
        <v>43312</v>
      </c>
      <c r="B219" s="213" t="s">
        <v>22</v>
      </c>
      <c r="C219" s="214"/>
      <c r="D219" s="215"/>
      <c r="E219" s="215"/>
      <c r="F219" s="216">
        <f t="shared" si="12"/>
        <v>0</v>
      </c>
      <c r="G219" s="74">
        <v>0</v>
      </c>
    </row>
    <row r="220" spans="1:7" x14ac:dyDescent="0.25">
      <c r="A220" s="426">
        <v>43343</v>
      </c>
      <c r="B220" s="213" t="s">
        <v>22</v>
      </c>
      <c r="C220" s="214"/>
      <c r="D220" s="215"/>
      <c r="E220" s="215"/>
      <c r="F220" s="216">
        <f t="shared" si="12"/>
        <v>0</v>
      </c>
      <c r="G220" s="74">
        <v>0</v>
      </c>
    </row>
    <row r="221" spans="1:7" x14ac:dyDescent="0.25">
      <c r="A221" s="426">
        <v>43373</v>
      </c>
      <c r="B221" s="213" t="s">
        <v>22</v>
      </c>
      <c r="C221" s="214"/>
      <c r="D221" s="215"/>
      <c r="E221" s="215"/>
      <c r="F221" s="216">
        <f t="shared" si="12"/>
        <v>0</v>
      </c>
      <c r="G221" s="74">
        <v>0</v>
      </c>
    </row>
    <row r="222" spans="1:7" x14ac:dyDescent="0.25">
      <c r="A222" s="427">
        <v>43404</v>
      </c>
      <c r="B222" s="213" t="s">
        <v>22</v>
      </c>
      <c r="C222" s="214"/>
      <c r="D222" s="215"/>
      <c r="E222" s="215"/>
      <c r="F222" s="216">
        <f t="shared" si="12"/>
        <v>0</v>
      </c>
      <c r="G222" s="74">
        <v>0</v>
      </c>
    </row>
    <row r="223" spans="1:7" x14ac:dyDescent="0.25">
      <c r="A223" s="427" t="s">
        <v>264</v>
      </c>
      <c r="B223" s="213" t="s">
        <v>22</v>
      </c>
      <c r="C223" s="214"/>
      <c r="D223" s="215"/>
      <c r="E223" s="215"/>
      <c r="F223" s="216">
        <f t="shared" si="12"/>
        <v>0</v>
      </c>
      <c r="G223" s="74">
        <v>0</v>
      </c>
    </row>
    <row r="224" spans="1:7" x14ac:dyDescent="0.25">
      <c r="A224" s="426">
        <v>43465</v>
      </c>
      <c r="B224" s="217" t="s">
        <v>22</v>
      </c>
      <c r="C224" s="218"/>
      <c r="D224" s="219"/>
      <c r="E224" s="219"/>
      <c r="F224" s="221">
        <f t="shared" si="12"/>
        <v>0</v>
      </c>
      <c r="G224" s="74">
        <v>0</v>
      </c>
    </row>
    <row r="225" spans="1:7" x14ac:dyDescent="0.25">
      <c r="B225" s="208"/>
      <c r="C225" s="209"/>
      <c r="D225" s="234">
        <f>SUM(D213:D224)</f>
        <v>0</v>
      </c>
      <c r="E225" s="235">
        <f>SUM(E213:E224)</f>
        <v>0</v>
      </c>
      <c r="F225" s="206"/>
    </row>
    <row r="227" spans="1:7" ht="16.5" thickBot="1" x14ac:dyDescent="0.3">
      <c r="B227" s="1898" t="s">
        <v>33</v>
      </c>
      <c r="C227" s="1898"/>
      <c r="D227" s="1898"/>
      <c r="E227" s="1898"/>
      <c r="F227" s="1898"/>
    </row>
    <row r="228" spans="1:7" ht="15.75" thickBot="1" x14ac:dyDescent="0.3">
      <c r="B228" s="231" t="s">
        <v>18</v>
      </c>
      <c r="C228" s="232" t="s">
        <v>19</v>
      </c>
      <c r="D228" s="232" t="s">
        <v>10</v>
      </c>
      <c r="E228" s="232" t="s">
        <v>11</v>
      </c>
      <c r="F228" s="233" t="s">
        <v>20</v>
      </c>
    </row>
    <row r="229" spans="1:7" x14ac:dyDescent="0.25">
      <c r="B229" s="210" t="str">
        <f>+B212</f>
        <v>SALDO AL 31/12/2017</v>
      </c>
      <c r="C229" s="211">
        <f>+MAYORES!C146</f>
        <v>2674896.0899999989</v>
      </c>
      <c r="D229" s="211"/>
      <c r="E229" s="211"/>
      <c r="F229" s="212">
        <f>C229</f>
        <v>2674896.0899999989</v>
      </c>
    </row>
    <row r="230" spans="1:7" x14ac:dyDescent="0.25">
      <c r="A230" s="426">
        <v>43131</v>
      </c>
      <c r="B230" s="213" t="s">
        <v>22</v>
      </c>
      <c r="C230" s="214"/>
      <c r="D230" s="215">
        <f>+MAYORES!D157</f>
        <v>134388.85</v>
      </c>
      <c r="E230" s="215">
        <f>+MAYORES!E157</f>
        <v>137556.03999999998</v>
      </c>
      <c r="F230" s="216">
        <f>+F229-D230+E230</f>
        <v>2678063.2799999989</v>
      </c>
      <c r="G230" s="74">
        <v>0</v>
      </c>
    </row>
    <row r="231" spans="1:7" x14ac:dyDescent="0.25">
      <c r="A231" s="426">
        <v>43159</v>
      </c>
      <c r="B231" s="213" t="s">
        <v>22</v>
      </c>
      <c r="C231" s="214"/>
      <c r="D231" s="215"/>
      <c r="E231" s="215"/>
      <c r="F231" s="216">
        <f t="shared" ref="F231:F241" si="13">+F230-D231+E231</f>
        <v>2678063.2799999989</v>
      </c>
      <c r="G231" s="74">
        <v>0</v>
      </c>
    </row>
    <row r="232" spans="1:7" x14ac:dyDescent="0.25">
      <c r="A232" s="426">
        <v>43190</v>
      </c>
      <c r="B232" s="213" t="s">
        <v>22</v>
      </c>
      <c r="C232" s="214"/>
      <c r="D232" s="215"/>
      <c r="E232" s="215"/>
      <c r="F232" s="216">
        <f t="shared" si="13"/>
        <v>2678063.2799999989</v>
      </c>
      <c r="G232" s="74">
        <v>0</v>
      </c>
    </row>
    <row r="233" spans="1:7" x14ac:dyDescent="0.25">
      <c r="A233" s="426">
        <v>43220</v>
      </c>
      <c r="B233" s="213" t="s">
        <v>22</v>
      </c>
      <c r="C233" s="214"/>
      <c r="D233" s="215"/>
      <c r="E233" s="215"/>
      <c r="F233" s="216">
        <f t="shared" si="13"/>
        <v>2678063.2799999989</v>
      </c>
      <c r="G233" s="74">
        <v>0</v>
      </c>
    </row>
    <row r="234" spans="1:7" x14ac:dyDescent="0.25">
      <c r="A234" s="426">
        <v>43251</v>
      </c>
      <c r="B234" s="213" t="s">
        <v>22</v>
      </c>
      <c r="C234" s="214"/>
      <c r="D234" s="215"/>
      <c r="E234" s="215"/>
      <c r="F234" s="216">
        <f t="shared" si="13"/>
        <v>2678063.2799999989</v>
      </c>
      <c r="G234" s="74">
        <v>0</v>
      </c>
    </row>
    <row r="235" spans="1:7" x14ac:dyDescent="0.25">
      <c r="A235" s="426">
        <v>43281</v>
      </c>
      <c r="B235" s="213" t="s">
        <v>22</v>
      </c>
      <c r="C235" s="214"/>
      <c r="D235" s="215"/>
      <c r="E235" s="215"/>
      <c r="F235" s="216">
        <f t="shared" si="13"/>
        <v>2678063.2799999989</v>
      </c>
      <c r="G235" s="74">
        <v>0</v>
      </c>
    </row>
    <row r="236" spans="1:7" x14ac:dyDescent="0.25">
      <c r="A236" s="426">
        <v>43312</v>
      </c>
      <c r="B236" s="213" t="s">
        <v>22</v>
      </c>
      <c r="C236" s="214"/>
      <c r="D236" s="215"/>
      <c r="E236" s="215"/>
      <c r="F236" s="216">
        <f t="shared" si="13"/>
        <v>2678063.2799999989</v>
      </c>
      <c r="G236" s="74">
        <v>0</v>
      </c>
    </row>
    <row r="237" spans="1:7" x14ac:dyDescent="0.25">
      <c r="A237" s="426">
        <v>43343</v>
      </c>
      <c r="B237" s="213" t="s">
        <v>22</v>
      </c>
      <c r="C237" s="214"/>
      <c r="D237" s="215"/>
      <c r="E237" s="215"/>
      <c r="F237" s="216">
        <f t="shared" si="13"/>
        <v>2678063.2799999989</v>
      </c>
      <c r="G237" s="74">
        <v>0</v>
      </c>
    </row>
    <row r="238" spans="1:7" x14ac:dyDescent="0.25">
      <c r="A238" s="426">
        <v>43373</v>
      </c>
      <c r="B238" s="213" t="s">
        <v>22</v>
      </c>
      <c r="C238" s="214"/>
      <c r="D238" s="215"/>
      <c r="E238" s="215"/>
      <c r="F238" s="216">
        <f t="shared" si="13"/>
        <v>2678063.2799999989</v>
      </c>
      <c r="G238" s="74">
        <v>0</v>
      </c>
    </row>
    <row r="239" spans="1:7" x14ac:dyDescent="0.25">
      <c r="A239" s="427">
        <v>43404</v>
      </c>
      <c r="B239" s="213" t="s">
        <v>22</v>
      </c>
      <c r="C239" s="214"/>
      <c r="D239" s="215"/>
      <c r="E239" s="215"/>
      <c r="F239" s="216">
        <f t="shared" si="13"/>
        <v>2678063.2799999989</v>
      </c>
      <c r="G239" s="74">
        <v>0</v>
      </c>
    </row>
    <row r="240" spans="1:7" x14ac:dyDescent="0.25">
      <c r="A240" s="427" t="s">
        <v>264</v>
      </c>
      <c r="B240" s="213" t="s">
        <v>22</v>
      </c>
      <c r="C240" s="214"/>
      <c r="D240" s="215"/>
      <c r="E240" s="215"/>
      <c r="F240" s="216">
        <f t="shared" si="13"/>
        <v>2678063.2799999989</v>
      </c>
      <c r="G240" s="74">
        <v>0</v>
      </c>
    </row>
    <row r="241" spans="1:7" x14ac:dyDescent="0.25">
      <c r="A241" s="426">
        <v>43465</v>
      </c>
      <c r="B241" s="217" t="s">
        <v>22</v>
      </c>
      <c r="C241" s="218"/>
      <c r="D241" s="219"/>
      <c r="E241" s="219"/>
      <c r="F241" s="221">
        <f t="shared" si="13"/>
        <v>2678063.2799999989</v>
      </c>
      <c r="G241" s="74">
        <v>0</v>
      </c>
    </row>
    <row r="242" spans="1:7" x14ac:dyDescent="0.25">
      <c r="B242" s="208"/>
      <c r="C242" s="209"/>
      <c r="D242" s="227">
        <f>SUM(D230:D241)</f>
        <v>134388.85</v>
      </c>
      <c r="E242" s="236">
        <f>SUM(E230:E241)</f>
        <v>137556.03999999998</v>
      </c>
      <c r="F242" s="206"/>
    </row>
    <row r="244" spans="1:7" ht="16.5" thickBot="1" x14ac:dyDescent="0.3">
      <c r="B244" s="1898" t="s">
        <v>34</v>
      </c>
      <c r="C244" s="1898"/>
      <c r="D244" s="1898"/>
      <c r="E244" s="1898"/>
      <c r="F244" s="1898"/>
    </row>
    <row r="245" spans="1:7" ht="15.75" thickBot="1" x14ac:dyDescent="0.3">
      <c r="B245" s="231" t="s">
        <v>18</v>
      </c>
      <c r="C245" s="232" t="s">
        <v>19</v>
      </c>
      <c r="D245" s="232" t="s">
        <v>10</v>
      </c>
      <c r="E245" s="232" t="s">
        <v>11</v>
      </c>
      <c r="F245" s="233" t="s">
        <v>20</v>
      </c>
    </row>
    <row r="246" spans="1:7" x14ac:dyDescent="0.25">
      <c r="B246" s="210" t="str">
        <f>+B229</f>
        <v>SALDO AL 31/12/2017</v>
      </c>
      <c r="C246" s="211">
        <f>+MAYORES!K146</f>
        <v>0</v>
      </c>
      <c r="D246" s="211"/>
      <c r="E246" s="211"/>
      <c r="F246" s="212">
        <f>C246</f>
        <v>0</v>
      </c>
    </row>
    <row r="247" spans="1:7" x14ac:dyDescent="0.25">
      <c r="A247" s="426">
        <v>43131</v>
      </c>
      <c r="B247" s="213" t="s">
        <v>22</v>
      </c>
      <c r="C247" s="214"/>
      <c r="D247" s="215">
        <f>+MAYORES!L157</f>
        <v>0</v>
      </c>
      <c r="E247" s="215">
        <f>+MAYORES!M157</f>
        <v>49571513.469999999</v>
      </c>
      <c r="F247" s="216">
        <f>+F246-D247+E247</f>
        <v>49571513.469999999</v>
      </c>
      <c r="G247" s="74">
        <v>0</v>
      </c>
    </row>
    <row r="248" spans="1:7" x14ac:dyDescent="0.25">
      <c r="A248" s="426">
        <v>43159</v>
      </c>
      <c r="B248" s="213" t="s">
        <v>22</v>
      </c>
      <c r="C248" s="214"/>
      <c r="D248" s="215"/>
      <c r="E248" s="215"/>
      <c r="F248" s="216">
        <f t="shared" ref="F248:F258" si="14">+F247-D248+E248</f>
        <v>49571513.469999999</v>
      </c>
      <c r="G248" s="74">
        <v>0</v>
      </c>
    </row>
    <row r="249" spans="1:7" x14ac:dyDescent="0.25">
      <c r="A249" s="426">
        <v>43190</v>
      </c>
      <c r="B249" s="213" t="s">
        <v>22</v>
      </c>
      <c r="C249" s="214"/>
      <c r="D249" s="215"/>
      <c r="E249" s="215"/>
      <c r="F249" s="216">
        <f t="shared" si="14"/>
        <v>49571513.469999999</v>
      </c>
      <c r="G249" s="74">
        <v>0</v>
      </c>
    </row>
    <row r="250" spans="1:7" x14ac:dyDescent="0.25">
      <c r="A250" s="426">
        <v>43220</v>
      </c>
      <c r="B250" s="213" t="s">
        <v>22</v>
      </c>
      <c r="C250" s="214"/>
      <c r="D250" s="215"/>
      <c r="E250" s="215"/>
      <c r="F250" s="216">
        <f t="shared" si="14"/>
        <v>49571513.469999999</v>
      </c>
      <c r="G250" s="74">
        <v>0</v>
      </c>
    </row>
    <row r="251" spans="1:7" x14ac:dyDescent="0.25">
      <c r="A251" s="426">
        <v>43251</v>
      </c>
      <c r="B251" s="213" t="s">
        <v>22</v>
      </c>
      <c r="C251" s="214"/>
      <c r="D251" s="215"/>
      <c r="E251" s="215"/>
      <c r="F251" s="216">
        <f t="shared" si="14"/>
        <v>49571513.469999999</v>
      </c>
      <c r="G251" s="74">
        <v>0</v>
      </c>
    </row>
    <row r="252" spans="1:7" x14ac:dyDescent="0.25">
      <c r="A252" s="426">
        <v>43281</v>
      </c>
      <c r="B252" s="213" t="s">
        <v>22</v>
      </c>
      <c r="C252" s="214"/>
      <c r="D252" s="215"/>
      <c r="E252" s="215"/>
      <c r="F252" s="216">
        <f t="shared" si="14"/>
        <v>49571513.469999999</v>
      </c>
      <c r="G252" s="74">
        <v>0</v>
      </c>
    </row>
    <row r="253" spans="1:7" x14ac:dyDescent="0.25">
      <c r="A253" s="426">
        <v>43312</v>
      </c>
      <c r="B253" s="213" t="s">
        <v>22</v>
      </c>
      <c r="C253" s="214"/>
      <c r="D253" s="215"/>
      <c r="E253" s="215"/>
      <c r="F253" s="216">
        <f t="shared" si="14"/>
        <v>49571513.469999999</v>
      </c>
      <c r="G253" s="74">
        <v>0</v>
      </c>
    </row>
    <row r="254" spans="1:7" x14ac:dyDescent="0.25">
      <c r="A254" s="426">
        <v>43343</v>
      </c>
      <c r="B254" s="213" t="s">
        <v>22</v>
      </c>
      <c r="C254" s="214"/>
      <c r="D254" s="215"/>
      <c r="E254" s="215"/>
      <c r="F254" s="216">
        <f t="shared" si="14"/>
        <v>49571513.469999999</v>
      </c>
      <c r="G254" s="74">
        <v>0</v>
      </c>
    </row>
    <row r="255" spans="1:7" x14ac:dyDescent="0.25">
      <c r="A255" s="426">
        <v>43373</v>
      </c>
      <c r="B255" s="213" t="s">
        <v>22</v>
      </c>
      <c r="C255" s="214"/>
      <c r="D255" s="215"/>
      <c r="E255" s="215"/>
      <c r="F255" s="216">
        <f t="shared" si="14"/>
        <v>49571513.469999999</v>
      </c>
      <c r="G255" s="74">
        <v>0</v>
      </c>
    </row>
    <row r="256" spans="1:7" x14ac:dyDescent="0.25">
      <c r="A256" s="427">
        <v>43404</v>
      </c>
      <c r="B256" s="213" t="s">
        <v>22</v>
      </c>
      <c r="C256" s="214"/>
      <c r="D256" s="215"/>
      <c r="E256" s="215"/>
      <c r="F256" s="216">
        <f t="shared" si="14"/>
        <v>49571513.469999999</v>
      </c>
      <c r="G256" s="74">
        <v>0</v>
      </c>
    </row>
    <row r="257" spans="1:7" x14ac:dyDescent="0.25">
      <c r="A257" s="427" t="s">
        <v>264</v>
      </c>
      <c r="B257" s="213" t="s">
        <v>22</v>
      </c>
      <c r="C257" s="214"/>
      <c r="D257" s="215"/>
      <c r="E257" s="215"/>
      <c r="F257" s="216">
        <f t="shared" si="14"/>
        <v>49571513.469999999</v>
      </c>
      <c r="G257" s="74">
        <v>0</v>
      </c>
    </row>
    <row r="258" spans="1:7" x14ac:dyDescent="0.25">
      <c r="A258" s="426">
        <v>43465</v>
      </c>
      <c r="B258" s="217" t="s">
        <v>22</v>
      </c>
      <c r="C258" s="218"/>
      <c r="D258" s="219"/>
      <c r="E258" s="219"/>
      <c r="F258" s="221">
        <f t="shared" si="14"/>
        <v>49571513.469999999</v>
      </c>
      <c r="G258" s="74">
        <v>0</v>
      </c>
    </row>
    <row r="259" spans="1:7" x14ac:dyDescent="0.25">
      <c r="B259" s="208"/>
      <c r="C259" s="209"/>
      <c r="D259" s="234">
        <f>SUM(D247:D258)</f>
        <v>0</v>
      </c>
      <c r="E259" s="235">
        <f>SUM(E247:E258)</f>
        <v>49571513.469999999</v>
      </c>
      <c r="F259" s="206"/>
    </row>
    <row r="260" spans="1:7" x14ac:dyDescent="0.25">
      <c r="A260" s="223"/>
      <c r="B260" s="224"/>
      <c r="C260" s="225"/>
      <c r="D260" s="241"/>
      <c r="E260" s="241"/>
      <c r="F260" s="225"/>
    </row>
    <row r="261" spans="1:7" x14ac:dyDescent="0.25">
      <c r="A261" s="223"/>
      <c r="B261" s="224"/>
      <c r="C261" s="225"/>
      <c r="D261" s="241"/>
      <c r="E261" s="241"/>
      <c r="F261" s="225"/>
    </row>
    <row r="262" spans="1:7" x14ac:dyDescent="0.25">
      <c r="A262" s="223"/>
      <c r="B262" s="224"/>
      <c r="C262" s="225"/>
      <c r="D262" s="241"/>
      <c r="E262" s="241"/>
      <c r="F262" s="225"/>
    </row>
    <row r="263" spans="1:7" ht="16.5" thickBot="1" x14ac:dyDescent="0.3">
      <c r="B263" s="1898" t="s">
        <v>203</v>
      </c>
      <c r="C263" s="1898"/>
      <c r="D263" s="1898"/>
      <c r="E263" s="1898"/>
      <c r="F263" s="1898"/>
    </row>
    <row r="264" spans="1:7" ht="15.75" thickBot="1" x14ac:dyDescent="0.3">
      <c r="B264" s="231" t="s">
        <v>18</v>
      </c>
      <c r="C264" s="232" t="s">
        <v>19</v>
      </c>
      <c r="D264" s="232" t="s">
        <v>10</v>
      </c>
      <c r="E264" s="232" t="s">
        <v>11</v>
      </c>
      <c r="F264" s="233" t="s">
        <v>20</v>
      </c>
    </row>
    <row r="265" spans="1:7" x14ac:dyDescent="0.25">
      <c r="B265" s="210" t="str">
        <f>+B245</f>
        <v>CONCEPTO</v>
      </c>
      <c r="C265" s="211">
        <v>0</v>
      </c>
      <c r="D265" s="211"/>
      <c r="E265" s="211"/>
      <c r="F265" s="212">
        <f>C265</f>
        <v>0</v>
      </c>
    </row>
    <row r="266" spans="1:7" x14ac:dyDescent="0.25">
      <c r="A266" s="426">
        <v>43131</v>
      </c>
      <c r="B266" s="213" t="s">
        <v>22</v>
      </c>
      <c r="C266" s="214"/>
      <c r="D266" s="215"/>
      <c r="E266" s="215"/>
      <c r="F266" s="216">
        <f>+F265-D266+E266</f>
        <v>0</v>
      </c>
    </row>
    <row r="267" spans="1:7" x14ac:dyDescent="0.25">
      <c r="A267" s="426">
        <v>43159</v>
      </c>
      <c r="B267" s="213" t="s">
        <v>22</v>
      </c>
      <c r="C267" s="214"/>
      <c r="D267" s="215"/>
      <c r="E267" s="215"/>
      <c r="F267" s="216">
        <f t="shared" ref="F267:F277" si="15">+F266-D267+E267</f>
        <v>0</v>
      </c>
    </row>
    <row r="268" spans="1:7" x14ac:dyDescent="0.25">
      <c r="A268" s="426">
        <v>43190</v>
      </c>
      <c r="B268" s="213" t="s">
        <v>22</v>
      </c>
      <c r="C268" s="214"/>
      <c r="D268" s="215"/>
      <c r="E268" s="215"/>
      <c r="F268" s="216">
        <f t="shared" si="15"/>
        <v>0</v>
      </c>
    </row>
    <row r="269" spans="1:7" x14ac:dyDescent="0.25">
      <c r="A269" s="426">
        <v>43220</v>
      </c>
      <c r="B269" s="213" t="s">
        <v>22</v>
      </c>
      <c r="C269" s="214"/>
      <c r="D269" s="215"/>
      <c r="E269" s="215"/>
      <c r="F269" s="216">
        <f t="shared" si="15"/>
        <v>0</v>
      </c>
    </row>
    <row r="270" spans="1:7" x14ac:dyDescent="0.25">
      <c r="A270" s="426">
        <v>43251</v>
      </c>
      <c r="B270" s="213" t="s">
        <v>22</v>
      </c>
      <c r="C270" s="214"/>
      <c r="D270" s="215"/>
      <c r="E270" s="215"/>
      <c r="F270" s="216">
        <f t="shared" si="15"/>
        <v>0</v>
      </c>
    </row>
    <row r="271" spans="1:7" x14ac:dyDescent="0.25">
      <c r="A271" s="426">
        <v>43281</v>
      </c>
      <c r="B271" s="213" t="s">
        <v>22</v>
      </c>
      <c r="C271" s="214"/>
      <c r="D271" s="215"/>
      <c r="E271" s="215"/>
      <c r="F271" s="216">
        <f t="shared" si="15"/>
        <v>0</v>
      </c>
    </row>
    <row r="272" spans="1:7" x14ac:dyDescent="0.25">
      <c r="A272" s="426">
        <v>43312</v>
      </c>
      <c r="B272" s="213" t="s">
        <v>22</v>
      </c>
      <c r="C272" s="214"/>
      <c r="D272" s="215"/>
      <c r="E272" s="215"/>
      <c r="F272" s="216">
        <f t="shared" si="15"/>
        <v>0</v>
      </c>
    </row>
    <row r="273" spans="1:7" x14ac:dyDescent="0.25">
      <c r="A273" s="426">
        <v>43343</v>
      </c>
      <c r="B273" s="213" t="s">
        <v>22</v>
      </c>
      <c r="C273" s="214"/>
      <c r="D273" s="215"/>
      <c r="E273" s="215"/>
      <c r="F273" s="216">
        <f t="shared" si="15"/>
        <v>0</v>
      </c>
    </row>
    <row r="274" spans="1:7" x14ac:dyDescent="0.25">
      <c r="A274" s="426">
        <v>43373</v>
      </c>
      <c r="B274" s="213" t="s">
        <v>22</v>
      </c>
      <c r="C274" s="214"/>
      <c r="D274" s="215"/>
      <c r="E274" s="215"/>
      <c r="F274" s="216">
        <f t="shared" si="15"/>
        <v>0</v>
      </c>
    </row>
    <row r="275" spans="1:7" x14ac:dyDescent="0.25">
      <c r="A275" s="427">
        <v>43404</v>
      </c>
      <c r="B275" s="213" t="s">
        <v>22</v>
      </c>
      <c r="C275" s="214"/>
      <c r="D275" s="215"/>
      <c r="E275" s="215"/>
      <c r="F275" s="216">
        <f t="shared" si="15"/>
        <v>0</v>
      </c>
    </row>
    <row r="276" spans="1:7" x14ac:dyDescent="0.25">
      <c r="A276" s="427" t="s">
        <v>264</v>
      </c>
      <c r="B276" s="213" t="s">
        <v>22</v>
      </c>
      <c r="C276" s="214"/>
      <c r="D276" s="215"/>
      <c r="E276" s="215"/>
      <c r="F276" s="216">
        <f t="shared" si="15"/>
        <v>0</v>
      </c>
    </row>
    <row r="277" spans="1:7" ht="15.75" thickBot="1" x14ac:dyDescent="0.3">
      <c r="A277" s="426">
        <v>43465</v>
      </c>
      <c r="B277" s="217" t="s">
        <v>22</v>
      </c>
      <c r="C277" s="218"/>
      <c r="D277" s="219"/>
      <c r="E277" s="219"/>
      <c r="F277" s="221">
        <f t="shared" si="15"/>
        <v>0</v>
      </c>
      <c r="G277" s="74">
        <v>0</v>
      </c>
    </row>
    <row r="278" spans="1:7" ht="15.75" thickBot="1" x14ac:dyDescent="0.3">
      <c r="B278" s="208"/>
      <c r="C278" s="209"/>
      <c r="D278" s="227">
        <f>SUM(D266:D277)</f>
        <v>0</v>
      </c>
      <c r="E278" s="236">
        <f>SUM(E266:E277)</f>
        <v>0</v>
      </c>
      <c r="F278" s="206"/>
    </row>
  </sheetData>
  <mergeCells count="16">
    <mergeCell ref="B89:F89"/>
    <mergeCell ref="B4:F4"/>
    <mergeCell ref="B21:F21"/>
    <mergeCell ref="B38:F38"/>
    <mergeCell ref="B55:F55"/>
    <mergeCell ref="B72:F72"/>
    <mergeCell ref="B210:F210"/>
    <mergeCell ref="B227:F227"/>
    <mergeCell ref="B244:F244"/>
    <mergeCell ref="B263:F263"/>
    <mergeCell ref="B107:F107"/>
    <mergeCell ref="B125:F125"/>
    <mergeCell ref="B142:F142"/>
    <mergeCell ref="B159:F159"/>
    <mergeCell ref="B176:F176"/>
    <mergeCell ref="B193:F193"/>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M30"/>
  <sheetViews>
    <sheetView topLeftCell="A7" workbookViewId="0">
      <selection activeCell="A7" sqref="A7:I7"/>
    </sheetView>
  </sheetViews>
  <sheetFormatPr baseColWidth="10" defaultRowHeight="15" x14ac:dyDescent="0.25"/>
  <cols>
    <col min="1" max="1" width="18.42578125" customWidth="1"/>
    <col min="2" max="2" width="18" customWidth="1"/>
    <col min="3" max="3" width="34.140625" customWidth="1"/>
    <col min="4" max="4" width="20.42578125" customWidth="1"/>
    <col min="5" max="5" width="15.7109375" customWidth="1"/>
  </cols>
  <sheetData>
    <row r="1" spans="1:13" ht="15.75" x14ac:dyDescent="0.25">
      <c r="A1" s="308" t="s">
        <v>157</v>
      </c>
      <c r="B1" s="308"/>
      <c r="C1" s="308"/>
      <c r="D1" s="308"/>
      <c r="E1" s="308"/>
      <c r="F1" s="309"/>
      <c r="G1" s="309"/>
      <c r="H1" s="309"/>
      <c r="I1" s="309"/>
      <c r="L1" s="135"/>
      <c r="M1" s="135"/>
    </row>
    <row r="2" spans="1:13" ht="15.75" x14ac:dyDescent="0.25">
      <c r="A2" s="332" t="s">
        <v>158</v>
      </c>
      <c r="B2" s="332"/>
      <c r="C2" s="332"/>
      <c r="D2" s="332"/>
      <c r="E2" s="332"/>
      <c r="F2" s="256"/>
      <c r="G2" s="256"/>
      <c r="H2" s="256"/>
      <c r="I2" s="256"/>
      <c r="L2" s="135"/>
      <c r="M2" s="135"/>
    </row>
    <row r="3" spans="1:13" ht="15.75" x14ac:dyDescent="0.25">
      <c r="A3" s="308" t="s">
        <v>161</v>
      </c>
      <c r="B3" s="308"/>
      <c r="C3" s="308"/>
      <c r="D3" s="308"/>
      <c r="E3" s="308"/>
      <c r="F3" s="309"/>
      <c r="G3" s="309"/>
      <c r="H3" s="309"/>
      <c r="I3" s="309"/>
      <c r="L3" s="135"/>
      <c r="M3" s="135"/>
    </row>
    <row r="4" spans="1:13" ht="15.75" x14ac:dyDescent="0.25">
      <c r="A4" s="88"/>
      <c r="B4" s="88"/>
      <c r="C4" s="88"/>
      <c r="D4" s="136"/>
      <c r="E4" s="137"/>
    </row>
    <row r="5" spans="1:13" ht="18.75" x14ac:dyDescent="0.3">
      <c r="A5" s="314" t="s">
        <v>194</v>
      </c>
      <c r="B5" s="314"/>
      <c r="C5" s="314"/>
      <c r="D5" s="314"/>
      <c r="E5" s="314"/>
      <c r="F5" s="171"/>
      <c r="G5" s="171"/>
      <c r="H5" s="171"/>
      <c r="I5" s="171"/>
    </row>
    <row r="6" spans="1:13" ht="18.75" x14ac:dyDescent="0.3">
      <c r="A6" s="315" t="s">
        <v>195</v>
      </c>
      <c r="B6" s="315"/>
      <c r="C6" s="315"/>
      <c r="D6" s="315"/>
      <c r="E6" s="315"/>
      <c r="F6" s="171"/>
      <c r="G6" s="171"/>
      <c r="H6" s="171"/>
      <c r="I6" s="171"/>
    </row>
    <row r="7" spans="1:13" ht="18.75" x14ac:dyDescent="0.3">
      <c r="A7" s="316"/>
      <c r="B7" s="317"/>
      <c r="C7" s="317"/>
      <c r="D7" s="317"/>
      <c r="E7" s="317"/>
      <c r="F7" s="171"/>
      <c r="G7" s="171"/>
      <c r="H7" s="171"/>
      <c r="I7" s="171"/>
    </row>
    <row r="8" spans="1:13" ht="18.75" x14ac:dyDescent="0.3">
      <c r="A8" s="318"/>
      <c r="B8" s="319">
        <v>42094</v>
      </c>
      <c r="C8" s="320" t="s">
        <v>196</v>
      </c>
      <c r="D8" s="320"/>
      <c r="E8" s="321"/>
      <c r="F8" s="171"/>
      <c r="G8" s="171"/>
      <c r="H8" s="171"/>
      <c r="I8" s="171"/>
    </row>
    <row r="9" spans="1:13" ht="15.75" x14ac:dyDescent="0.25">
      <c r="A9" s="153"/>
      <c r="B9" s="268"/>
      <c r="C9" s="237" t="s">
        <v>10</v>
      </c>
      <c r="D9" s="237" t="s">
        <v>11</v>
      </c>
      <c r="E9" s="242" t="s">
        <v>20</v>
      </c>
    </row>
    <row r="10" spans="1:13" ht="15.75" x14ac:dyDescent="0.25">
      <c r="A10" s="154" t="s">
        <v>165</v>
      </c>
      <c r="B10" s="198">
        <v>655745.38</v>
      </c>
      <c r="C10" s="202">
        <f>+'BAL. AC. '!D19</f>
        <v>2552765.1800000006</v>
      </c>
      <c r="D10" s="202">
        <f>+'BAL. AC. '!E19</f>
        <v>2531518.4699999969</v>
      </c>
      <c r="E10" s="243">
        <f>+B10+C10-D10</f>
        <v>676992.09000000358</v>
      </c>
      <c r="F10" s="138">
        <f>+E10-'BAL. AC. '!F18</f>
        <v>644625.08000000007</v>
      </c>
    </row>
    <row r="11" spans="1:13" ht="15.75" x14ac:dyDescent="0.25">
      <c r="A11" s="154" t="s">
        <v>166</v>
      </c>
      <c r="B11" s="238">
        <v>1393038.8</v>
      </c>
      <c r="C11" s="203">
        <f>+'BAL. AC. '!D36</f>
        <v>49571513.469999999</v>
      </c>
      <c r="D11" s="203">
        <f>+'BAL. AC. '!E36</f>
        <v>2552627.8000000003</v>
      </c>
      <c r="E11" s="244">
        <f t="shared" ref="E11:E17" si="0">+B11+C11-D11</f>
        <v>48411924.469999999</v>
      </c>
      <c r="F11" s="138">
        <f>+E11-'BAL. AC. '!F35</f>
        <v>1393038.799999997</v>
      </c>
    </row>
    <row r="12" spans="1:13" ht="15.75" x14ac:dyDescent="0.25">
      <c r="A12" s="154" t="s">
        <v>167</v>
      </c>
      <c r="B12" s="238">
        <v>268901.34000000003</v>
      </c>
      <c r="C12" s="203">
        <f>+'BAL. AC. '!D53</f>
        <v>188006.91999999998</v>
      </c>
      <c r="D12" s="203">
        <f>+'BAL. AC. '!E53</f>
        <v>46317.56</v>
      </c>
      <c r="E12" s="244">
        <f t="shared" si="0"/>
        <v>410590.7</v>
      </c>
      <c r="F12" s="138">
        <f>+E12-'BAL. AC. '!F52</f>
        <v>207416.74000000002</v>
      </c>
    </row>
    <row r="13" spans="1:13" ht="15.75" x14ac:dyDescent="0.25">
      <c r="A13" s="154" t="s">
        <v>168</v>
      </c>
      <c r="B13" s="238">
        <v>424994.14</v>
      </c>
      <c r="C13" s="203">
        <f>+'BAL. AC. '!D70</f>
        <v>45879375.460000008</v>
      </c>
      <c r="D13" s="203">
        <f>+'BAL. AC. '!E70</f>
        <v>10568.720000001136</v>
      </c>
      <c r="E13" s="244">
        <f t="shared" si="0"/>
        <v>46293800.88000001</v>
      </c>
      <c r="F13" s="138">
        <f>+E13-'BAL. AC. '!F69</f>
        <v>414425.42000000179</v>
      </c>
    </row>
    <row r="14" spans="1:13" ht="15.75" x14ac:dyDescent="0.25">
      <c r="A14" s="154" t="s">
        <v>169</v>
      </c>
      <c r="B14" s="238">
        <v>210</v>
      </c>
      <c r="C14" s="203">
        <f>+'BAL. AC. '!D87</f>
        <v>0</v>
      </c>
      <c r="D14" s="203">
        <f>+'BAL. AC. '!E87</f>
        <v>0</v>
      </c>
      <c r="E14" s="244">
        <f t="shared" si="0"/>
        <v>210</v>
      </c>
      <c r="F14" s="138">
        <f>+E14-'BAL. AC. '!F86</f>
        <v>210</v>
      </c>
    </row>
    <row r="15" spans="1:13" ht="15.75" x14ac:dyDescent="0.25">
      <c r="A15" s="154" t="s">
        <v>170</v>
      </c>
      <c r="B15" s="238">
        <v>2251380.0299999998</v>
      </c>
      <c r="C15" s="203">
        <f>+'BAL. AC. '!D104</f>
        <v>131461.04999999999</v>
      </c>
      <c r="D15" s="203">
        <f>+'BAL. AC. '!E104</f>
        <v>0</v>
      </c>
      <c r="E15" s="244">
        <f t="shared" si="0"/>
        <v>2382841.0799999996</v>
      </c>
      <c r="F15" s="138">
        <f>+E15-'BAL. AC. '!F103</f>
        <v>258100.9599999995</v>
      </c>
    </row>
    <row r="16" spans="1:13" ht="15.75" x14ac:dyDescent="0.25">
      <c r="A16" s="154" t="s">
        <v>186</v>
      </c>
      <c r="B16" s="238">
        <v>0</v>
      </c>
      <c r="C16" s="203">
        <f>+'BAL. AC. '!D122</f>
        <v>6094.99</v>
      </c>
      <c r="D16" s="203">
        <f>+'BAL. AC. '!E122</f>
        <v>123820.13</v>
      </c>
      <c r="E16" s="244">
        <f t="shared" si="0"/>
        <v>-117725.14</v>
      </c>
      <c r="F16" s="138">
        <f>+E16-'BAL. AC. '!F121</f>
        <v>-671048.29999999981</v>
      </c>
    </row>
    <row r="17" spans="1:12" ht="15.75" x14ac:dyDescent="0.25">
      <c r="A17" s="154" t="s">
        <v>171</v>
      </c>
      <c r="B17" s="238">
        <v>0</v>
      </c>
      <c r="C17" s="203">
        <f>+'BAL. AC. '!D140</f>
        <v>3692138.01</v>
      </c>
      <c r="D17" s="203">
        <f>+'BAL. AC. '!E140</f>
        <v>0</v>
      </c>
      <c r="E17" s="244">
        <f t="shared" si="0"/>
        <v>3692138.01</v>
      </c>
      <c r="F17" s="138">
        <f>+E17-'BAL. AC. '!F139</f>
        <v>0</v>
      </c>
    </row>
    <row r="18" spans="1:12" ht="15.75" x14ac:dyDescent="0.25">
      <c r="A18" s="154"/>
      <c r="B18" s="199">
        <f>SUM(B10:B17)</f>
        <v>4994269.6899999995</v>
      </c>
      <c r="C18" s="201"/>
      <c r="D18" s="201"/>
      <c r="E18" s="245">
        <f>SUM(E10:E17)</f>
        <v>101750772.09000002</v>
      </c>
      <c r="G18" s="138">
        <v>-41107852.20100005</v>
      </c>
    </row>
    <row r="19" spans="1:12" ht="15.75" x14ac:dyDescent="0.25">
      <c r="A19" s="154" t="s">
        <v>172</v>
      </c>
      <c r="B19" s="200">
        <v>1623790.04</v>
      </c>
      <c r="C19" s="201">
        <f>+'BAL. AC. '!D157</f>
        <v>2520812.3699999973</v>
      </c>
      <c r="D19" s="201">
        <f>+'BAL. AC. '!E157</f>
        <v>2520260.79</v>
      </c>
      <c r="E19" s="244">
        <f>+B19-C19+D19</f>
        <v>1623238.4600000028</v>
      </c>
      <c r="F19" s="138">
        <f>+E19-'BAL. AC. '!F156</f>
        <v>1623238.4600000028</v>
      </c>
    </row>
    <row r="20" spans="1:12" ht="15.75" x14ac:dyDescent="0.25">
      <c r="A20" s="155" t="s">
        <v>173</v>
      </c>
      <c r="B20" s="200">
        <v>0</v>
      </c>
      <c r="C20" s="201">
        <f>+'BAL. AC. '!D174</f>
        <v>2520260.79</v>
      </c>
      <c r="D20" s="201">
        <f>+'BAL. AC. '!E174</f>
        <v>3692138.01</v>
      </c>
      <c r="E20" s="244">
        <f t="shared" ref="E20:E25" si="1">+B20-C20+D20</f>
        <v>1171877.2199999997</v>
      </c>
      <c r="F20" s="138" t="e">
        <f>+E20-'BAL. AC. '!F173</f>
        <v>#REF!</v>
      </c>
    </row>
    <row r="21" spans="1:12" ht="15.75" x14ac:dyDescent="0.25">
      <c r="A21" s="154" t="s">
        <v>174</v>
      </c>
      <c r="B21" s="200">
        <v>268901.34000000003</v>
      </c>
      <c r="C21" s="201">
        <f>+'BAL. AC. '!D191</f>
        <v>46317.56</v>
      </c>
      <c r="D21" s="201">
        <f>+'BAL. AC. '!E191</f>
        <v>188006.91999999998</v>
      </c>
      <c r="E21" s="244">
        <f t="shared" si="1"/>
        <v>410590.7</v>
      </c>
      <c r="F21" s="138">
        <f>+E21-'BAL. AC. '!F190</f>
        <v>207416.74000000002</v>
      </c>
      <c r="G21" s="138"/>
    </row>
    <row r="22" spans="1:12" ht="15.75" x14ac:dyDescent="0.25">
      <c r="A22" s="154" t="s">
        <v>175</v>
      </c>
      <c r="B22" s="200">
        <v>424994.14</v>
      </c>
      <c r="C22" s="201">
        <f>+'BAL. AC. '!D208</f>
        <v>10568.720000001136</v>
      </c>
      <c r="D22" s="201">
        <f>+'BAL. AC. '!E208</f>
        <v>45879375.460000008</v>
      </c>
      <c r="E22" s="244">
        <f t="shared" si="1"/>
        <v>46293800.88000001</v>
      </c>
      <c r="F22" s="138">
        <f>+E22-'BAL. AC. '!F207</f>
        <v>414425.42000000924</v>
      </c>
    </row>
    <row r="23" spans="1:12" ht="15.75" x14ac:dyDescent="0.25">
      <c r="A23" s="154" t="s">
        <v>176</v>
      </c>
      <c r="B23" s="200">
        <v>1092925.51</v>
      </c>
      <c r="C23" s="201">
        <f>+'BAL. AC. '!D225</f>
        <v>0</v>
      </c>
      <c r="D23" s="201">
        <f>+'BAL. AC. '!E225</f>
        <v>0</v>
      </c>
      <c r="E23" s="244">
        <f t="shared" si="1"/>
        <v>1092925.51</v>
      </c>
      <c r="F23" s="138">
        <f>+E23-'BAL. AC. '!F224</f>
        <v>1092925.51</v>
      </c>
    </row>
    <row r="24" spans="1:12" ht="15.75" x14ac:dyDescent="0.25">
      <c r="A24" s="154" t="s">
        <v>177</v>
      </c>
      <c r="B24" s="200">
        <v>1583658.66</v>
      </c>
      <c r="C24" s="201">
        <f>+'BAL. AC. '!D242</f>
        <v>134388.85</v>
      </c>
      <c r="D24" s="201">
        <f>+'BAL. AC. '!E242</f>
        <v>137556.03999999998</v>
      </c>
      <c r="E24" s="244">
        <f t="shared" si="1"/>
        <v>1586825.8499999999</v>
      </c>
      <c r="F24" s="138">
        <f>+E24-'BAL. AC. '!F241</f>
        <v>-1091237.429999999</v>
      </c>
      <c r="L24" s="138">
        <f>B26-E26</f>
        <v>-96756502.400000006</v>
      </c>
    </row>
    <row r="25" spans="1:12" ht="15.75" x14ac:dyDescent="0.25">
      <c r="A25" s="154" t="s">
        <v>178</v>
      </c>
      <c r="B25" s="200">
        <v>0</v>
      </c>
      <c r="C25" s="201">
        <f>+'BAL. AC. '!D259</f>
        <v>0</v>
      </c>
      <c r="D25" s="201">
        <f>+'BAL. AC. '!E259</f>
        <v>49571513.469999999</v>
      </c>
      <c r="E25" s="244">
        <f t="shared" si="1"/>
        <v>49571513.469999999</v>
      </c>
      <c r="F25" s="138">
        <f>+E25-'BAL. AC. '!F258</f>
        <v>0</v>
      </c>
    </row>
    <row r="26" spans="1:12" ht="15.75" x14ac:dyDescent="0.25">
      <c r="A26" s="153"/>
      <c r="B26" s="239">
        <f>SUM(B19:B25)</f>
        <v>4994269.6900000004</v>
      </c>
      <c r="C26" s="240">
        <f>SUM(C10:C25)</f>
        <v>107253703.36999999</v>
      </c>
      <c r="D26" s="240">
        <f>SUM(D10:D25)</f>
        <v>107253703.37</v>
      </c>
      <c r="E26" s="246">
        <f>SUM(E19:E25)</f>
        <v>101750772.09</v>
      </c>
      <c r="G26" s="138">
        <v>-41107852.201000005</v>
      </c>
    </row>
    <row r="27" spans="1:12" ht="15.75" x14ac:dyDescent="0.25">
      <c r="A27" s="139"/>
      <c r="B27" s="139"/>
      <c r="C27" s="139"/>
      <c r="D27" s="139"/>
      <c r="E27" s="139"/>
      <c r="F27" s="138"/>
    </row>
    <row r="28" spans="1:12" ht="15.75" x14ac:dyDescent="0.25">
      <c r="A28" s="156" t="s">
        <v>163</v>
      </c>
      <c r="B28" s="140"/>
      <c r="C28" s="277" t="s">
        <v>164</v>
      </c>
      <c r="D28" s="278"/>
      <c r="E28" s="279"/>
    </row>
    <row r="29" spans="1:12" ht="15.75" x14ac:dyDescent="0.25">
      <c r="A29" s="280"/>
      <c r="C29" s="282"/>
      <c r="D29" s="283"/>
      <c r="E29" s="284"/>
    </row>
    <row r="30" spans="1:12" ht="15.75" x14ac:dyDescent="0.25">
      <c r="A30" s="281"/>
      <c r="C30" s="285"/>
      <c r="D30" s="286"/>
      <c r="E30" s="28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M35"/>
  <sheetViews>
    <sheetView workbookViewId="0">
      <selection activeCell="A7" sqref="A7:I7"/>
    </sheetView>
  </sheetViews>
  <sheetFormatPr baseColWidth="10" defaultRowHeight="15" x14ac:dyDescent="0.25"/>
  <cols>
    <col min="1" max="1" width="13.28515625" customWidth="1"/>
  </cols>
  <sheetData>
    <row r="1" spans="1:12" ht="15.75" x14ac:dyDescent="0.25">
      <c r="A1" s="308" t="s">
        <v>157</v>
      </c>
      <c r="B1" s="308"/>
      <c r="C1" s="308"/>
      <c r="D1" s="308"/>
      <c r="E1" s="308"/>
      <c r="F1" s="308"/>
      <c r="G1" s="308"/>
      <c r="H1" s="308"/>
      <c r="I1" s="308"/>
    </row>
    <row r="2" spans="1:12" x14ac:dyDescent="0.25">
      <c r="A2" s="332" t="s">
        <v>158</v>
      </c>
      <c r="B2" s="332"/>
      <c r="C2" s="332"/>
      <c r="D2" s="332"/>
      <c r="E2" s="332"/>
      <c r="F2" s="332"/>
      <c r="G2" s="332"/>
      <c r="H2" s="332"/>
      <c r="I2" s="332"/>
    </row>
    <row r="3" spans="1:12" ht="15.75" x14ac:dyDescent="0.25">
      <c r="A3" s="308" t="s">
        <v>179</v>
      </c>
      <c r="B3" s="308"/>
      <c r="C3" s="308"/>
      <c r="D3" s="308"/>
      <c r="E3" s="308"/>
      <c r="F3" s="308"/>
      <c r="G3" s="308"/>
      <c r="H3" s="308"/>
      <c r="I3" s="308"/>
    </row>
    <row r="4" spans="1:12" ht="15.75" x14ac:dyDescent="0.25">
      <c r="A4" s="88"/>
      <c r="B4" s="88"/>
      <c r="C4" s="88"/>
      <c r="D4" s="150"/>
      <c r="E4" s="5"/>
      <c r="F4" s="151"/>
      <c r="G4" s="151"/>
      <c r="H4" s="151"/>
      <c r="I4" s="132"/>
    </row>
    <row r="5" spans="1:12" ht="18" x14ac:dyDescent="0.25">
      <c r="A5" s="310" t="s">
        <v>37</v>
      </c>
      <c r="B5" s="310"/>
      <c r="C5" s="310"/>
      <c r="D5" s="310"/>
      <c r="E5" s="310"/>
      <c r="F5" s="310"/>
      <c r="G5" s="310"/>
      <c r="H5" s="310"/>
      <c r="I5" s="310"/>
    </row>
    <row r="6" spans="1:12" ht="18" x14ac:dyDescent="0.25">
      <c r="A6" s="312">
        <v>42094</v>
      </c>
      <c r="B6" s="312"/>
      <c r="C6" s="312"/>
      <c r="D6" s="312"/>
      <c r="E6" s="312"/>
      <c r="F6" s="312"/>
      <c r="G6" s="312"/>
      <c r="H6" s="312"/>
      <c r="I6" s="312"/>
    </row>
    <row r="7" spans="1:12" ht="18.75" x14ac:dyDescent="0.25">
      <c r="A7" s="311"/>
      <c r="B7" s="313" t="s">
        <v>38</v>
      </c>
      <c r="C7" s="313"/>
      <c r="D7" s="313"/>
      <c r="E7" s="313"/>
      <c r="F7" s="313"/>
      <c r="G7" s="313"/>
      <c r="H7" s="313"/>
      <c r="I7" s="313"/>
    </row>
    <row r="8" spans="1:12" ht="18.75" x14ac:dyDescent="0.25">
      <c r="A8" s="311"/>
      <c r="B8" s="310" t="s">
        <v>39</v>
      </c>
      <c r="C8" s="310"/>
      <c r="D8" s="310"/>
      <c r="E8" s="311"/>
      <c r="F8" s="311"/>
      <c r="G8" s="310" t="s">
        <v>40</v>
      </c>
      <c r="H8" s="310"/>
      <c r="I8" s="310"/>
    </row>
    <row r="9" spans="1:12" ht="15.75" x14ac:dyDescent="0.25">
      <c r="A9" s="157">
        <v>102</v>
      </c>
      <c r="B9" s="157" t="s">
        <v>15</v>
      </c>
      <c r="C9" s="157"/>
      <c r="D9" s="158">
        <f>+'BALANCE DE COMPROBACIÓN AC.'!E10</f>
        <v>676992.09000000358</v>
      </c>
      <c r="E9" s="157"/>
      <c r="F9" s="157">
        <v>101</v>
      </c>
      <c r="G9" s="157" t="s">
        <v>70</v>
      </c>
      <c r="H9" s="157"/>
      <c r="I9" s="158">
        <f>+'BALANCE DE COMPROBACIÓN AC.'!E19</f>
        <v>1623238.4600000028</v>
      </c>
      <c r="J9" s="22">
        <f>+I13-D12</f>
        <v>0</v>
      </c>
      <c r="K9" s="22">
        <f>+I9+I10</f>
        <v>2795115.6800000025</v>
      </c>
      <c r="L9" s="22">
        <f>+K9-D9</f>
        <v>2118123.5899999989</v>
      </c>
    </row>
    <row r="10" spans="1:12" ht="15.75" x14ac:dyDescent="0.25">
      <c r="A10" s="157">
        <v>122</v>
      </c>
      <c r="B10" s="157" t="s">
        <v>13</v>
      </c>
      <c r="C10" s="157"/>
      <c r="D10" s="158">
        <f>+'BALANCE DE COMPROBACIÓN AC.'!E11</f>
        <v>48411924.469999999</v>
      </c>
      <c r="E10" s="157"/>
      <c r="F10" s="157">
        <v>103</v>
      </c>
      <c r="G10" s="158" t="s">
        <v>69</v>
      </c>
      <c r="H10" s="157"/>
      <c r="I10" s="158">
        <f>+'BALANCE DE COMPROBACIÓN AC.'!E20</f>
        <v>1171877.2199999997</v>
      </c>
      <c r="K10" s="22">
        <f>+K9-D9</f>
        <v>2118123.5899999989</v>
      </c>
    </row>
    <row r="11" spans="1:12" ht="15.75" x14ac:dyDescent="0.25">
      <c r="A11" s="157">
        <v>132</v>
      </c>
      <c r="B11" s="157" t="s">
        <v>41</v>
      </c>
      <c r="C11" s="157"/>
      <c r="D11" s="159">
        <f>+'BALANCE DE COMPROBACIÓN AC.'!E12</f>
        <v>410590.7</v>
      </c>
      <c r="E11" s="157"/>
      <c r="F11" s="157">
        <v>133</v>
      </c>
      <c r="G11" s="157" t="s">
        <v>180</v>
      </c>
      <c r="H11" s="157"/>
      <c r="I11" s="158">
        <f>+'BALANCE DE COMPROBACIÓN AC.'!E21</f>
        <v>410590.7</v>
      </c>
    </row>
    <row r="12" spans="1:12" ht="15.75" x14ac:dyDescent="0.25">
      <c r="A12" s="73"/>
      <c r="B12" s="73"/>
      <c r="C12" s="160" t="s">
        <v>43</v>
      </c>
      <c r="D12" s="161">
        <f>SUM(D9:D11)</f>
        <v>49499507.260000005</v>
      </c>
      <c r="E12" s="73"/>
      <c r="F12" s="157">
        <v>199</v>
      </c>
      <c r="G12" s="157" t="s">
        <v>42</v>
      </c>
      <c r="H12" s="157"/>
      <c r="I12" s="159">
        <f>+'BALANCE DE COMPROBACIÓN AC.'!E22</f>
        <v>46293800.88000001</v>
      </c>
    </row>
    <row r="13" spans="1:12" ht="15.75" x14ac:dyDescent="0.25">
      <c r="A13" s="73"/>
      <c r="B13" s="73"/>
      <c r="C13" s="160"/>
      <c r="D13" s="162"/>
      <c r="E13" s="73"/>
      <c r="F13" s="73"/>
      <c r="G13" s="73"/>
      <c r="H13" s="160" t="s">
        <v>43</v>
      </c>
      <c r="I13" s="161">
        <f>SUM(I9:I12)</f>
        <v>49499507.260000013</v>
      </c>
      <c r="K13" s="22"/>
    </row>
    <row r="14" spans="1:12" x14ac:dyDescent="0.25">
      <c r="A14" s="73"/>
      <c r="B14" s="73"/>
      <c r="C14" s="73"/>
      <c r="D14" s="74"/>
      <c r="E14" s="73"/>
      <c r="F14" s="73"/>
      <c r="G14" s="73"/>
      <c r="H14" s="73"/>
      <c r="I14" s="74"/>
      <c r="K14" s="22"/>
    </row>
    <row r="15" spans="1:12" ht="15.75" x14ac:dyDescent="0.25">
      <c r="A15" s="160"/>
      <c r="B15" s="270" t="s">
        <v>44</v>
      </c>
      <c r="C15" s="270"/>
      <c r="D15" s="270"/>
      <c r="E15" s="270"/>
      <c r="F15" s="270"/>
      <c r="G15" s="270"/>
      <c r="H15" s="270"/>
      <c r="I15" s="270"/>
    </row>
    <row r="16" spans="1:12" ht="15.75" x14ac:dyDescent="0.25">
      <c r="A16" s="157">
        <v>200</v>
      </c>
      <c r="B16" s="157" t="s">
        <v>45</v>
      </c>
      <c r="C16" s="157"/>
      <c r="D16" s="158">
        <f>+'BALANCE DE COMPROBACIÓN AC.'!E13</f>
        <v>46293800.88000001</v>
      </c>
      <c r="E16" s="157"/>
      <c r="F16" s="157">
        <v>203</v>
      </c>
      <c r="G16" s="157" t="s">
        <v>46</v>
      </c>
      <c r="H16" s="157"/>
      <c r="I16" s="158">
        <f>+'BALANCE DE COMPROBACIÓN AC.'!E23</f>
        <v>1092925.51</v>
      </c>
    </row>
    <row r="17" spans="1:13" ht="15.75" x14ac:dyDescent="0.25">
      <c r="A17" s="157">
        <v>212</v>
      </c>
      <c r="B17" s="157" t="s">
        <v>47</v>
      </c>
      <c r="C17" s="157"/>
      <c r="D17" s="158">
        <f>+'BALANCE DE COMPROBACIÓN AC.'!E14</f>
        <v>210</v>
      </c>
      <c r="E17" s="157"/>
      <c r="F17" s="157">
        <v>299</v>
      </c>
      <c r="G17" s="157" t="s">
        <v>48</v>
      </c>
      <c r="H17" s="157"/>
      <c r="I17" s="158">
        <f>+'BALANCE DE COMPROBACIÓN AC.'!E24</f>
        <v>1586825.8499999999</v>
      </c>
      <c r="K17" s="22">
        <f>+D10-D16</f>
        <v>2118123.5899999887</v>
      </c>
    </row>
    <row r="18" spans="1:13" ht="15.75" x14ac:dyDescent="0.25">
      <c r="A18" s="157">
        <v>214</v>
      </c>
      <c r="B18" s="157" t="s">
        <v>49</v>
      </c>
      <c r="C18" s="157"/>
      <c r="D18" s="158">
        <f>+'BALANCE DE COMPROBACIÓN AC.'!E15</f>
        <v>2382841.0799999996</v>
      </c>
      <c r="E18" s="157"/>
      <c r="F18" s="157"/>
      <c r="G18" s="157"/>
      <c r="H18" s="157"/>
      <c r="I18" s="158"/>
    </row>
    <row r="19" spans="1:13" ht="15.75" x14ac:dyDescent="0.25">
      <c r="A19" s="157"/>
      <c r="B19" s="272" t="s">
        <v>205</v>
      </c>
      <c r="C19" s="272"/>
      <c r="D19" s="158" t="e">
        <f>+#REF!</f>
        <v>#REF!</v>
      </c>
      <c r="E19" s="157"/>
      <c r="F19" s="157"/>
      <c r="G19" s="157"/>
      <c r="H19" s="157"/>
      <c r="I19" s="158"/>
    </row>
    <row r="20" spans="1:13" ht="15.75" x14ac:dyDescent="0.25">
      <c r="A20" s="157"/>
      <c r="B20" s="273" t="s">
        <v>204</v>
      </c>
      <c r="C20" s="273"/>
      <c r="D20" s="158" t="e">
        <f>+#REF!</f>
        <v>#REF!</v>
      </c>
      <c r="E20" s="157"/>
      <c r="F20" s="157"/>
      <c r="G20" s="157"/>
      <c r="H20" s="157"/>
      <c r="I20" s="158"/>
    </row>
    <row r="21" spans="1:13" ht="15.75" x14ac:dyDescent="0.25">
      <c r="A21" s="157">
        <v>216</v>
      </c>
      <c r="B21" s="157" t="s">
        <v>181</v>
      </c>
      <c r="C21" s="157"/>
      <c r="D21" s="158">
        <f>+'BALANCE DE COMPROBACIÓN AC.'!E16</f>
        <v>-117725.14</v>
      </c>
      <c r="E21" s="157"/>
      <c r="F21" s="157"/>
      <c r="G21" s="157"/>
      <c r="H21" s="157"/>
      <c r="I21" s="158"/>
    </row>
    <row r="22" spans="1:13" ht="15.75" x14ac:dyDescent="0.25">
      <c r="A22" s="73"/>
      <c r="B22" s="270" t="s">
        <v>50</v>
      </c>
      <c r="C22" s="270"/>
      <c r="D22" s="270"/>
      <c r="E22" s="270"/>
      <c r="F22" s="270"/>
      <c r="G22" s="270"/>
      <c r="H22" s="270"/>
      <c r="I22" s="270"/>
    </row>
    <row r="23" spans="1:13" ht="15.75" x14ac:dyDescent="0.25">
      <c r="A23" s="157">
        <v>300</v>
      </c>
      <c r="B23" s="157" t="s">
        <v>51</v>
      </c>
      <c r="C23" s="157"/>
      <c r="D23" s="159">
        <f>+'BALANCE DE COMPROBACIÓN AC.'!E17</f>
        <v>3692138.01</v>
      </c>
      <c r="E23" s="157"/>
      <c r="F23" s="157">
        <v>301</v>
      </c>
      <c r="G23" s="157" t="s">
        <v>14</v>
      </c>
      <c r="H23" s="157"/>
      <c r="I23" s="166">
        <f>+'BALANCE DE COMPROBACIÓN AC.'!E25</f>
        <v>49571513.469999999</v>
      </c>
      <c r="K23" s="22">
        <f>+I23-D23</f>
        <v>45879375.460000001</v>
      </c>
      <c r="L23" s="22"/>
    </row>
    <row r="24" spans="1:13" ht="15.75" x14ac:dyDescent="0.25">
      <c r="A24" s="73"/>
      <c r="B24" s="73"/>
      <c r="C24" s="160" t="s">
        <v>52</v>
      </c>
      <c r="D24" s="163">
        <f>D16+D17+D18+D21+D23</f>
        <v>52251264.830000006</v>
      </c>
      <c r="E24" s="73"/>
      <c r="F24" s="73"/>
      <c r="G24" s="73"/>
      <c r="H24" s="160" t="s">
        <v>52</v>
      </c>
      <c r="I24" s="161">
        <f>+I16+I17+I23</f>
        <v>52251264.829999998</v>
      </c>
      <c r="K24" s="22">
        <f>+D10-D16</f>
        <v>2118123.5899999887</v>
      </c>
      <c r="L24" s="22"/>
    </row>
    <row r="25" spans="1:13" ht="15.75" x14ac:dyDescent="0.25">
      <c r="A25" s="73"/>
      <c r="B25" s="73"/>
      <c r="C25" s="160"/>
      <c r="D25" s="164"/>
      <c r="E25" s="73"/>
      <c r="F25" s="73"/>
      <c r="G25" s="73"/>
      <c r="H25" s="160"/>
      <c r="I25" s="162"/>
      <c r="L25" s="22"/>
    </row>
    <row r="26" spans="1:13" ht="15.75" x14ac:dyDescent="0.25">
      <c r="A26" s="271" t="s">
        <v>83</v>
      </c>
      <c r="B26" s="271"/>
      <c r="C26" s="271"/>
      <c r="D26" s="271"/>
      <c r="E26" s="271"/>
      <c r="F26" s="271"/>
      <c r="G26" s="271"/>
      <c r="H26" s="271"/>
      <c r="I26" s="271"/>
      <c r="K26" s="22">
        <f>+D16-D10</f>
        <v>-2118123.5899999887</v>
      </c>
    </row>
    <row r="27" spans="1:13" ht="15.75" x14ac:dyDescent="0.25">
      <c r="A27" s="157"/>
      <c r="B27" s="157"/>
      <c r="C27" s="157"/>
      <c r="D27" s="158"/>
      <c r="E27" s="157"/>
      <c r="F27" s="157"/>
      <c r="G27" s="157"/>
      <c r="H27" s="165"/>
      <c r="I27" s="166"/>
    </row>
    <row r="28" spans="1:13" ht="15.75" x14ac:dyDescent="0.25">
      <c r="A28" s="165"/>
      <c r="B28" s="165"/>
      <c r="C28" s="165"/>
      <c r="D28" s="166"/>
      <c r="E28" s="165"/>
      <c r="F28" s="165"/>
      <c r="G28" s="165"/>
      <c r="H28" s="269"/>
      <c r="I28" s="269"/>
      <c r="M28">
        <v>5</v>
      </c>
    </row>
    <row r="29" spans="1:13" ht="15.75" x14ac:dyDescent="0.25">
      <c r="A29" s="269" t="s">
        <v>187</v>
      </c>
      <c r="B29" s="269"/>
      <c r="C29" s="269"/>
      <c r="D29" s="275"/>
      <c r="E29" s="275"/>
      <c r="F29" s="275"/>
      <c r="G29" s="275"/>
      <c r="H29" s="269"/>
      <c r="I29" s="269"/>
    </row>
    <row r="30" spans="1:13" ht="15.75" x14ac:dyDescent="0.25">
      <c r="A30" s="271" t="s">
        <v>133</v>
      </c>
      <c r="B30" s="271"/>
      <c r="C30" s="271"/>
      <c r="D30" s="271"/>
      <c r="E30" s="271"/>
      <c r="F30" s="271"/>
      <c r="G30" s="271"/>
      <c r="H30" s="271"/>
      <c r="I30" s="271"/>
    </row>
    <row r="31" spans="1:13" x14ac:dyDescent="0.25">
      <c r="A31" s="167"/>
      <c r="B31" s="167"/>
      <c r="C31" s="167"/>
      <c r="D31" s="73"/>
      <c r="E31" s="73"/>
      <c r="F31" s="73"/>
      <c r="G31" s="73"/>
      <c r="H31" s="168"/>
      <c r="I31" s="168"/>
    </row>
    <row r="32" spans="1:13" ht="15.75" x14ac:dyDescent="0.25">
      <c r="A32" s="169"/>
      <c r="B32" s="169"/>
      <c r="C32" s="169"/>
      <c r="D32" s="271" t="s">
        <v>84</v>
      </c>
      <c r="E32" s="271"/>
      <c r="F32" s="271"/>
      <c r="G32" s="271"/>
      <c r="H32" s="170"/>
      <c r="I32" s="170"/>
    </row>
    <row r="33" spans="1:9" ht="15.75" x14ac:dyDescent="0.25">
      <c r="A33" s="276"/>
      <c r="B33" s="276"/>
      <c r="C33" s="276"/>
      <c r="D33" s="157"/>
      <c r="E33" s="157"/>
      <c r="F33" s="157"/>
      <c r="G33" s="157"/>
      <c r="H33" s="170"/>
      <c r="I33" s="170"/>
    </row>
    <row r="34" spans="1:9" ht="15.75" x14ac:dyDescent="0.25">
      <c r="A34" s="275" t="s">
        <v>206</v>
      </c>
      <c r="B34" s="275"/>
      <c r="C34" s="275"/>
      <c r="D34" s="157"/>
      <c r="E34" s="157"/>
      <c r="F34" s="157"/>
      <c r="G34" s="157"/>
      <c r="H34" s="275" t="s">
        <v>207</v>
      </c>
      <c r="I34" s="275"/>
    </row>
    <row r="35" spans="1:9" ht="15.75" x14ac:dyDescent="0.25">
      <c r="A35" s="271" t="s">
        <v>188</v>
      </c>
      <c r="B35" s="271"/>
      <c r="C35" s="271"/>
      <c r="D35" s="157"/>
      <c r="E35" s="157"/>
      <c r="F35" s="157"/>
      <c r="G35" s="157"/>
      <c r="H35" s="274" t="s">
        <v>189</v>
      </c>
      <c r="I35" s="27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H29"/>
  <sheetViews>
    <sheetView workbookViewId="0"/>
  </sheetViews>
  <sheetFormatPr baseColWidth="10" defaultRowHeight="15" x14ac:dyDescent="0.25"/>
  <sheetData>
    <row r="1" spans="1:8" x14ac:dyDescent="0.25">
      <c r="A1" s="95" t="s">
        <v>86</v>
      </c>
      <c r="B1" s="96"/>
      <c r="C1" s="96"/>
      <c r="D1" s="96"/>
      <c r="E1" s="96"/>
      <c r="F1" s="96"/>
      <c r="G1" s="96"/>
      <c r="H1" s="97"/>
    </row>
    <row r="2" spans="1:8" x14ac:dyDescent="0.25">
      <c r="A2" s="98" t="s">
        <v>87</v>
      </c>
      <c r="B2" s="99"/>
      <c r="C2" s="99"/>
      <c r="D2" s="99"/>
      <c r="E2" s="99"/>
      <c r="F2" s="99"/>
      <c r="G2" s="131"/>
      <c r="H2" s="100"/>
    </row>
    <row r="3" spans="1:8" x14ac:dyDescent="0.25">
      <c r="A3" s="293" t="s">
        <v>88</v>
      </c>
      <c r="B3" s="294"/>
      <c r="C3" s="294"/>
      <c r="D3" s="294"/>
      <c r="E3" s="294"/>
      <c r="F3" s="294"/>
      <c r="G3" s="130"/>
      <c r="H3" s="100"/>
    </row>
    <row r="4" spans="1:8" x14ac:dyDescent="0.25">
      <c r="A4" s="293" t="s">
        <v>89</v>
      </c>
      <c r="B4" s="294"/>
      <c r="C4" s="294"/>
      <c r="D4" s="294"/>
      <c r="E4" s="294"/>
      <c r="F4" s="294"/>
      <c r="G4" s="130"/>
      <c r="H4" s="100"/>
    </row>
    <row r="5" spans="1:8" x14ac:dyDescent="0.25">
      <c r="A5" s="101" t="s">
        <v>90</v>
      </c>
      <c r="B5" s="102"/>
      <c r="C5" s="102"/>
      <c r="D5" s="102"/>
      <c r="E5" s="102"/>
      <c r="F5" s="102"/>
      <c r="G5" s="130"/>
      <c r="H5" s="103"/>
    </row>
    <row r="6" spans="1:8" x14ac:dyDescent="0.25">
      <c r="A6" s="295"/>
      <c r="B6" s="296"/>
      <c r="C6" s="296"/>
      <c r="D6" s="296"/>
      <c r="E6" s="99"/>
      <c r="F6" s="99"/>
      <c r="G6" s="130"/>
      <c r="H6" s="104"/>
    </row>
    <row r="7" spans="1:8" ht="90" x14ac:dyDescent="0.25">
      <c r="A7" s="297" t="s">
        <v>91</v>
      </c>
      <c r="B7" s="298"/>
      <c r="C7" s="298"/>
      <c r="D7" s="298"/>
      <c r="E7" s="299" t="s">
        <v>92</v>
      </c>
      <c r="F7" s="301" t="s">
        <v>93</v>
      </c>
      <c r="G7" s="130"/>
      <c r="H7" s="289" t="s">
        <v>94</v>
      </c>
    </row>
    <row r="8" spans="1:8" ht="38.25" x14ac:dyDescent="0.25">
      <c r="A8" s="105" t="s">
        <v>95</v>
      </c>
      <c r="B8" s="106" t="s">
        <v>96</v>
      </c>
      <c r="C8" s="106" t="s">
        <v>97</v>
      </c>
      <c r="D8" s="106" t="s">
        <v>98</v>
      </c>
      <c r="E8" s="300"/>
      <c r="F8" s="302"/>
      <c r="G8" s="130"/>
      <c r="H8" s="290"/>
    </row>
    <row r="9" spans="1:8" x14ac:dyDescent="0.25">
      <c r="A9" s="107" t="s">
        <v>99</v>
      </c>
      <c r="B9" s="108" t="s">
        <v>100</v>
      </c>
      <c r="C9" s="108" t="s">
        <v>100</v>
      </c>
      <c r="D9" s="109" t="s">
        <v>100</v>
      </c>
      <c r="E9" s="110" t="s">
        <v>101</v>
      </c>
      <c r="F9" s="111">
        <f>+F10</f>
        <v>39171408.82</v>
      </c>
      <c r="G9" s="130"/>
      <c r="H9" s="112"/>
    </row>
    <row r="10" spans="1:8" x14ac:dyDescent="0.25">
      <c r="A10" s="107" t="s">
        <v>102</v>
      </c>
      <c r="B10" s="108" t="s">
        <v>100</v>
      </c>
      <c r="C10" s="108" t="s">
        <v>100</v>
      </c>
      <c r="D10" s="109" t="s">
        <v>100</v>
      </c>
      <c r="E10" s="113" t="s">
        <v>14</v>
      </c>
      <c r="F10" s="114">
        <f>+F11+F14+F16+F22</f>
        <v>39171408.82</v>
      </c>
      <c r="G10" s="130"/>
      <c r="H10" s="112" t="e">
        <f>+H11+H14+H16+H22</f>
        <v>#REF!</v>
      </c>
    </row>
    <row r="11" spans="1:8" x14ac:dyDescent="0.25">
      <c r="A11" s="107" t="s">
        <v>102</v>
      </c>
      <c r="B11" s="108" t="s">
        <v>103</v>
      </c>
      <c r="C11" s="108" t="s">
        <v>100</v>
      </c>
      <c r="D11" s="109" t="s">
        <v>100</v>
      </c>
      <c r="E11" s="113" t="s">
        <v>104</v>
      </c>
      <c r="F11" s="115">
        <f>+F12+F13</f>
        <v>23500</v>
      </c>
      <c r="G11" s="130"/>
      <c r="H11" s="112">
        <f>+H12+H13</f>
        <v>24493.08</v>
      </c>
    </row>
    <row r="12" spans="1:8" x14ac:dyDescent="0.25">
      <c r="A12" s="116" t="s">
        <v>102</v>
      </c>
      <c r="B12" s="117" t="s">
        <v>103</v>
      </c>
      <c r="C12" s="117" t="s">
        <v>105</v>
      </c>
      <c r="D12" s="118" t="s">
        <v>106</v>
      </c>
      <c r="E12" s="119" t="s">
        <v>107</v>
      </c>
      <c r="F12" s="120">
        <v>2500</v>
      </c>
      <c r="G12" s="130"/>
      <c r="H12" s="121">
        <v>2543.08</v>
      </c>
    </row>
    <row r="13" spans="1:8" x14ac:dyDescent="0.25">
      <c r="A13" s="116" t="s">
        <v>102</v>
      </c>
      <c r="B13" s="117" t="s">
        <v>103</v>
      </c>
      <c r="C13" s="117" t="s">
        <v>108</v>
      </c>
      <c r="D13" s="118" t="s">
        <v>109</v>
      </c>
      <c r="E13" s="119" t="s">
        <v>110</v>
      </c>
      <c r="F13" s="120">
        <v>21000</v>
      </c>
      <c r="G13" s="130"/>
      <c r="H13" s="122">
        <v>21950</v>
      </c>
    </row>
    <row r="14" spans="1:8" x14ac:dyDescent="0.25">
      <c r="A14" s="107" t="s">
        <v>111</v>
      </c>
      <c r="B14" s="108" t="s">
        <v>112</v>
      </c>
      <c r="C14" s="108" t="s">
        <v>100</v>
      </c>
      <c r="D14" s="109" t="s">
        <v>100</v>
      </c>
      <c r="E14" s="113" t="s">
        <v>113</v>
      </c>
      <c r="F14" s="114">
        <f>+F15</f>
        <v>200000</v>
      </c>
      <c r="G14" s="130"/>
      <c r="H14" s="112">
        <f>+H15</f>
        <v>200000</v>
      </c>
    </row>
    <row r="15" spans="1:8" x14ac:dyDescent="0.25">
      <c r="A15" s="116" t="s">
        <v>114</v>
      </c>
      <c r="B15" s="117" t="s">
        <v>112</v>
      </c>
      <c r="C15" s="117" t="s">
        <v>106</v>
      </c>
      <c r="D15" s="118" t="s">
        <v>100</v>
      </c>
      <c r="E15" s="119" t="s">
        <v>115</v>
      </c>
      <c r="F15" s="120">
        <v>200000</v>
      </c>
      <c r="G15" s="130"/>
      <c r="H15" s="121">
        <v>200000</v>
      </c>
    </row>
    <row r="16" spans="1:8" x14ac:dyDescent="0.25">
      <c r="A16" s="107" t="s">
        <v>116</v>
      </c>
      <c r="B16" s="108" t="s">
        <v>100</v>
      </c>
      <c r="C16" s="108" t="s">
        <v>100</v>
      </c>
      <c r="D16" s="109" t="s">
        <v>100</v>
      </c>
      <c r="E16" s="113" t="s">
        <v>117</v>
      </c>
      <c r="F16" s="114">
        <f>+F17</f>
        <v>543680</v>
      </c>
      <c r="G16" s="130"/>
      <c r="H16" s="114" t="e">
        <f>+H17</f>
        <v>#REF!</v>
      </c>
    </row>
    <row r="17" spans="1:8" x14ac:dyDescent="0.25">
      <c r="A17" s="116" t="s">
        <v>116</v>
      </c>
      <c r="B17" s="117" t="s">
        <v>106</v>
      </c>
      <c r="C17" s="117" t="s">
        <v>118</v>
      </c>
      <c r="D17" s="118" t="s">
        <v>100</v>
      </c>
      <c r="E17" s="119" t="s">
        <v>119</v>
      </c>
      <c r="F17" s="120">
        <f>+F18+F19+F20+F21</f>
        <v>543680</v>
      </c>
      <c r="G17" s="130"/>
      <c r="H17" s="120" t="e">
        <f>+H18+H19+H20+H21+#REF!</f>
        <v>#REF!</v>
      </c>
    </row>
    <row r="18" spans="1:8" x14ac:dyDescent="0.25">
      <c r="A18" s="116"/>
      <c r="B18" s="117"/>
      <c r="C18" s="117"/>
      <c r="D18" s="118" t="s">
        <v>106</v>
      </c>
      <c r="E18" s="119" t="s">
        <v>120</v>
      </c>
      <c r="F18" s="120">
        <v>454140</v>
      </c>
      <c r="G18" s="130"/>
      <c r="H18" s="121">
        <v>279785</v>
      </c>
    </row>
    <row r="19" spans="1:8" x14ac:dyDescent="0.25">
      <c r="A19" s="116"/>
      <c r="B19" s="117"/>
      <c r="C19" s="117"/>
      <c r="D19" s="118" t="s">
        <v>118</v>
      </c>
      <c r="E19" s="119" t="s">
        <v>121</v>
      </c>
      <c r="F19" s="120">
        <v>87200</v>
      </c>
      <c r="G19" s="130"/>
      <c r="H19" s="120">
        <v>101650</v>
      </c>
    </row>
    <row r="20" spans="1:8" x14ac:dyDescent="0.25">
      <c r="A20" s="116"/>
      <c r="B20" s="117"/>
      <c r="C20" s="117"/>
      <c r="D20" s="118" t="s">
        <v>109</v>
      </c>
      <c r="E20" s="119" t="s">
        <v>122</v>
      </c>
      <c r="F20" s="120">
        <v>0</v>
      </c>
      <c r="G20" s="130"/>
      <c r="H20" s="120">
        <v>0</v>
      </c>
    </row>
    <row r="21" spans="1:8" x14ac:dyDescent="0.25">
      <c r="A21" s="116"/>
      <c r="B21" s="117"/>
      <c r="C21" s="117"/>
      <c r="D21" s="118" t="s">
        <v>105</v>
      </c>
      <c r="E21" s="119" t="s">
        <v>128</v>
      </c>
      <c r="F21" s="120">
        <v>2340</v>
      </c>
      <c r="G21" s="130"/>
      <c r="H21" s="120">
        <v>2065</v>
      </c>
    </row>
    <row r="22" spans="1:8" x14ac:dyDescent="0.25">
      <c r="A22" s="107" t="s">
        <v>123</v>
      </c>
      <c r="B22" s="108" t="s">
        <v>100</v>
      </c>
      <c r="C22" s="108" t="s">
        <v>100</v>
      </c>
      <c r="D22" s="109" t="s">
        <v>100</v>
      </c>
      <c r="E22" s="113" t="s">
        <v>124</v>
      </c>
      <c r="F22" s="114">
        <f>+F23</f>
        <v>38404228.82</v>
      </c>
      <c r="G22" s="130"/>
      <c r="H22" s="112">
        <f>+H23</f>
        <v>25343093</v>
      </c>
    </row>
    <row r="23" spans="1:8" ht="90" x14ac:dyDescent="0.25">
      <c r="A23" s="116" t="s">
        <v>123</v>
      </c>
      <c r="B23" s="117" t="s">
        <v>118</v>
      </c>
      <c r="C23" s="117" t="s">
        <v>109</v>
      </c>
      <c r="D23" s="118" t="s">
        <v>100</v>
      </c>
      <c r="E23" s="123" t="s">
        <v>125</v>
      </c>
      <c r="F23" s="114">
        <f>+F24+F25</f>
        <v>38404228.82</v>
      </c>
      <c r="G23" s="130"/>
      <c r="H23" s="124">
        <f>+H24</f>
        <v>25343093</v>
      </c>
    </row>
    <row r="24" spans="1:8" ht="120" x14ac:dyDescent="0.25">
      <c r="A24" s="116" t="s">
        <v>123</v>
      </c>
      <c r="B24" s="117" t="s">
        <v>118</v>
      </c>
      <c r="C24" s="117" t="s">
        <v>109</v>
      </c>
      <c r="D24" s="118" t="s">
        <v>109</v>
      </c>
      <c r="E24" s="125" t="s">
        <v>127</v>
      </c>
      <c r="F24" s="125">
        <v>38296922</v>
      </c>
      <c r="G24" s="130"/>
      <c r="H24" s="112">
        <v>25343093</v>
      </c>
    </row>
    <row r="25" spans="1:8" x14ac:dyDescent="0.25">
      <c r="A25" s="126"/>
      <c r="B25" s="117"/>
      <c r="C25" s="117"/>
      <c r="D25" s="127"/>
      <c r="E25" s="119" t="s">
        <v>131</v>
      </c>
      <c r="F25" s="125">
        <f>104041.82+3265</f>
        <v>107306.82</v>
      </c>
      <c r="G25" s="130"/>
      <c r="H25" s="121">
        <f>400000+500000+548602.3+1400000+51000000</f>
        <v>53848602.299999997</v>
      </c>
    </row>
    <row r="26" spans="1:8" x14ac:dyDescent="0.25">
      <c r="A26" s="291" t="s">
        <v>126</v>
      </c>
      <c r="B26" s="292"/>
      <c r="C26" s="292"/>
      <c r="D26" s="292"/>
      <c r="E26" s="292"/>
      <c r="F26" s="128">
        <f>+F9</f>
        <v>39171408.82</v>
      </c>
      <c r="G26" s="130"/>
      <c r="H26" s="129">
        <f>+H9</f>
        <v>0</v>
      </c>
    </row>
    <row r="27" spans="1:8" x14ac:dyDescent="0.25">
      <c r="G27" s="130"/>
    </row>
    <row r="28" spans="1:8" x14ac:dyDescent="0.25">
      <c r="A28" s="288" t="s">
        <v>130</v>
      </c>
      <c r="B28" s="288"/>
      <c r="C28" s="288"/>
      <c r="D28" s="109" t="s">
        <v>129</v>
      </c>
      <c r="E28" s="130" t="s">
        <v>132</v>
      </c>
      <c r="F28" s="111">
        <v>33260</v>
      </c>
      <c r="G28" s="130"/>
    </row>
    <row r="29" spans="1:8" x14ac:dyDescent="0.25">
      <c r="F29" s="13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view="pageBreakPreview" zoomScale="70" zoomScaleSheetLayoutView="70" workbookViewId="0">
      <selection activeCell="E23" sqref="E23"/>
    </sheetView>
  </sheetViews>
  <sheetFormatPr baseColWidth="10" defaultColWidth="11.42578125" defaultRowHeight="20.100000000000001" customHeight="1" x14ac:dyDescent="0.25"/>
  <cols>
    <col min="1" max="1" width="78" style="311" customWidth="1"/>
    <col min="2" max="2" width="70" style="311" customWidth="1"/>
    <col min="3" max="3" width="4" style="311" customWidth="1"/>
    <col min="4" max="4" width="17.7109375" style="311" customWidth="1"/>
    <col min="5" max="5" width="17.85546875" style="311" bestFit="1" customWidth="1"/>
    <col min="6" max="16384" width="11.42578125" style="311"/>
  </cols>
  <sheetData>
    <row r="1" spans="1:5" ht="20.100000000000001" customHeight="1" x14ac:dyDescent="0.25">
      <c r="A1" s="783"/>
      <c r="B1" s="784"/>
    </row>
    <row r="2" spans="1:5" ht="20.100000000000001" customHeight="1" x14ac:dyDescent="0.25">
      <c r="A2" s="783"/>
      <c r="B2" s="784"/>
    </row>
    <row r="3" spans="1:5" ht="29.25" customHeight="1" x14ac:dyDescent="0.25">
      <c r="A3" s="1627" t="str">
        <f>+'[15]132 F.T. NOVIEMBRE'!A3:B3</f>
        <v>REPÚBLICA BOLIVARIANA DE VENEZUELA</v>
      </c>
      <c r="B3" s="1628"/>
    </row>
    <row r="4" spans="1:5" ht="31.5" customHeight="1" x14ac:dyDescent="0.25">
      <c r="A4" s="1629" t="str">
        <f>+'[15]132 F.T. NOVIEMBRE'!A4:B4</f>
        <v>SERVICIO ADMINISTRATIVO DE PROTECCIÓN DEL NIÑO, NIÑA Y ADOLESCENTE DEL ESTADO TRUJILLO</v>
      </c>
      <c r="B4" s="1630"/>
    </row>
    <row r="5" spans="1:5" ht="33.75" customHeight="1" x14ac:dyDescent="0.25">
      <c r="A5" s="1627" t="str">
        <f>+'[15]132 F.T. NOVIEMBRE'!A5:B5</f>
        <v>DIRECCIÓN DE ADMINISTRACIÓN-UNIDAD DE CONTABILIDAD</v>
      </c>
      <c r="B5" s="1628"/>
    </row>
    <row r="6" spans="1:5" ht="27.75" customHeight="1" x14ac:dyDescent="0.25">
      <c r="A6" s="785"/>
      <c r="B6" s="786"/>
    </row>
    <row r="7" spans="1:5" ht="28.5" customHeight="1" x14ac:dyDescent="0.25">
      <c r="A7" s="1633" t="str">
        <f>+'[4]BALANCE GENERAL'!A5:I5</f>
        <v>BALANCE   GENERAL</v>
      </c>
      <c r="B7" s="1634"/>
    </row>
    <row r="8" spans="1:5" ht="25.5" customHeight="1" x14ac:dyDescent="0.25">
      <c r="A8" s="1635" t="s">
        <v>563</v>
      </c>
      <c r="B8" s="1632"/>
    </row>
    <row r="9" spans="1:5" ht="27" customHeight="1" x14ac:dyDescent="0.25">
      <c r="A9" s="1820" t="s">
        <v>501</v>
      </c>
      <c r="B9" s="1821"/>
    </row>
    <row r="10" spans="1:5" ht="15.75" customHeight="1" thickBot="1" x14ac:dyDescent="0.3">
      <c r="A10" s="1820"/>
      <c r="B10" s="1821"/>
    </row>
    <row r="11" spans="1:5" ht="12" hidden="1" customHeight="1" thickBot="1" x14ac:dyDescent="0.3">
      <c r="A11" s="717"/>
      <c r="B11" s="788"/>
    </row>
    <row r="12" spans="1:5" ht="36" customHeight="1" thickBot="1" x14ac:dyDescent="0.3">
      <c r="A12" s="345" t="s">
        <v>190</v>
      </c>
      <c r="B12" s="346" t="s">
        <v>71</v>
      </c>
    </row>
    <row r="13" spans="1:5" ht="41.1" customHeight="1" x14ac:dyDescent="0.25">
      <c r="A13" s="1577" t="s">
        <v>554</v>
      </c>
      <c r="B13" s="1549">
        <f>+MAYORES!N42</f>
        <v>45879375.460000008</v>
      </c>
    </row>
    <row r="14" spans="1:5" ht="51.95" customHeight="1" thickBot="1" x14ac:dyDescent="0.3">
      <c r="A14" s="1575" t="s">
        <v>27</v>
      </c>
      <c r="B14" s="1576">
        <f>+MAYORES!N83</f>
        <v>3692138.01</v>
      </c>
    </row>
    <row r="15" spans="1:5" ht="38.25" thickBot="1" x14ac:dyDescent="0.3">
      <c r="A15" s="798" t="s">
        <v>553</v>
      </c>
      <c r="B15" s="1541">
        <f>SUM(B13:B14)</f>
        <v>49571513.470000006</v>
      </c>
      <c r="D15" s="443">
        <f>+MAYORES!N157</f>
        <v>49571513.469999999</v>
      </c>
      <c r="E15" s="443">
        <f>+B15-D15</f>
        <v>0</v>
      </c>
    </row>
    <row r="16" spans="1:5" ht="50.1" customHeight="1" thickBot="1" x14ac:dyDescent="0.3">
      <c r="A16" s="1554"/>
      <c r="B16" s="1559"/>
    </row>
    <row r="17" spans="1:5" ht="50.1" customHeight="1" thickBot="1" x14ac:dyDescent="0.3">
      <c r="A17" s="1554"/>
      <c r="B17" s="1559"/>
      <c r="E17" s="443"/>
    </row>
    <row r="18" spans="1:5" ht="50.25" customHeight="1" thickBot="1" x14ac:dyDescent="0.3">
      <c r="A18" s="744"/>
      <c r="B18" s="802"/>
      <c r="E18" s="443"/>
    </row>
    <row r="19" spans="1:5" ht="47.25" customHeight="1" thickBot="1" x14ac:dyDescent="0.3">
      <c r="A19" s="744"/>
      <c r="B19" s="802"/>
      <c r="D19" s="443"/>
    </row>
    <row r="20" spans="1:5" ht="42" customHeight="1" thickBot="1" x14ac:dyDescent="0.3">
      <c r="A20" s="744"/>
      <c r="B20" s="724"/>
      <c r="D20" s="443"/>
    </row>
    <row r="21" spans="1:5" ht="38.25" customHeight="1" thickBot="1" x14ac:dyDescent="0.3">
      <c r="A21" s="1564" t="s">
        <v>552</v>
      </c>
      <c r="B21" s="1565">
        <f>+B15</f>
        <v>49571513.470000006</v>
      </c>
      <c r="D21" s="1566">
        <f>+MAYORES!N157</f>
        <v>49571513.469999999</v>
      </c>
    </row>
    <row r="22" spans="1:5" ht="100.5" customHeight="1" thickBot="1" x14ac:dyDescent="0.3">
      <c r="A22" s="717"/>
      <c r="B22" s="788"/>
    </row>
    <row r="23" spans="1:5" ht="26.25" customHeight="1" thickBot="1" x14ac:dyDescent="0.3">
      <c r="A23" s="745" t="s">
        <v>163</v>
      </c>
      <c r="B23" s="745" t="s">
        <v>293</v>
      </c>
    </row>
    <row r="24" spans="1:5" ht="20.100000000000001" customHeight="1" x14ac:dyDescent="0.25">
      <c r="A24" s="1625"/>
      <c r="B24" s="1625"/>
    </row>
    <row r="25" spans="1:5" ht="58.5" customHeight="1" thickBot="1" x14ac:dyDescent="0.3">
      <c r="A25" s="1626"/>
      <c r="B25" s="1626"/>
    </row>
    <row r="26" spans="1:5" ht="24.75" customHeight="1" thickBot="1" x14ac:dyDescent="0.3">
      <c r="A26" s="745" t="str">
        <f>+'[15]BALANCE GENERAL '!A39:C39</f>
        <v xml:space="preserve">LCDO. ALEXANDER BRICEÑO </v>
      </c>
      <c r="B26" s="745" t="str">
        <f>+'[15]132 F.T. NOVIEMBRE'!B30</f>
        <v>LCDA. MIRIAN MENDOZA</v>
      </c>
    </row>
    <row r="27" spans="1:5" ht="29.25" customHeight="1" thickBot="1" x14ac:dyDescent="0.3">
      <c r="A27" s="745" t="str">
        <f>+'[15]132 F.T. NOVIEMBRE'!A31</f>
        <v>ADMINISTRADOR I</v>
      </c>
      <c r="B27" s="745" t="str">
        <f>+'[15]132 F.T. NOVIEMBRE'!B31</f>
        <v>JEFA (E) DE DIRECCIÓN DE ADMINISTRACIÓN</v>
      </c>
    </row>
    <row r="28" spans="1:5" ht="20.100000000000001" customHeight="1" x14ac:dyDescent="0.25">
      <c r="B28" s="443" t="s">
        <v>551</v>
      </c>
    </row>
    <row r="29" spans="1:5" ht="20.100000000000001" customHeight="1" x14ac:dyDescent="0.25">
      <c r="B29" s="443"/>
    </row>
    <row r="30" spans="1:5" ht="20.100000000000001" customHeight="1" x14ac:dyDescent="0.25">
      <c r="B30" s="443"/>
    </row>
    <row r="33" spans="2:2" ht="20.100000000000001" customHeight="1" x14ac:dyDescent="0.25">
      <c r="B33" s="443"/>
    </row>
  </sheetData>
  <mergeCells count="9">
    <mergeCell ref="A10:B10"/>
    <mergeCell ref="A24:A25"/>
    <mergeCell ref="B24:B25"/>
    <mergeCell ref="A3:B3"/>
    <mergeCell ref="A4:B4"/>
    <mergeCell ref="A5:B5"/>
    <mergeCell ref="A7:B7"/>
    <mergeCell ref="A8:B8"/>
    <mergeCell ref="A9:B9"/>
  </mergeCells>
  <printOptions horizontalCentered="1"/>
  <pageMargins left="0.59055118110236227" right="0.59055118110236227" top="0.59055118110236227" bottom="0.39370078740157483" header="0.31496062992125984" footer="0.31496062992125984"/>
  <pageSetup scale="60" orientation="portrait"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8</vt:i4>
      </vt:variant>
    </vt:vector>
  </HeadingPairs>
  <TitlesOfParts>
    <vt:vector size="29" baseType="lpstr">
      <vt:lpstr>Blc. acu</vt:lpstr>
      <vt:lpstr>Bl d C ac</vt:lpstr>
      <vt:lpstr>Gtos</vt:lpstr>
      <vt:lpstr>ENERO</vt:lpstr>
      <vt:lpstr>102 TESORERIA APERTURA</vt:lpstr>
      <vt:lpstr>ASIENTOS DE APERTURA </vt:lpstr>
      <vt:lpstr>ASIENTOS  </vt:lpstr>
      <vt:lpstr>MAYORES</vt:lpstr>
      <vt:lpstr>BALANCE DE COMPROBACIÓN</vt:lpstr>
      <vt:lpstr>BALANCE GENERAL </vt:lpstr>
      <vt:lpstr>102 TES ENERO</vt:lpstr>
      <vt:lpstr>132 F.T. ENERO</vt:lpstr>
      <vt:lpstr>214 BM ENERO</vt:lpstr>
      <vt:lpstr>216 PA ENERO</vt:lpstr>
      <vt:lpstr>122 INGRESOS POR RECAUDA ENERO</vt:lpstr>
      <vt:lpstr>BAL. AC. </vt:lpstr>
      <vt:lpstr>BALANCE DE COMPROBACIÓN AC.</vt:lpstr>
      <vt:lpstr>BALANCE GENERAL AC.</vt:lpstr>
      <vt:lpstr>Hoja1</vt:lpstr>
      <vt:lpstr>301 INGRESOS ORDINARIO ENERO</vt:lpstr>
      <vt:lpstr>Hoja2</vt:lpstr>
      <vt:lpstr>'102 TES ENERO'!Área_de_impresión</vt:lpstr>
      <vt:lpstr>'102 TESORERIA APERTURA'!Área_de_impresión</vt:lpstr>
      <vt:lpstr>'122 INGRESOS POR RECAUDA ENERO'!Área_de_impresión</vt:lpstr>
      <vt:lpstr>'132 F.T. ENERO'!Área_de_impresión</vt:lpstr>
      <vt:lpstr>'214 BM ENERO'!Área_de_impresión</vt:lpstr>
      <vt:lpstr>'301 INGRESOS ORDINARIO ENERO'!Área_de_impresión</vt:lpstr>
      <vt:lpstr>'BALANCE DE COMPROBACIÓN'!Área_de_impresión</vt:lpstr>
      <vt:lpstr>MAYORES!Área_de_impresión</vt:lpstr>
    </vt:vector>
  </TitlesOfParts>
  <Company>WWW.WCPCGAMES.COM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XP 2011</dc:creator>
  <cp:lastModifiedBy>PERSONAL</cp:lastModifiedBy>
  <cp:lastPrinted>2025-04-30T14:25:55Z</cp:lastPrinted>
  <dcterms:created xsi:type="dcterms:W3CDTF">2013-03-14T19:24:38Z</dcterms:created>
  <dcterms:modified xsi:type="dcterms:W3CDTF">2025-07-29T16:36:43Z</dcterms:modified>
</cp:coreProperties>
</file>