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 Leyva\Documents\Otros Archivos\Portafolio\"/>
    </mc:Choice>
  </mc:AlternateContent>
  <xr:revisionPtr revIDLastSave="0" documentId="13_ncr:1_{96269C12-B882-4DA8-839B-415BA7046238}" xr6:coauthVersionLast="47" xr6:coauthVersionMax="47" xr10:uidLastSave="{00000000-0000-0000-0000-000000000000}"/>
  <bookViews>
    <workbookView xWindow="-108" yWindow="-108" windowWidth="23256" windowHeight="12456" xr2:uid="{0F8B48AC-162D-4635-B0B8-BC528D470112}"/>
  </bookViews>
  <sheets>
    <sheet name="Ejercicio 1 (Prima)" sheetId="1" r:id="rId1"/>
    <sheet name="Ejercicio 1 (Reserva)" sheetId="3" r:id="rId2"/>
    <sheet name="Ejercicio 2 (Prima)" sheetId="2" r:id="rId3"/>
    <sheet name="Ejercicio 2 (Reserva)" sheetId="4" r:id="rId4"/>
  </sheets>
  <definedNames>
    <definedName name="pension">'Ejercicio 1 (Prima)'!$Q$14</definedName>
    <definedName name="prima1">'Ejercicio 1 (Prima)'!$Q$14</definedName>
    <definedName name="prima2">'Ejercicio 2 (Prima)'!$Q$15</definedName>
    <definedName name="tasa1">'Ejercicio 1 (Prima)'!$Q$2</definedName>
    <definedName name="tasa2">'Ejercicio 2 (Prima)'!$Q$2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4" l="1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H25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Q14" i="1"/>
  <c r="Q11" i="1"/>
  <c r="Q10" i="1"/>
  <c r="D4" i="3" l="1"/>
  <c r="E4" i="3" s="1"/>
  <c r="D5" i="3" l="1"/>
  <c r="D25" i="3"/>
  <c r="G8" i="4" l="1"/>
  <c r="G9" i="4"/>
  <c r="Q8" i="1"/>
  <c r="G11" i="3" l="1"/>
  <c r="G12" i="3"/>
  <c r="G13" i="3"/>
  <c r="G14" i="3"/>
  <c r="G15" i="3"/>
  <c r="G16" i="3"/>
  <c r="G17" i="3"/>
  <c r="G18" i="3"/>
  <c r="G19" i="3"/>
  <c r="G20" i="3"/>
  <c r="G21" i="3"/>
  <c r="G22" i="3"/>
  <c r="G23" i="3"/>
  <c r="G5" i="3"/>
  <c r="G6" i="3"/>
  <c r="G7" i="3"/>
  <c r="G8" i="3"/>
  <c r="G9" i="3"/>
  <c r="G10" i="3"/>
  <c r="G4" i="3"/>
  <c r="E3" i="3"/>
  <c r="F3" i="3" s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4" i="1"/>
  <c r="Q17" i="4" l="1"/>
  <c r="D17" i="4" l="1"/>
  <c r="L17" i="4"/>
  <c r="K18" i="4" l="1"/>
  <c r="K19" i="4" s="1"/>
  <c r="K20" i="4" l="1"/>
  <c r="L19" i="4"/>
  <c r="Q19" i="4"/>
  <c r="L18" i="4"/>
  <c r="Q18" i="4"/>
  <c r="K21" i="4" l="1"/>
  <c r="L20" i="4"/>
  <c r="P22" i="4" s="1" a="1"/>
  <c r="P22" i="4" s="1"/>
  <c r="Q20" i="4"/>
  <c r="M7" i="4"/>
  <c r="R20" i="4" l="1"/>
  <c r="K22" i="4"/>
  <c r="R21" i="4"/>
  <c r="L21" i="4"/>
  <c r="Q21" i="4"/>
  <c r="P24" i="4" a="1"/>
  <c r="P24" i="4" s="1"/>
  <c r="R19" i="4"/>
  <c r="R18" i="4"/>
  <c r="R17" i="4"/>
  <c r="P23" i="4" a="1"/>
  <c r="P23" i="4" s="1"/>
  <c r="M8" i="4"/>
  <c r="F38" i="4"/>
  <c r="G38" i="4" s="1"/>
  <c r="F37" i="4"/>
  <c r="G37" i="4" s="1"/>
  <c r="F36" i="4"/>
  <c r="G36" i="4" s="1"/>
  <c r="F35" i="4"/>
  <c r="G35" i="4" s="1"/>
  <c r="F34" i="4"/>
  <c r="G34" i="4" s="1"/>
  <c r="F33" i="4"/>
  <c r="G33" i="4" s="1"/>
  <c r="F32" i="4"/>
  <c r="G32" i="4" s="1"/>
  <c r="D32" i="4"/>
  <c r="D33" i="4" s="1"/>
  <c r="D34" i="4" s="1"/>
  <c r="D35" i="4" s="1"/>
  <c r="D36" i="4" s="1"/>
  <c r="D37" i="4" s="1"/>
  <c r="D38" i="4" s="1"/>
  <c r="D39" i="4" s="1"/>
  <c r="F31" i="4"/>
  <c r="G31" i="4" s="1"/>
  <c r="G7" i="4"/>
  <c r="D22" i="4"/>
  <c r="G10" i="4"/>
  <c r="L3" i="2"/>
  <c r="F3" i="2"/>
  <c r="G11" i="4"/>
  <c r="K23" i="4" l="1"/>
  <c r="L22" i="4"/>
  <c r="R22" i="4"/>
  <c r="Q22" i="4"/>
  <c r="M9" i="4"/>
  <c r="E22" i="4"/>
  <c r="F22" i="4" s="1"/>
  <c r="D18" i="4"/>
  <c r="E18" i="4" s="1"/>
  <c r="F18" i="4" s="1"/>
  <c r="D19" i="4"/>
  <c r="E19" i="4" s="1"/>
  <c r="F19" i="4" s="1"/>
  <c r="D20" i="4"/>
  <c r="E20" i="4" s="1"/>
  <c r="F20" i="4" s="1"/>
  <c r="D21" i="4"/>
  <c r="E21" i="4" s="1"/>
  <c r="F21" i="4" s="1"/>
  <c r="D23" i="4"/>
  <c r="E23" i="4" s="1"/>
  <c r="F23" i="4" s="1"/>
  <c r="D24" i="4"/>
  <c r="E24" i="4" s="1"/>
  <c r="F24" i="4" s="1"/>
  <c r="E17" i="4"/>
  <c r="F17" i="4" s="1"/>
  <c r="B18" i="4"/>
  <c r="B19" i="4" s="1"/>
  <c r="B20" i="4" s="1"/>
  <c r="B21" i="4" s="1"/>
  <c r="B22" i="4" s="1"/>
  <c r="B23" i="4" s="1"/>
  <c r="B24" i="4" s="1"/>
  <c r="B25" i="4" s="1"/>
  <c r="G4" i="4"/>
  <c r="G5" i="4"/>
  <c r="G6" i="4"/>
  <c r="R23" i="4" l="1"/>
  <c r="L23" i="4"/>
  <c r="K24" i="4"/>
  <c r="M10" i="4"/>
  <c r="B5" i="4"/>
  <c r="B6" i="4" s="1"/>
  <c r="B7" i="4" s="1"/>
  <c r="B8" i="4" s="1"/>
  <c r="B9" i="4" s="1"/>
  <c r="B10" i="4" s="1"/>
  <c r="B11" i="4" s="1"/>
  <c r="B12" i="4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K25" i="4" l="1"/>
  <c r="L25" i="4" s="1"/>
  <c r="R24" i="4"/>
  <c r="L24" i="4"/>
  <c r="M11" i="4"/>
  <c r="M5" i="2"/>
  <c r="M6" i="2"/>
  <c r="M10" i="2"/>
  <c r="M11" i="2"/>
  <c r="L4" i="2"/>
  <c r="M3" i="2" s="1"/>
  <c r="L5" i="2"/>
  <c r="L6" i="2"/>
  <c r="L7" i="2"/>
  <c r="L8" i="2"/>
  <c r="M8" i="2" s="1"/>
  <c r="L9" i="2"/>
  <c r="M9" i="2" s="1"/>
  <c r="L10" i="2"/>
  <c r="L11" i="2"/>
  <c r="L12" i="2"/>
  <c r="M12" i="2" s="1"/>
  <c r="L13" i="2"/>
  <c r="K4" i="2"/>
  <c r="N4" i="2" s="1"/>
  <c r="K3" i="2"/>
  <c r="N3" i="2" s="1"/>
  <c r="J4" i="2"/>
  <c r="J5" i="2" s="1"/>
  <c r="J6" i="2" s="1"/>
  <c r="J7" i="2" s="1"/>
  <c r="J8" i="2" s="1"/>
  <c r="J9" i="2" s="1"/>
  <c r="J10" i="2" s="1"/>
  <c r="J11" i="2" s="1"/>
  <c r="J12" i="2" s="1"/>
  <c r="J13" i="2" s="1"/>
  <c r="M4" i="2" l="1"/>
  <c r="K5" i="2"/>
  <c r="M7" i="2"/>
  <c r="F4" i="2"/>
  <c r="F5" i="2"/>
  <c r="P5" i="4" s="1"/>
  <c r="F6" i="2"/>
  <c r="P6" i="4" s="1"/>
  <c r="F7" i="2"/>
  <c r="F8" i="2"/>
  <c r="F9" i="2"/>
  <c r="P9" i="4" s="1"/>
  <c r="F10" i="2"/>
  <c r="F11" i="2"/>
  <c r="P11" i="4" s="1"/>
  <c r="F12" i="2"/>
  <c r="F13" i="2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E3" i="2"/>
  <c r="H3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N3" i="1"/>
  <c r="M3" i="1"/>
  <c r="K5" i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L4" i="1"/>
  <c r="L5" i="1" s="1"/>
  <c r="K4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P8" i="4" l="1"/>
  <c r="G10" i="2"/>
  <c r="P10" i="4"/>
  <c r="G7" i="2"/>
  <c r="P7" i="4"/>
  <c r="K6" i="2"/>
  <c r="N5" i="2"/>
  <c r="P4" i="4"/>
  <c r="G3" i="2"/>
  <c r="N5" i="1"/>
  <c r="L6" i="1"/>
  <c r="N4" i="1"/>
  <c r="G4" i="2"/>
  <c r="G11" i="2"/>
  <c r="G8" i="2"/>
  <c r="G5" i="2"/>
  <c r="G6" i="2"/>
  <c r="G12" i="2"/>
  <c r="G9" i="2"/>
  <c r="E4" i="2"/>
  <c r="G50" i="1"/>
  <c r="G38" i="1"/>
  <c r="G9" i="1"/>
  <c r="G6" i="1"/>
  <c r="G29" i="1"/>
  <c r="G17" i="1"/>
  <c r="G5" i="1"/>
  <c r="G73" i="1"/>
  <c r="G61" i="1"/>
  <c r="G49" i="1"/>
  <c r="G25" i="1"/>
  <c r="G13" i="1"/>
  <c r="G37" i="1"/>
  <c r="G81" i="1"/>
  <c r="G33" i="1"/>
  <c r="G55" i="1"/>
  <c r="G43" i="1"/>
  <c r="G31" i="1"/>
  <c r="G19" i="1"/>
  <c r="G7" i="1"/>
  <c r="G69" i="1"/>
  <c r="G57" i="1"/>
  <c r="G45" i="1"/>
  <c r="G21" i="1"/>
  <c r="G79" i="1"/>
  <c r="G67" i="1"/>
  <c r="G78" i="1"/>
  <c r="G30" i="1"/>
  <c r="G74" i="1"/>
  <c r="G62" i="1"/>
  <c r="G26" i="1"/>
  <c r="G14" i="1"/>
  <c r="G60" i="1"/>
  <c r="G80" i="1"/>
  <c r="G68" i="1"/>
  <c r="G56" i="1"/>
  <c r="G44" i="1"/>
  <c r="G32" i="1"/>
  <c r="G20" i="1"/>
  <c r="G8" i="1"/>
  <c r="G54" i="1"/>
  <c r="G42" i="1"/>
  <c r="G18" i="1"/>
  <c r="G53" i="1"/>
  <c r="G77" i="1"/>
  <c r="G41" i="1"/>
  <c r="G64" i="1"/>
  <c r="G28" i="1"/>
  <c r="G4" i="1"/>
  <c r="G75" i="1"/>
  <c r="G63" i="1"/>
  <c r="G51" i="1"/>
  <c r="G39" i="1"/>
  <c r="G27" i="1"/>
  <c r="G15" i="1"/>
  <c r="G66" i="1"/>
  <c r="G65" i="1"/>
  <c r="G76" i="1"/>
  <c r="G52" i="1"/>
  <c r="G40" i="1"/>
  <c r="G16" i="1"/>
  <c r="G12" i="1"/>
  <c r="G72" i="1"/>
  <c r="G59" i="1"/>
  <c r="G23" i="1"/>
  <c r="G11" i="1"/>
  <c r="G84" i="1"/>
  <c r="G48" i="1"/>
  <c r="G36" i="1"/>
  <c r="G24" i="1"/>
  <c r="G83" i="1"/>
  <c r="G71" i="1"/>
  <c r="G47" i="1"/>
  <c r="G35" i="1"/>
  <c r="G82" i="1"/>
  <c r="G70" i="1"/>
  <c r="G58" i="1"/>
  <c r="G46" i="1"/>
  <c r="G34" i="1"/>
  <c r="G22" i="1"/>
  <c r="G10" i="1"/>
  <c r="G3" i="1"/>
  <c r="O4" i="4" l="1"/>
  <c r="N6" i="2"/>
  <c r="Q11" i="2" s="1"/>
  <c r="K7" i="2"/>
  <c r="L7" i="1"/>
  <c r="N6" i="1"/>
  <c r="H4" i="2"/>
  <c r="E5" i="2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E3" i="1"/>
  <c r="H3" i="1" s="1"/>
  <c r="Q10" i="2" l="1"/>
  <c r="N7" i="2"/>
  <c r="K8" i="2"/>
  <c r="O5" i="4"/>
  <c r="L8" i="1"/>
  <c r="N7" i="1"/>
  <c r="H5" i="2"/>
  <c r="E6" i="2"/>
  <c r="E4" i="1"/>
  <c r="K9" i="2" l="1"/>
  <c r="N8" i="2"/>
  <c r="P17" i="4" a="1"/>
  <c r="P17" i="4" s="1"/>
  <c r="P18" i="4" a="1"/>
  <c r="P18" i="4" s="1"/>
  <c r="P20" i="4" a="1"/>
  <c r="P20" i="4" s="1"/>
  <c r="P19" i="4" a="1"/>
  <c r="P19" i="4" s="1"/>
  <c r="P21" i="4" a="1"/>
  <c r="P21" i="4" s="1"/>
  <c r="L9" i="1"/>
  <c r="N8" i="1"/>
  <c r="H6" i="2"/>
  <c r="E7" i="2"/>
  <c r="H4" i="1"/>
  <c r="E5" i="1"/>
  <c r="K10" i="2" l="1"/>
  <c r="N9" i="2"/>
  <c r="O6" i="4"/>
  <c r="L10" i="1"/>
  <c r="N9" i="1"/>
  <c r="E8" i="2"/>
  <c r="H7" i="2"/>
  <c r="O7" i="4" s="1"/>
  <c r="E6" i="1"/>
  <c r="H5" i="1"/>
  <c r="K11" i="2" l="1"/>
  <c r="N10" i="2"/>
  <c r="L11" i="1"/>
  <c r="N10" i="1"/>
  <c r="E9" i="2"/>
  <c r="H8" i="2"/>
  <c r="Q7" i="2" s="1"/>
  <c r="E7" i="1"/>
  <c r="H6" i="1"/>
  <c r="O8" i="4" l="1"/>
  <c r="Q6" i="2"/>
  <c r="K12" i="2"/>
  <c r="N11" i="2"/>
  <c r="L12" i="1"/>
  <c r="N11" i="1"/>
  <c r="Q8" i="2"/>
  <c r="Q13" i="2" s="1"/>
  <c r="E10" i="2"/>
  <c r="H9" i="2"/>
  <c r="E8" i="1"/>
  <c r="H7" i="1"/>
  <c r="K13" i="2" l="1"/>
  <c r="N13" i="2" s="1"/>
  <c r="N12" i="2"/>
  <c r="O9" i="4"/>
  <c r="L13" i="1"/>
  <c r="N12" i="1"/>
  <c r="E11" i="2"/>
  <c r="H10" i="2"/>
  <c r="Q4" i="2" s="1"/>
  <c r="Q15" i="2" s="1"/>
  <c r="E9" i="1"/>
  <c r="H8" i="1"/>
  <c r="H37" i="4" l="1"/>
  <c r="H36" i="4" s="1"/>
  <c r="H35" i="4" s="1"/>
  <c r="H34" i="4" s="1"/>
  <c r="S17" i="4"/>
  <c r="O11" i="4"/>
  <c r="O10" i="4"/>
  <c r="L14" i="1"/>
  <c r="N13" i="1"/>
  <c r="O23" i="4"/>
  <c r="S23" i="4" s="1"/>
  <c r="O21" i="4"/>
  <c r="S21" i="4" s="1"/>
  <c r="O24" i="4"/>
  <c r="S24" i="4" s="1"/>
  <c r="O20" i="4"/>
  <c r="S20" i="4" s="1"/>
  <c r="O18" i="4"/>
  <c r="S18" i="4" s="1"/>
  <c r="N6" i="4"/>
  <c r="Q6" i="4" s="1"/>
  <c r="O19" i="4"/>
  <c r="S19" i="4" s="1"/>
  <c r="O22" i="4"/>
  <c r="S22" i="4" s="1"/>
  <c r="N10" i="4"/>
  <c r="N11" i="4"/>
  <c r="N7" i="4"/>
  <c r="Q7" i="4" s="1"/>
  <c r="N8" i="4"/>
  <c r="Q8" i="4" s="1"/>
  <c r="N5" i="4"/>
  <c r="Q5" i="4" s="1"/>
  <c r="G17" i="4"/>
  <c r="H17" i="4" s="1"/>
  <c r="I17" i="4" s="1"/>
  <c r="N4" i="4"/>
  <c r="Q4" i="4" s="1"/>
  <c r="N9" i="4"/>
  <c r="Q9" i="4" s="1"/>
  <c r="G21" i="4"/>
  <c r="H21" i="4" s="1"/>
  <c r="G24" i="4"/>
  <c r="H24" i="4" s="1"/>
  <c r="G18" i="4"/>
  <c r="H18" i="4" s="1"/>
  <c r="G19" i="4"/>
  <c r="H19" i="4" s="1"/>
  <c r="G22" i="4"/>
  <c r="H22" i="4" s="1"/>
  <c r="G20" i="4"/>
  <c r="H20" i="4" s="1"/>
  <c r="G23" i="4"/>
  <c r="H23" i="4" s="1"/>
  <c r="D10" i="4"/>
  <c r="D11" i="4"/>
  <c r="D5" i="4"/>
  <c r="D7" i="4"/>
  <c r="D4" i="4"/>
  <c r="E4" i="4" s="1"/>
  <c r="D6" i="4"/>
  <c r="D8" i="4"/>
  <c r="D9" i="4"/>
  <c r="E12" i="2"/>
  <c r="H11" i="2"/>
  <c r="E10" i="1"/>
  <c r="H9" i="1"/>
  <c r="Q11" i="4" l="1"/>
  <c r="Q10" i="4"/>
  <c r="H33" i="4"/>
  <c r="H32" i="4" s="1"/>
  <c r="H31" i="4" s="1"/>
  <c r="L15" i="1"/>
  <c r="N14" i="1"/>
  <c r="I18" i="4"/>
  <c r="I19" i="4" s="1"/>
  <c r="I20" i="4" s="1"/>
  <c r="I21" i="4" s="1"/>
  <c r="F4" i="4"/>
  <c r="H4" i="4" s="1"/>
  <c r="E5" i="4" s="1"/>
  <c r="H12" i="2"/>
  <c r="E13" i="2"/>
  <c r="E11" i="1"/>
  <c r="H10" i="1"/>
  <c r="L16" i="1" l="1"/>
  <c r="N15" i="1"/>
  <c r="I22" i="4"/>
  <c r="I23" i="4" s="1"/>
  <c r="I4" i="4"/>
  <c r="F5" i="4"/>
  <c r="H5" i="4" s="1"/>
  <c r="H13" i="2"/>
  <c r="E12" i="1"/>
  <c r="H11" i="1"/>
  <c r="L17" i="1" l="1"/>
  <c r="N16" i="1"/>
  <c r="I24" i="4"/>
  <c r="I5" i="4"/>
  <c r="E6" i="4"/>
  <c r="F6" i="4" s="1"/>
  <c r="H6" i="4" s="1"/>
  <c r="E13" i="1"/>
  <c r="H12" i="1"/>
  <c r="L18" i="1" l="1"/>
  <c r="N17" i="1"/>
  <c r="I6" i="4"/>
  <c r="E7" i="4"/>
  <c r="F7" i="4" s="1"/>
  <c r="H7" i="4" s="1"/>
  <c r="E14" i="1"/>
  <c r="H13" i="1"/>
  <c r="L19" i="1" l="1"/>
  <c r="N18" i="1"/>
  <c r="I7" i="4"/>
  <c r="E8" i="4"/>
  <c r="F8" i="4" s="1"/>
  <c r="H8" i="4" s="1"/>
  <c r="E15" i="1"/>
  <c r="H14" i="1"/>
  <c r="L20" i="1" l="1"/>
  <c r="N19" i="1"/>
  <c r="I8" i="4"/>
  <c r="E9" i="4"/>
  <c r="E16" i="1"/>
  <c r="H15" i="1"/>
  <c r="L21" i="1" l="1"/>
  <c r="N20" i="1"/>
  <c r="F9" i="4"/>
  <c r="H9" i="4" s="1"/>
  <c r="E17" i="1"/>
  <c r="H16" i="1"/>
  <c r="L22" i="1" l="1"/>
  <c r="N21" i="1"/>
  <c r="I9" i="4"/>
  <c r="E10" i="4"/>
  <c r="E18" i="1"/>
  <c r="H17" i="1"/>
  <c r="L23" i="1" l="1"/>
  <c r="N22" i="1"/>
  <c r="F10" i="4"/>
  <c r="H10" i="4" s="1"/>
  <c r="E19" i="1"/>
  <c r="H18" i="1"/>
  <c r="L24" i="1" l="1"/>
  <c r="N23" i="1"/>
  <c r="I10" i="4"/>
  <c r="E11" i="4"/>
  <c r="F11" i="4" s="1"/>
  <c r="H11" i="4" s="1"/>
  <c r="I11" i="4" s="1"/>
  <c r="E20" i="1"/>
  <c r="H19" i="1"/>
  <c r="L25" i="1" l="1"/>
  <c r="N24" i="1"/>
  <c r="E21" i="1"/>
  <c r="H20" i="1"/>
  <c r="L26" i="1" l="1"/>
  <c r="N25" i="1"/>
  <c r="E22" i="1"/>
  <c r="H21" i="1"/>
  <c r="L27" i="1" l="1"/>
  <c r="N26" i="1"/>
  <c r="E23" i="1"/>
  <c r="H22" i="1"/>
  <c r="L28" i="1" l="1"/>
  <c r="N27" i="1"/>
  <c r="E24" i="1"/>
  <c r="H23" i="1"/>
  <c r="L29" i="1" l="1"/>
  <c r="N28" i="1"/>
  <c r="E25" i="1"/>
  <c r="H24" i="1"/>
  <c r="Q12" i="1" s="1"/>
  <c r="L30" i="1" l="1"/>
  <c r="N29" i="1"/>
  <c r="E26" i="1"/>
  <c r="H25" i="1"/>
  <c r="L31" i="1" l="1"/>
  <c r="N30" i="1"/>
  <c r="E27" i="1"/>
  <c r="H26" i="1"/>
  <c r="L32" i="1" l="1"/>
  <c r="N31" i="1"/>
  <c r="E28" i="1"/>
  <c r="H27" i="1"/>
  <c r="L33" i="1" l="1"/>
  <c r="N32" i="1"/>
  <c r="E29" i="1"/>
  <c r="H28" i="1"/>
  <c r="L34" i="1" l="1"/>
  <c r="N33" i="1"/>
  <c r="E30" i="1"/>
  <c r="H29" i="1"/>
  <c r="L35" i="1" l="1"/>
  <c r="N34" i="1"/>
  <c r="E31" i="1"/>
  <c r="H30" i="1"/>
  <c r="L36" i="1" l="1"/>
  <c r="N35" i="1"/>
  <c r="E32" i="1"/>
  <c r="H31" i="1"/>
  <c r="L37" i="1" l="1"/>
  <c r="N36" i="1"/>
  <c r="E33" i="1"/>
  <c r="H32" i="1"/>
  <c r="L38" i="1" l="1"/>
  <c r="N37" i="1"/>
  <c r="E34" i="1"/>
  <c r="H33" i="1"/>
  <c r="L39" i="1" l="1"/>
  <c r="N38" i="1"/>
  <c r="E35" i="1"/>
  <c r="H34" i="1"/>
  <c r="L40" i="1" l="1"/>
  <c r="N39" i="1"/>
  <c r="E36" i="1"/>
  <c r="H35" i="1"/>
  <c r="L41" i="1" l="1"/>
  <c r="N40" i="1"/>
  <c r="E37" i="1"/>
  <c r="H36" i="1"/>
  <c r="L42" i="1" l="1"/>
  <c r="N41" i="1"/>
  <c r="E38" i="1"/>
  <c r="H37" i="1"/>
  <c r="L43" i="1" l="1"/>
  <c r="N42" i="1"/>
  <c r="E39" i="1"/>
  <c r="H38" i="1"/>
  <c r="L44" i="1" l="1"/>
  <c r="N43" i="1"/>
  <c r="E40" i="1"/>
  <c r="H39" i="1"/>
  <c r="L45" i="1" l="1"/>
  <c r="N44" i="1"/>
  <c r="E41" i="1"/>
  <c r="H40" i="1"/>
  <c r="L46" i="1" l="1"/>
  <c r="N45" i="1"/>
  <c r="E42" i="1"/>
  <c r="H41" i="1"/>
  <c r="L47" i="1" l="1"/>
  <c r="N46" i="1"/>
  <c r="E43" i="1"/>
  <c r="H42" i="1"/>
  <c r="L48" i="1" l="1"/>
  <c r="N47" i="1"/>
  <c r="E44" i="1"/>
  <c r="H43" i="1"/>
  <c r="L49" i="1" l="1"/>
  <c r="N48" i="1"/>
  <c r="E45" i="1"/>
  <c r="H44" i="1"/>
  <c r="L50" i="1" l="1"/>
  <c r="N49" i="1"/>
  <c r="E46" i="1"/>
  <c r="H45" i="1"/>
  <c r="L51" i="1" l="1"/>
  <c r="N50" i="1"/>
  <c r="E47" i="1"/>
  <c r="H46" i="1"/>
  <c r="L52" i="1" l="1"/>
  <c r="N51" i="1"/>
  <c r="E48" i="1"/>
  <c r="H47" i="1"/>
  <c r="L53" i="1" l="1"/>
  <c r="N52" i="1"/>
  <c r="E49" i="1"/>
  <c r="H48" i="1"/>
  <c r="L54" i="1" l="1"/>
  <c r="N53" i="1"/>
  <c r="E50" i="1"/>
  <c r="H49" i="1"/>
  <c r="L55" i="1" l="1"/>
  <c r="N54" i="1"/>
  <c r="E51" i="1"/>
  <c r="H50" i="1"/>
  <c r="L56" i="1" l="1"/>
  <c r="N55" i="1"/>
  <c r="E52" i="1"/>
  <c r="H51" i="1"/>
  <c r="L57" i="1" l="1"/>
  <c r="N56" i="1"/>
  <c r="E53" i="1"/>
  <c r="H52" i="1"/>
  <c r="L58" i="1" l="1"/>
  <c r="N57" i="1"/>
  <c r="E54" i="1"/>
  <c r="H53" i="1"/>
  <c r="L59" i="1" l="1"/>
  <c r="N58" i="1"/>
  <c r="E55" i="1"/>
  <c r="H54" i="1"/>
  <c r="L60" i="1" l="1"/>
  <c r="N59" i="1"/>
  <c r="E56" i="1"/>
  <c r="H55" i="1"/>
  <c r="L61" i="1" l="1"/>
  <c r="N60" i="1"/>
  <c r="E57" i="1"/>
  <c r="H56" i="1"/>
  <c r="L62" i="1" l="1"/>
  <c r="N61" i="1"/>
  <c r="E58" i="1"/>
  <c r="H57" i="1"/>
  <c r="L63" i="1" l="1"/>
  <c r="N63" i="1" s="1"/>
  <c r="N62" i="1"/>
  <c r="E59" i="1"/>
  <c r="H58" i="1"/>
  <c r="E60" i="1" l="1"/>
  <c r="H59" i="1"/>
  <c r="E61" i="1" l="1"/>
  <c r="H60" i="1"/>
  <c r="E62" i="1" l="1"/>
  <c r="H61" i="1"/>
  <c r="E63" i="1" l="1"/>
  <c r="H62" i="1"/>
  <c r="E64" i="1" l="1"/>
  <c r="H63" i="1"/>
  <c r="E65" i="1" l="1"/>
  <c r="H64" i="1"/>
  <c r="E66" i="1" l="1"/>
  <c r="H65" i="1"/>
  <c r="E67" i="1" l="1"/>
  <c r="H66" i="1"/>
  <c r="E68" i="1" l="1"/>
  <c r="H67" i="1"/>
  <c r="E69" i="1" l="1"/>
  <c r="H68" i="1"/>
  <c r="E70" i="1" l="1"/>
  <c r="H69" i="1"/>
  <c r="E71" i="1" l="1"/>
  <c r="H70" i="1"/>
  <c r="E72" i="1" l="1"/>
  <c r="H71" i="1"/>
  <c r="E73" i="1" l="1"/>
  <c r="H72" i="1"/>
  <c r="E74" i="1" l="1"/>
  <c r="H73" i="1"/>
  <c r="E75" i="1" l="1"/>
  <c r="H74" i="1"/>
  <c r="E76" i="1" l="1"/>
  <c r="H75" i="1"/>
  <c r="E77" i="1" l="1"/>
  <c r="H76" i="1"/>
  <c r="E78" i="1" l="1"/>
  <c r="H77" i="1"/>
  <c r="E79" i="1" l="1"/>
  <c r="H78" i="1"/>
  <c r="E80" i="1" l="1"/>
  <c r="H79" i="1"/>
  <c r="E81" i="1" l="1"/>
  <c r="H80" i="1"/>
  <c r="E82" i="1" l="1"/>
  <c r="H81" i="1"/>
  <c r="E83" i="1" l="1"/>
  <c r="H82" i="1"/>
  <c r="E84" i="1" l="1"/>
  <c r="H83" i="1"/>
  <c r="E85" i="1" l="1"/>
  <c r="H85" i="1" s="1"/>
  <c r="H84" i="1"/>
  <c r="F4" i="3" l="1"/>
  <c r="H4" i="3" s="1"/>
  <c r="E5" i="3" l="1"/>
  <c r="F5" i="3" s="1"/>
  <c r="H5" i="3" s="1"/>
  <c r="E6" i="3" s="1"/>
  <c r="I4" i="3"/>
  <c r="I5" i="3" l="1"/>
  <c r="F6" i="3" l="1"/>
  <c r="H6" i="3" s="1"/>
  <c r="E7" i="3" s="1"/>
  <c r="I6" i="3" l="1"/>
  <c r="F7" i="3" l="1"/>
  <c r="H7" i="3" s="1"/>
  <c r="E8" i="3" s="1"/>
  <c r="I7" i="3" l="1"/>
  <c r="F8" i="3" l="1"/>
  <c r="H8" i="3" s="1"/>
  <c r="E9" i="3" s="1"/>
  <c r="I8" i="3" l="1"/>
  <c r="F9" i="3" l="1"/>
  <c r="H9" i="3" s="1"/>
  <c r="E10" i="3" s="1"/>
  <c r="I9" i="3" l="1"/>
  <c r="F10" i="3" l="1"/>
  <c r="H10" i="3"/>
  <c r="E11" i="3" s="1"/>
  <c r="I10" i="3" l="1"/>
  <c r="F11" i="3" l="1"/>
  <c r="H11" i="3"/>
  <c r="E12" i="3" s="1"/>
  <c r="I11" i="3" l="1"/>
  <c r="F12" i="3" l="1"/>
  <c r="H12" i="3" s="1"/>
  <c r="E13" i="3" s="1"/>
  <c r="I12" i="3" l="1"/>
  <c r="F13" i="3" l="1"/>
  <c r="H13" i="3" s="1"/>
  <c r="E14" i="3" s="1"/>
  <c r="I13" i="3" l="1"/>
  <c r="F14" i="3" l="1"/>
  <c r="H14" i="3" s="1"/>
  <c r="E15" i="3" s="1"/>
  <c r="I14" i="3" l="1"/>
  <c r="F15" i="3" l="1"/>
  <c r="H15" i="3" s="1"/>
  <c r="E16" i="3" s="1"/>
  <c r="I15" i="3" l="1"/>
  <c r="F16" i="3" l="1"/>
  <c r="H16" i="3"/>
  <c r="E17" i="3" s="1"/>
  <c r="I16" i="3" l="1"/>
  <c r="F17" i="3" l="1"/>
  <c r="H17" i="3" s="1"/>
  <c r="E18" i="3" s="1"/>
  <c r="I17" i="3" l="1"/>
  <c r="F18" i="3" l="1"/>
  <c r="H18" i="3"/>
  <c r="E19" i="3" s="1"/>
  <c r="I18" i="3" l="1"/>
  <c r="F19" i="3" l="1"/>
  <c r="H19" i="3" s="1"/>
  <c r="E20" i="3" s="1"/>
  <c r="I19" i="3" l="1"/>
  <c r="F20" i="3" l="1"/>
  <c r="H20" i="3" s="1"/>
  <c r="E21" i="3" s="1"/>
  <c r="I20" i="3" l="1"/>
  <c r="F21" i="3" l="1"/>
  <c r="H21" i="3" s="1"/>
  <c r="E22" i="3" s="1"/>
  <c r="I21" i="3" l="1"/>
  <c r="F22" i="3" l="1"/>
  <c r="H22" i="3" s="1"/>
  <c r="E23" i="3" s="1"/>
  <c r="I22" i="3" l="1"/>
  <c r="F23" i="3" l="1"/>
  <c r="H23" i="3" s="1"/>
  <c r="E24" i="3" s="1"/>
  <c r="I23" i="3" l="1"/>
  <c r="F24" i="3" l="1"/>
  <c r="H24" i="3" s="1"/>
  <c r="I24" i="3" s="1"/>
  <c r="E25" i="3"/>
  <c r="F25" i="3" l="1"/>
  <c r="I25" i="3" l="1"/>
  <c r="E26" i="3"/>
  <c r="F26" i="3" l="1"/>
  <c r="H26" i="3" s="1"/>
  <c r="E27" i="3" l="1"/>
  <c r="F27" i="3" s="1"/>
  <c r="H27" i="3" s="1"/>
  <c r="E28" i="3" l="1"/>
  <c r="F28" i="3" s="1"/>
  <c r="H28" i="3" s="1"/>
  <c r="E29" i="3" l="1"/>
  <c r="F29" i="3" s="1"/>
  <c r="H29" i="3" s="1"/>
  <c r="E30" i="3" l="1"/>
  <c r="F30" i="3" s="1"/>
  <c r="H30" i="3" s="1"/>
  <c r="E31" i="3" l="1"/>
  <c r="F31" i="3" s="1"/>
  <c r="H31" i="3" s="1"/>
  <c r="E32" i="3" l="1"/>
  <c r="F32" i="3" s="1"/>
  <c r="H32" i="3" s="1"/>
  <c r="E33" i="3" l="1"/>
  <c r="F33" i="3" s="1"/>
  <c r="H33" i="3" s="1"/>
  <c r="E34" i="3" l="1"/>
  <c r="F34" i="3" l="1"/>
  <c r="H34" i="3" s="1"/>
  <c r="E35" i="3" l="1"/>
  <c r="F35" i="3" s="1"/>
  <c r="H35" i="3" s="1"/>
  <c r="E36" i="3" l="1"/>
  <c r="F36" i="3" l="1"/>
  <c r="H36" i="3"/>
  <c r="E37" i="3" l="1"/>
  <c r="F37" i="3" s="1"/>
  <c r="H37" i="3" s="1"/>
  <c r="E38" i="3" l="1"/>
  <c r="F38" i="3" s="1"/>
  <c r="H38" i="3" s="1"/>
  <c r="E39" i="3" l="1"/>
  <c r="F39" i="3" s="1"/>
  <c r="H39" i="3" s="1"/>
  <c r="E40" i="3" l="1"/>
  <c r="F40" i="3" s="1"/>
  <c r="H40" i="3" s="1"/>
  <c r="E41" i="3" l="1"/>
  <c r="F41" i="3" s="1"/>
  <c r="H41" i="3" s="1"/>
  <c r="E42" i="3" l="1"/>
  <c r="F42" i="3" s="1"/>
  <c r="H42" i="3" s="1"/>
  <c r="E43" i="3" l="1"/>
  <c r="F43" i="3" s="1"/>
  <c r="H43" i="3" s="1"/>
  <c r="E44" i="3" l="1"/>
  <c r="F44" i="3" l="1"/>
  <c r="H44" i="3" s="1"/>
  <c r="E45" i="3" l="1"/>
  <c r="F45" i="3" s="1"/>
  <c r="H45" i="3" s="1"/>
  <c r="E46" i="3" l="1"/>
  <c r="F46" i="3" s="1"/>
  <c r="H46" i="3" s="1"/>
  <c r="E47" i="3" l="1"/>
  <c r="F47" i="3" s="1"/>
  <c r="H47" i="3" s="1"/>
  <c r="E48" i="3" l="1"/>
  <c r="F48" i="3" l="1"/>
  <c r="H48" i="3" s="1"/>
  <c r="E49" i="3" l="1"/>
  <c r="F49" i="3" l="1"/>
  <c r="H49" i="3"/>
  <c r="E50" i="3" l="1"/>
  <c r="F50" i="3" s="1"/>
  <c r="H50" i="3" s="1"/>
  <c r="E51" i="3" l="1"/>
  <c r="F51" i="3" s="1"/>
  <c r="H51" i="3" s="1"/>
  <c r="E52" i="3" l="1"/>
  <c r="F52" i="3" s="1"/>
  <c r="H52" i="3" s="1"/>
  <c r="E53" i="3" l="1"/>
  <c r="F53" i="3" s="1"/>
  <c r="H53" i="3" s="1"/>
  <c r="E54" i="3" l="1"/>
  <c r="F54" i="3" s="1"/>
  <c r="H54" i="3" s="1"/>
  <c r="E55" i="3" l="1"/>
  <c r="F55" i="3" l="1"/>
  <c r="H55" i="3" s="1"/>
  <c r="E56" i="3" l="1"/>
  <c r="F56" i="3" s="1"/>
  <c r="H56" i="3" s="1"/>
  <c r="E57" i="3" l="1"/>
  <c r="F57" i="3" s="1"/>
  <c r="H57" i="3" s="1"/>
  <c r="E58" i="3" l="1"/>
  <c r="F58" i="3" s="1"/>
  <c r="H58" i="3" s="1"/>
  <c r="E59" i="3" l="1"/>
  <c r="F59" i="3" s="1"/>
  <c r="H59" i="3" s="1"/>
  <c r="E60" i="3" l="1"/>
  <c r="F60" i="3" l="1"/>
  <c r="H60" i="3"/>
  <c r="E61" i="3" l="1"/>
  <c r="F61" i="3" l="1"/>
  <c r="H61" i="3"/>
  <c r="E62" i="3" l="1"/>
  <c r="F62" i="3" s="1"/>
  <c r="H62" i="3" s="1"/>
  <c r="E63" i="3" l="1"/>
  <c r="F63" i="3" s="1"/>
  <c r="H63" i="3" s="1"/>
  <c r="E64" i="3" l="1"/>
  <c r="F64" i="3" s="1"/>
  <c r="H64" i="3" s="1"/>
  <c r="E65" i="3" l="1"/>
  <c r="F65" i="3" s="1"/>
  <c r="H65" i="3" s="1"/>
  <c r="E66" i="3" l="1"/>
  <c r="F66" i="3" s="1"/>
  <c r="H66" i="3" s="1"/>
  <c r="E67" i="3" l="1"/>
  <c r="F67" i="3" s="1"/>
  <c r="H67" i="3" s="1"/>
  <c r="E68" i="3" l="1"/>
  <c r="F68" i="3" s="1"/>
  <c r="H68" i="3" s="1"/>
  <c r="E69" i="3" l="1"/>
  <c r="F69" i="3" s="1"/>
  <c r="H69" i="3" s="1"/>
  <c r="E70" i="3" l="1"/>
  <c r="F70" i="3" s="1"/>
  <c r="H70" i="3" s="1"/>
  <c r="E71" i="3" l="1"/>
  <c r="F71" i="3" s="1"/>
  <c r="H71" i="3" s="1"/>
  <c r="E72" i="3" l="1"/>
  <c r="F72" i="3" l="1"/>
  <c r="H72" i="3"/>
  <c r="E73" i="3" l="1"/>
  <c r="F73" i="3" l="1"/>
  <c r="H73" i="3"/>
  <c r="E74" i="3" l="1"/>
  <c r="F74" i="3" l="1"/>
  <c r="H74" i="3" l="1"/>
  <c r="E75" i="3" l="1"/>
  <c r="F75" i="3" s="1"/>
  <c r="H75" i="3" s="1"/>
  <c r="E76" i="3" l="1"/>
  <c r="F76" i="3" s="1"/>
  <c r="H76" i="3" s="1"/>
  <c r="E77" i="3" l="1"/>
  <c r="F77" i="3" s="1"/>
  <c r="H77" i="3" s="1"/>
  <c r="E78" i="3" l="1"/>
  <c r="F78" i="3" s="1"/>
  <c r="H78" i="3" s="1"/>
  <c r="E79" i="3" l="1"/>
  <c r="F79" i="3" s="1"/>
  <c r="H79" i="3" s="1"/>
  <c r="E80" i="3" l="1"/>
  <c r="F80" i="3" s="1"/>
  <c r="H80" i="3" s="1"/>
  <c r="E81" i="3" l="1"/>
  <c r="F81" i="3" s="1"/>
  <c r="H81" i="3" s="1"/>
  <c r="E82" i="3" l="1"/>
  <c r="F82" i="3" s="1"/>
  <c r="H82" i="3" s="1"/>
  <c r="E83" i="3" l="1"/>
  <c r="F83" i="3" s="1"/>
  <c r="H83" i="3" s="1"/>
  <c r="E84" i="3" l="1"/>
  <c r="F84" i="3" s="1"/>
  <c r="H84" i="3" s="1"/>
  <c r="E85" i="3" l="1"/>
  <c r="F85" i="3" l="1"/>
  <c r="H8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<sst xmlns="http://schemas.openxmlformats.org/spreadsheetml/2006/main" count="88" uniqueCount="51">
  <si>
    <t>x</t>
  </si>
  <si>
    <t>lx</t>
  </si>
  <si>
    <t>k</t>
  </si>
  <si>
    <t>kp28</t>
  </si>
  <si>
    <t>k|q28</t>
  </si>
  <si>
    <t>v^k</t>
  </si>
  <si>
    <t>i</t>
  </si>
  <si>
    <t>ä50</t>
  </si>
  <si>
    <t>ä28:22</t>
  </si>
  <si>
    <t>kp50</t>
  </si>
  <si>
    <t>Prima</t>
  </si>
  <si>
    <t>kp60</t>
  </si>
  <si>
    <t>k|q60</t>
  </si>
  <si>
    <t>ä60:8 (pagos)</t>
  </si>
  <si>
    <t>5 E60 (dotal)</t>
  </si>
  <si>
    <t>A60:5 (seguro dotal)</t>
  </si>
  <si>
    <t>A'60:5 (temporal)</t>
  </si>
  <si>
    <t>A'65:3 (temporal)</t>
  </si>
  <si>
    <t>garantizado</t>
  </si>
  <si>
    <t>kp65</t>
  </si>
  <si>
    <t>k|q65</t>
  </si>
  <si>
    <t>Producto</t>
  </si>
  <si>
    <t>Edad</t>
  </si>
  <si>
    <t>Inicio</t>
  </si>
  <si>
    <t>Intereses</t>
  </si>
  <si>
    <t>Indemnizacion</t>
  </si>
  <si>
    <t>Final</t>
  </si>
  <si>
    <t>Reserva</t>
  </si>
  <si>
    <t>px</t>
  </si>
  <si>
    <t>qx</t>
  </si>
  <si>
    <t>Seguro anual</t>
  </si>
  <si>
    <t>dif</t>
  </si>
  <si>
    <t>t</t>
  </si>
  <si>
    <t>Päx:t</t>
  </si>
  <si>
    <t>A|x:t</t>
  </si>
  <si>
    <t>tEx</t>
  </si>
  <si>
    <t>tVx</t>
  </si>
  <si>
    <t>TABLA</t>
  </si>
  <si>
    <t>DIFERENCIAS</t>
  </si>
  <si>
    <t>RETROSPECTIVO</t>
  </si>
  <si>
    <t>vt</t>
  </si>
  <si>
    <t>anualidad</t>
  </si>
  <si>
    <t>seguro</t>
  </si>
  <si>
    <t>dotal</t>
  </si>
  <si>
    <t>reserva</t>
  </si>
  <si>
    <t>PROSPECTIVO</t>
  </si>
  <si>
    <t>Incrementos</t>
  </si>
  <si>
    <t>Ahorro</t>
  </si>
  <si>
    <t>22|ä28 (diferida)</t>
  </si>
  <si>
    <t>Pensión</t>
  </si>
  <si>
    <t>RECURSIVO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</si>
</sst>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44" formatCode="_-&quot;$&quot;* #,##0.00_-;\-&quot;$&quot;* #,##0.00_-;_-&quot;$&quot;* &quot;-&quot;??_-;_-@_-"/>
    <numFmt numFmtId="164" formatCode="0.0000000"/>
    <numFmt numFmtId="165" formatCode="&quot;$&quot;#,##0.00000;[Red]\-&quot;$&quot;#,##0.00000"/>
    <numFmt numFmtId="166" formatCode="&quot;$&quot;#,##0.000000;[Red]\-&quot;$&quot;#,##0.000000"/>
    <numFmt numFmtId="167" formatCode="&quot;$&quot;#,##0.0000;[Red]\-&quot;$&quot;#,##0.00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ptos Narrow"/>
      <family val="2"/>
      <scheme val="minor"/>
    </font>
    <font>
      <sz val="14"/>
      <color theme="1"/>
      <name val="ADLaM Display"/>
    </font>
    <font>
      <sz val="11"/>
      <color rgb="FFFF0000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5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0" fontId="1" fillId="9" borderId="1" xfId="0" applyFont="1" applyFill="1" applyBorder="1"/>
    <xf numFmtId="0" fontId="1" fillId="5" borderId="1" xfId="0" applyFont="1" applyFill="1" applyBorder="1"/>
    <xf numFmtId="0" fontId="1" fillId="8" borderId="1" xfId="0" applyFont="1" applyFill="1" applyBorder="1"/>
    <xf numFmtId="11" fontId="1" fillId="6" borderId="1" xfId="0" applyNumberFormat="1" applyFont="1" applyFill="1" applyBorder="1"/>
    <xf numFmtId="0" fontId="1" fillId="7" borderId="1" xfId="0" applyFont="1" applyFill="1" applyBorder="1"/>
    <xf numFmtId="0" fontId="1" fillId="4" borderId="1" xfId="0" applyFont="1" applyFill="1" applyBorder="1"/>
    <xf numFmtId="8" fontId="0" fillId="0" borderId="1" xfId="0" applyNumberFormat="1" applyBorder="1"/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64" fontId="0" fillId="0" borderId="1" xfId="0" applyNumberFormat="1" applyBorder="1"/>
    <xf numFmtId="0" fontId="2" fillId="10" borderId="1" xfId="0" applyFont="1" applyFill="1" applyBorder="1" applyAlignment="1">
      <alignment horizontal="center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5" borderId="1" xfId="0" applyFill="1" applyBorder="1"/>
    <xf numFmtId="8" fontId="0" fillId="0" borderId="0" xfId="0" applyNumberFormat="1"/>
    <xf numFmtId="165" fontId="0" fillId="0" borderId="1" xfId="0" applyNumberFormat="1" applyBorder="1"/>
    <xf numFmtId="0" fontId="1" fillId="0" borderId="1" xfId="0" applyFont="1" applyBorder="1" applyAlignment="1">
      <alignment horizontal="center"/>
    </xf>
    <xf numFmtId="44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4" fontId="1" fillId="0" borderId="1" xfId="1" applyFont="1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8" fontId="0" fillId="2" borderId="1" xfId="0" applyNumberForma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7" fontId="0" fillId="0" borderId="1" xfId="0" applyNumberFormat="1" applyBorder="1"/>
    <xf numFmtId="0" fontId="0" fillId="7" borderId="1" xfId="0" applyFill="1" applyBorder="1" applyAlignment="1">
      <alignment horizontal="center" vertical="center"/>
    </xf>
    <xf numFmtId="8" fontId="0" fillId="7" borderId="1" xfId="0" applyNumberFormat="1" applyFill="1" applyBorder="1" applyAlignment="1">
      <alignment horizontal="center" vertical="center"/>
    </xf>
    <xf numFmtId="8" fontId="0" fillId="7" borderId="1" xfId="0" applyNumberFormat="1" applyFill="1" applyBorder="1"/>
    <xf numFmtId="8" fontId="0" fillId="18" borderId="1" xfId="0" applyNumberFormat="1" applyFill="1" applyBorder="1"/>
    <xf numFmtId="166" fontId="0" fillId="18" borderId="1" xfId="0" applyNumberFormat="1" applyFill="1" applyBorder="1" applyAlignment="1">
      <alignment horizontal="center" vertical="center"/>
    </xf>
    <xf numFmtId="8" fontId="0" fillId="18" borderId="1" xfId="0" applyNumberFormat="1" applyFill="1" applyBorder="1" applyAlignment="1">
      <alignment horizontal="center" vertical="center"/>
    </xf>
    <xf numFmtId="8" fontId="6" fillId="18" borderId="1" xfId="0" applyNumberFormat="1" applyFont="1" applyFill="1" applyBorder="1" applyAlignment="1">
      <alignment horizontal="center" vertical="center"/>
    </xf>
    <xf numFmtId="8" fontId="6" fillId="2" borderId="1" xfId="0" applyNumberFormat="1" applyFont="1" applyFill="1" applyBorder="1"/>
    <xf numFmtId="8" fontId="6" fillId="18" borderId="1" xfId="0" applyNumberFormat="1" applyFont="1" applyFill="1" applyBorder="1"/>
    <xf numFmtId="0" fontId="1" fillId="14" borderId="1" xfId="0" applyFont="1" applyFill="1" applyBorder="1"/>
    <xf numFmtId="0" fontId="1" fillId="0" borderId="0" xfId="0" applyFont="1"/>
    <xf numFmtId="0" fontId="5" fillId="16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11373</xdr:colOff>
      <xdr:row>15</xdr:row>
      <xdr:rowOff>193343</xdr:rowOff>
    </xdr:from>
    <xdr:to>
      <xdr:col>23</xdr:col>
      <xdr:colOff>420806</xdr:colOff>
      <xdr:row>24</xdr:row>
      <xdr:rowOff>34119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C68CAFF-5F04-E1ED-CC09-557E1B85ACA2}"/>
            </a:ext>
          </a:extLst>
        </xdr:cNvPr>
        <xdr:cNvSpPr txBox="1"/>
      </xdr:nvSpPr>
      <xdr:spPr>
        <a:xfrm>
          <a:off x="12317104" y="3400567"/>
          <a:ext cx="7836090" cy="17855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Ejercicio 1</a:t>
          </a:r>
          <a:r>
            <a:rPr lang="es-MX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Una persona acaba de conseguir su primer empleo a los 28 años, le preocupa tener un fondo de ahorro para su retiro. Le es posible ahorrar parte de su aguinaldo 35 000 de forma vencida anual y de acuerdo con su contrato su salario subirá a una tasa del 8% anual. Si planea retirarse a los 50 años con una pensión vitalicia de una cantidad P. Determine la reserva del quinto año usando la información de la tabla ilustrativa.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188451</xdr:colOff>
      <xdr:row>15</xdr:row>
      <xdr:rowOff>163871</xdr:rowOff>
    </xdr:from>
    <xdr:to>
      <xdr:col>13</xdr:col>
      <xdr:colOff>52219</xdr:colOff>
      <xdr:row>23</xdr:row>
      <xdr:rowOff>32774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54F14E3-FB26-4834-8FE4-BCBE7A153975}"/>
            </a:ext>
          </a:extLst>
        </xdr:cNvPr>
        <xdr:cNvSpPr txBox="1"/>
      </xdr:nvSpPr>
      <xdr:spPr>
        <a:xfrm>
          <a:off x="2572774" y="3441290"/>
          <a:ext cx="7836090" cy="16387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Ejercicio 2</a:t>
          </a:r>
          <a:r>
            <a:rPr lang="es-MX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Una persona de 60 contrata un seguro “especial” con un plazo de 8 años con las siguientes características: Si la persona fallece en primeros 5 años su beneficiario recibirá 240 000, si llega con vida a los 65 años recibe un único pago de 20 000. Si la persona fallece en los siguientes 3 años su beneficiario recibirá 300 000 y pagos garantizados al final de cada año de 5 000. Construya la tabla de reservas usando los métodos de: Diferencias, Tabla, Recursivo, Retrospectivo y Prospectivo.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86D5-478E-40DB-AAD8-B9B75DA67D19}">
  <dimension ref="A2:T93"/>
  <sheetViews>
    <sheetView showGridLines="0" tabSelected="1" zoomScale="67" workbookViewId="0">
      <selection activeCell="S7" sqref="S7"/>
    </sheetView>
  </sheetViews>
  <sheetFormatPr baseColWidth="10" defaultRowHeight="14.4" x14ac:dyDescent="0.3"/>
  <cols>
    <col min="7" max="7" width="12" bestFit="1" customWidth="1"/>
    <col min="9" max="9" width="16.5546875" bestFit="1" customWidth="1"/>
    <col min="16" max="16" width="18.109375" bestFit="1" customWidth="1"/>
    <col min="17" max="17" width="15.33203125" bestFit="1" customWidth="1"/>
    <col min="18" max="18" width="13.6640625" bestFit="1" customWidth="1"/>
    <col min="19" max="19" width="13.5546875" bestFit="1" customWidth="1"/>
    <col min="20" max="20" width="13" bestFit="1" customWidth="1"/>
  </cols>
  <sheetData>
    <row r="2" spans="1:20" ht="17.399999999999999" x14ac:dyDescent="0.3">
      <c r="A2" s="1" t="s">
        <v>0</v>
      </c>
      <c r="B2" s="1" t="s">
        <v>1</v>
      </c>
      <c r="D2" s="4" t="s">
        <v>0</v>
      </c>
      <c r="E2" s="4" t="s">
        <v>2</v>
      </c>
      <c r="F2" s="4" t="s">
        <v>3</v>
      </c>
      <c r="G2" s="4" t="s">
        <v>4</v>
      </c>
      <c r="H2" s="4" t="s">
        <v>5</v>
      </c>
      <c r="I2" s="1" t="s">
        <v>46</v>
      </c>
      <c r="J2" s="3"/>
      <c r="K2" s="4" t="s">
        <v>0</v>
      </c>
      <c r="L2" s="4" t="s">
        <v>2</v>
      </c>
      <c r="M2" s="4" t="s">
        <v>9</v>
      </c>
      <c r="N2" s="4" t="s">
        <v>5</v>
      </c>
      <c r="O2" s="3"/>
      <c r="P2" s="9" t="s">
        <v>6</v>
      </c>
      <c r="Q2" s="7">
        <v>0.06</v>
      </c>
    </row>
    <row r="3" spans="1:20" ht="17.399999999999999" x14ac:dyDescent="0.3">
      <c r="A3" s="2">
        <v>20</v>
      </c>
      <c r="B3" s="2">
        <v>9617802</v>
      </c>
      <c r="D3" s="5">
        <v>28</v>
      </c>
      <c r="E3" s="5">
        <f>0</f>
        <v>0</v>
      </c>
      <c r="F3" s="5">
        <f>B11/$B$11</f>
        <v>1</v>
      </c>
      <c r="G3" s="5">
        <f>F3-F4</f>
        <v>1.3895193092283709E-3</v>
      </c>
      <c r="H3" s="5">
        <f>(1+$Q$2)^(-E3)</f>
        <v>1</v>
      </c>
      <c r="I3" s="8"/>
      <c r="K3" s="5">
        <v>50</v>
      </c>
      <c r="L3" s="5">
        <v>0</v>
      </c>
      <c r="M3" s="5">
        <f>B33/$B$33</f>
        <v>1</v>
      </c>
      <c r="N3" s="5">
        <f>(1+$Q$2)^(-L3)</f>
        <v>1</v>
      </c>
      <c r="P3" s="48"/>
      <c r="Q3" s="26"/>
    </row>
    <row r="4" spans="1:20" ht="17.399999999999999" x14ac:dyDescent="0.3">
      <c r="A4" s="2">
        <f>A3+1</f>
        <v>21</v>
      </c>
      <c r="B4" s="2">
        <v>9607896</v>
      </c>
      <c r="D4" s="5">
        <f>D3+1</f>
        <v>29</v>
      </c>
      <c r="E4" s="5">
        <f>E3+1</f>
        <v>1</v>
      </c>
      <c r="F4" s="5">
        <f t="shared" ref="F4:F67" si="0">B12/$B$11</f>
        <v>0.99861048069077163</v>
      </c>
      <c r="G4" s="5">
        <f t="shared" ref="G4:G67" si="1">F4-F5</f>
        <v>1.4539577424509398E-3</v>
      </c>
      <c r="H4" s="5">
        <f t="shared" ref="H4:H67" si="2">(1+$Q$2)^(-E4)</f>
        <v>0.94339622641509424</v>
      </c>
      <c r="I4" s="8">
        <f>(1+0.08)^(E4-1)</f>
        <v>1</v>
      </c>
      <c r="K4" s="5">
        <f>K3+1</f>
        <v>51</v>
      </c>
      <c r="L4" s="5">
        <f>L3+1</f>
        <v>1</v>
      </c>
      <c r="M4" s="5">
        <f t="shared" ref="M4:M63" si="3">B34/$B$33</f>
        <v>0.99408014902633823</v>
      </c>
      <c r="N4" s="5">
        <f t="shared" ref="N4:N63" si="4">(1+$Q$2)^(-L4)</f>
        <v>0.94339622641509424</v>
      </c>
    </row>
    <row r="5" spans="1:20" ht="17.399999999999999" x14ac:dyDescent="0.3">
      <c r="A5" s="2">
        <f t="shared" ref="A5:A68" si="5">A4+1</f>
        <v>22</v>
      </c>
      <c r="B5" s="2">
        <v>9597695</v>
      </c>
      <c r="D5" s="5">
        <f t="shared" ref="D5:D68" si="6">D4+1</f>
        <v>30</v>
      </c>
      <c r="E5" s="5">
        <f t="shared" ref="E5:E68" si="7">E4+1</f>
        <v>2</v>
      </c>
      <c r="F5" s="5">
        <f t="shared" si="0"/>
        <v>0.99715652294832069</v>
      </c>
      <c r="G5" s="5">
        <f t="shared" si="1"/>
        <v>1.5245881423837648E-3</v>
      </c>
      <c r="H5" s="5">
        <f t="shared" si="2"/>
        <v>0.88999644001423983</v>
      </c>
      <c r="I5" s="8">
        <f t="shared" ref="I5:I68" si="8">(1+0.08)^(E5-1)</f>
        <v>1.08</v>
      </c>
      <c r="K5" s="5">
        <f t="shared" ref="K5:K63" si="9">K4+1</f>
        <v>52</v>
      </c>
      <c r="L5" s="5">
        <f t="shared" ref="L5:L63" si="10">L4+1</f>
        <v>2</v>
      </c>
      <c r="M5" s="5">
        <f t="shared" si="3"/>
        <v>0.98769609897372346</v>
      </c>
      <c r="N5" s="5">
        <f t="shared" si="4"/>
        <v>0.88999644001423983</v>
      </c>
      <c r="Q5" s="26"/>
    </row>
    <row r="6" spans="1:20" ht="17.399999999999999" x14ac:dyDescent="0.3">
      <c r="A6" s="2">
        <f t="shared" si="5"/>
        <v>23</v>
      </c>
      <c r="B6" s="2">
        <v>9587169</v>
      </c>
      <c r="D6" s="5">
        <f t="shared" si="6"/>
        <v>31</v>
      </c>
      <c r="E6" s="5">
        <f t="shared" si="7"/>
        <v>3</v>
      </c>
      <c r="F6" s="5">
        <f t="shared" si="0"/>
        <v>0.99563193480593692</v>
      </c>
      <c r="G6" s="5">
        <f t="shared" si="1"/>
        <v>1.6018303033801251E-3</v>
      </c>
      <c r="H6" s="5">
        <f t="shared" si="2"/>
        <v>0.8396192830323016</v>
      </c>
      <c r="I6" s="8">
        <f t="shared" si="8"/>
        <v>1.1664000000000001</v>
      </c>
      <c r="K6" s="5">
        <f t="shared" si="9"/>
        <v>53</v>
      </c>
      <c r="L6" s="5">
        <f t="shared" si="10"/>
        <v>3</v>
      </c>
      <c r="M6" s="5">
        <f t="shared" si="3"/>
        <v>0.98080941795691856</v>
      </c>
      <c r="N6" s="5">
        <f t="shared" si="4"/>
        <v>0.8396192830323016</v>
      </c>
    </row>
    <row r="7" spans="1:20" ht="17.399999999999999" x14ac:dyDescent="0.3">
      <c r="A7" s="2">
        <f t="shared" si="5"/>
        <v>24</v>
      </c>
      <c r="B7" s="2">
        <v>9576288</v>
      </c>
      <c r="D7" s="5">
        <f t="shared" si="6"/>
        <v>32</v>
      </c>
      <c r="E7" s="5">
        <f t="shared" si="7"/>
        <v>4</v>
      </c>
      <c r="F7" s="5">
        <f t="shared" si="0"/>
        <v>0.9940301045025568</v>
      </c>
      <c r="G7" s="5">
        <f t="shared" si="1"/>
        <v>1.6864188655582035E-3</v>
      </c>
      <c r="H7" s="5">
        <f t="shared" si="2"/>
        <v>0.79209366323802044</v>
      </c>
      <c r="I7" s="8">
        <f t="shared" si="8"/>
        <v>1.2597120000000002</v>
      </c>
      <c r="K7" s="5">
        <f t="shared" si="9"/>
        <v>54</v>
      </c>
      <c r="L7" s="5">
        <f t="shared" si="10"/>
        <v>4</v>
      </c>
      <c r="M7" s="5">
        <f t="shared" si="3"/>
        <v>0.97337921623756085</v>
      </c>
      <c r="N7" s="5">
        <f t="shared" si="4"/>
        <v>0.79209366323802044</v>
      </c>
    </row>
    <row r="8" spans="1:20" ht="17.399999999999999" x14ac:dyDescent="0.3">
      <c r="A8" s="2">
        <f t="shared" si="5"/>
        <v>25</v>
      </c>
      <c r="B8" s="2">
        <v>9565017</v>
      </c>
      <c r="D8" s="5">
        <f t="shared" si="6"/>
        <v>33</v>
      </c>
      <c r="E8" s="5">
        <f t="shared" si="7"/>
        <v>5</v>
      </c>
      <c r="F8" s="5">
        <f t="shared" si="0"/>
        <v>0.9923436856369986</v>
      </c>
      <c r="G8" s="5">
        <f t="shared" si="1"/>
        <v>1.7789835204479187E-3</v>
      </c>
      <c r="H8" s="5">
        <f t="shared" si="2"/>
        <v>0.74725817286605689</v>
      </c>
      <c r="I8" s="8">
        <f t="shared" si="8"/>
        <v>1.3604889600000003</v>
      </c>
      <c r="K8" s="5">
        <f t="shared" si="9"/>
        <v>55</v>
      </c>
      <c r="L8" s="5">
        <f t="shared" si="10"/>
        <v>5</v>
      </c>
      <c r="M8" s="5">
        <f t="shared" si="3"/>
        <v>0.96536214622416228</v>
      </c>
      <c r="N8" s="5">
        <f t="shared" si="4"/>
        <v>0.74725817286605689</v>
      </c>
      <c r="P8" s="12" t="s">
        <v>7</v>
      </c>
      <c r="Q8" s="8">
        <f>SUMPRODUCT(M3:M63,N3:N63)</f>
        <v>13.26682802553162</v>
      </c>
      <c r="S8" s="26"/>
    </row>
    <row r="9" spans="1:20" ht="17.399999999999999" x14ac:dyDescent="0.3">
      <c r="A9" s="2">
        <f t="shared" si="5"/>
        <v>26</v>
      </c>
      <c r="B9" s="2">
        <v>9553319</v>
      </c>
      <c r="D9" s="5">
        <f t="shared" si="6"/>
        <v>34</v>
      </c>
      <c r="E9" s="5">
        <f t="shared" si="7"/>
        <v>6</v>
      </c>
      <c r="F9" s="5">
        <f t="shared" si="0"/>
        <v>0.99056470211655068</v>
      </c>
      <c r="G9" s="5">
        <f t="shared" si="1"/>
        <v>1.8800490109908141E-3</v>
      </c>
      <c r="H9" s="5">
        <f t="shared" si="2"/>
        <v>0.70496054043967626</v>
      </c>
      <c r="I9" s="8">
        <f t="shared" si="8"/>
        <v>1.4693280768000003</v>
      </c>
      <c r="K9" s="5">
        <f t="shared" si="9"/>
        <v>56</v>
      </c>
      <c r="L9" s="5">
        <f t="shared" si="10"/>
        <v>6</v>
      </c>
      <c r="M9" s="5">
        <f t="shared" si="3"/>
        <v>0.95671206731031877</v>
      </c>
      <c r="N9" s="5">
        <f t="shared" si="4"/>
        <v>0.70496054043967626</v>
      </c>
      <c r="P9" s="13" t="s">
        <v>10</v>
      </c>
      <c r="Q9" s="17">
        <v>35000</v>
      </c>
      <c r="S9" s="26"/>
    </row>
    <row r="10" spans="1:20" ht="17.399999999999999" x14ac:dyDescent="0.3">
      <c r="A10" s="2">
        <f t="shared" si="5"/>
        <v>27</v>
      </c>
      <c r="B10" s="2">
        <v>9541153</v>
      </c>
      <c r="D10" s="5">
        <f t="shared" si="6"/>
        <v>35</v>
      </c>
      <c r="E10" s="5">
        <f t="shared" si="7"/>
        <v>7</v>
      </c>
      <c r="F10" s="5">
        <f t="shared" si="0"/>
        <v>0.98868465310555986</v>
      </c>
      <c r="G10" s="5">
        <f t="shared" si="1"/>
        <v>1.9907697716580186E-3</v>
      </c>
      <c r="H10" s="5">
        <f t="shared" si="2"/>
        <v>0.66505711362233599</v>
      </c>
      <c r="I10" s="8">
        <f t="shared" si="8"/>
        <v>1.5868743229440005</v>
      </c>
      <c r="K10" s="5">
        <f t="shared" si="9"/>
        <v>57</v>
      </c>
      <c r="L10" s="5">
        <f t="shared" si="10"/>
        <v>7</v>
      </c>
      <c r="M10" s="5">
        <f t="shared" si="3"/>
        <v>0.94738038103650124</v>
      </c>
      <c r="N10" s="5">
        <f t="shared" si="4"/>
        <v>0.66505711362233599</v>
      </c>
      <c r="P10" s="14" t="s">
        <v>47</v>
      </c>
      <c r="Q10" s="17">
        <f>35000*SUMPRODUCT(F4:F25,H4:H25,I4:I25)</f>
        <v>866285.86441541836</v>
      </c>
      <c r="R10" s="26"/>
      <c r="S10" s="26"/>
    </row>
    <row r="11" spans="1:20" ht="17.399999999999999" x14ac:dyDescent="0.3">
      <c r="A11" s="2">
        <f t="shared" si="5"/>
        <v>28</v>
      </c>
      <c r="B11" s="2">
        <v>9528475</v>
      </c>
      <c r="D11" s="5">
        <f t="shared" si="6"/>
        <v>36</v>
      </c>
      <c r="E11" s="5">
        <f t="shared" si="7"/>
        <v>8</v>
      </c>
      <c r="F11" s="5">
        <f t="shared" si="0"/>
        <v>0.98669388333390184</v>
      </c>
      <c r="G11" s="5">
        <f t="shared" si="1"/>
        <v>2.1117754939798949E-3</v>
      </c>
      <c r="H11" s="5">
        <f t="shared" si="2"/>
        <v>0.62741237134182648</v>
      </c>
      <c r="I11" s="8">
        <f t="shared" si="8"/>
        <v>1.7138242687795207</v>
      </c>
      <c r="K11" s="5">
        <f t="shared" si="9"/>
        <v>58</v>
      </c>
      <c r="L11" s="5">
        <f t="shared" si="10"/>
        <v>8</v>
      </c>
      <c r="M11" s="5">
        <f t="shared" si="3"/>
        <v>0.93731636625184434</v>
      </c>
      <c r="N11" s="5">
        <f t="shared" si="4"/>
        <v>0.62741237134182648</v>
      </c>
      <c r="P11" s="15" t="s">
        <v>48</v>
      </c>
      <c r="Q11" s="8">
        <f>SUMPRODUCT(F25:F85,H25:H85)</f>
        <v>3.4584493410471837</v>
      </c>
      <c r="S11" s="26"/>
    </row>
    <row r="12" spans="1:20" ht="17.399999999999999" x14ac:dyDescent="0.3">
      <c r="A12" s="2">
        <f t="shared" si="5"/>
        <v>29</v>
      </c>
      <c r="B12" s="2">
        <v>9515235</v>
      </c>
      <c r="D12" s="5">
        <f t="shared" si="6"/>
        <v>37</v>
      </c>
      <c r="E12" s="5">
        <f t="shared" si="7"/>
        <v>9</v>
      </c>
      <c r="F12" s="5">
        <f t="shared" si="0"/>
        <v>0.98458210783992195</v>
      </c>
      <c r="G12" s="5">
        <f t="shared" si="1"/>
        <v>2.2440107152509325E-3</v>
      </c>
      <c r="H12" s="5">
        <f t="shared" si="2"/>
        <v>0.59189846353002495</v>
      </c>
      <c r="I12" s="8">
        <f t="shared" si="8"/>
        <v>1.8509302102818823</v>
      </c>
      <c r="K12" s="5">
        <f t="shared" si="9"/>
        <v>59</v>
      </c>
      <c r="L12" s="5">
        <f t="shared" si="10"/>
        <v>9</v>
      </c>
      <c r="M12" s="5">
        <f t="shared" si="3"/>
        <v>0.92646684395235746</v>
      </c>
      <c r="N12" s="5">
        <f t="shared" si="4"/>
        <v>0.59189846353002495</v>
      </c>
      <c r="P12" s="16" t="s">
        <v>8</v>
      </c>
      <c r="Q12" s="8">
        <f>SUMPRODUCT(F3:F24,H3:H24)</f>
        <v>12.555403365576232</v>
      </c>
    </row>
    <row r="13" spans="1:20" ht="17.399999999999999" x14ac:dyDescent="0.3">
      <c r="A13" s="2">
        <f t="shared" si="5"/>
        <v>30</v>
      </c>
      <c r="B13" s="2">
        <v>9501381</v>
      </c>
      <c r="D13" s="5">
        <f t="shared" si="6"/>
        <v>38</v>
      </c>
      <c r="E13" s="5">
        <f t="shared" si="7"/>
        <v>10</v>
      </c>
      <c r="F13" s="5">
        <f t="shared" si="0"/>
        <v>0.98233809712467102</v>
      </c>
      <c r="G13" s="5">
        <f t="shared" si="1"/>
        <v>2.3883150241774675E-3</v>
      </c>
      <c r="H13" s="5">
        <f t="shared" si="2"/>
        <v>0.55839477691511785</v>
      </c>
      <c r="I13" s="8">
        <f t="shared" si="8"/>
        <v>1.9990046271044331</v>
      </c>
      <c r="K13" s="5">
        <f t="shared" si="9"/>
        <v>60</v>
      </c>
      <c r="L13" s="5">
        <f t="shared" si="10"/>
        <v>10</v>
      </c>
      <c r="M13" s="5">
        <f t="shared" si="3"/>
        <v>0.91477651244271385</v>
      </c>
      <c r="N13" s="5">
        <f t="shared" si="4"/>
        <v>0.55839477691511785</v>
      </c>
    </row>
    <row r="14" spans="1:20" ht="17.399999999999999" x14ac:dyDescent="0.3">
      <c r="A14" s="2">
        <f t="shared" si="5"/>
        <v>31</v>
      </c>
      <c r="B14" s="2">
        <v>9486854</v>
      </c>
      <c r="D14" s="5">
        <f t="shared" si="6"/>
        <v>39</v>
      </c>
      <c r="E14" s="5">
        <f t="shared" si="7"/>
        <v>11</v>
      </c>
      <c r="F14" s="5">
        <f t="shared" si="0"/>
        <v>0.97994978210049355</v>
      </c>
      <c r="G14" s="5">
        <f t="shared" si="1"/>
        <v>2.5461577009961989E-3</v>
      </c>
      <c r="H14" s="5">
        <f t="shared" si="2"/>
        <v>0.52678752539162055</v>
      </c>
      <c r="I14" s="8">
        <f t="shared" si="8"/>
        <v>2.1589249972727877</v>
      </c>
      <c r="K14" s="5">
        <f t="shared" si="9"/>
        <v>61</v>
      </c>
      <c r="L14" s="5">
        <f t="shared" si="10"/>
        <v>11</v>
      </c>
      <c r="M14" s="5">
        <f t="shared" si="3"/>
        <v>0.90218884110102437</v>
      </c>
      <c r="N14" s="5">
        <f t="shared" si="4"/>
        <v>0.52678752539162055</v>
      </c>
      <c r="P14" s="11" t="s">
        <v>49</v>
      </c>
      <c r="Q14" s="27">
        <f>Q10/(Q11)</f>
        <v>250483.89581242664</v>
      </c>
      <c r="R14" s="26"/>
    </row>
    <row r="15" spans="1:20" ht="17.399999999999999" x14ac:dyDescent="0.3">
      <c r="A15" s="2">
        <f t="shared" si="5"/>
        <v>32</v>
      </c>
      <c r="B15" s="2">
        <v>9471591</v>
      </c>
      <c r="D15" s="5">
        <f t="shared" si="6"/>
        <v>40</v>
      </c>
      <c r="E15" s="5">
        <f t="shared" si="7"/>
        <v>12</v>
      </c>
      <c r="F15" s="5">
        <f t="shared" si="0"/>
        <v>0.97740362439949735</v>
      </c>
      <c r="G15" s="5">
        <f t="shared" si="1"/>
        <v>2.7183783344134627E-3</v>
      </c>
      <c r="H15" s="5">
        <f t="shared" si="2"/>
        <v>0.4969693635770005</v>
      </c>
      <c r="I15" s="8">
        <f t="shared" si="8"/>
        <v>2.3316389970546108</v>
      </c>
      <c r="K15" s="5">
        <f t="shared" si="9"/>
        <v>62</v>
      </c>
      <c r="L15" s="5">
        <f t="shared" si="10"/>
        <v>12</v>
      </c>
      <c r="M15" s="5">
        <f t="shared" si="3"/>
        <v>0.88864562349645027</v>
      </c>
      <c r="N15" s="5">
        <f t="shared" si="4"/>
        <v>0.4969693635770005</v>
      </c>
    </row>
    <row r="16" spans="1:20" ht="17.399999999999999" x14ac:dyDescent="0.3">
      <c r="A16" s="2">
        <f t="shared" si="5"/>
        <v>33</v>
      </c>
      <c r="B16" s="2">
        <v>9455522</v>
      </c>
      <c r="D16" s="5">
        <f t="shared" si="6"/>
        <v>41</v>
      </c>
      <c r="E16" s="5">
        <f t="shared" si="7"/>
        <v>13</v>
      </c>
      <c r="F16" s="5">
        <f t="shared" si="0"/>
        <v>0.97468524606508389</v>
      </c>
      <c r="G16" s="5">
        <f t="shared" si="1"/>
        <v>2.9063412560772495E-3</v>
      </c>
      <c r="H16" s="5">
        <f t="shared" si="2"/>
        <v>0.46883902224245327</v>
      </c>
      <c r="I16" s="8">
        <f t="shared" si="8"/>
        <v>2.5181701168189798</v>
      </c>
      <c r="K16" s="5">
        <f t="shared" si="9"/>
        <v>63</v>
      </c>
      <c r="L16" s="5">
        <f t="shared" si="10"/>
        <v>13</v>
      </c>
      <c r="M16" s="5">
        <f t="shared" si="3"/>
        <v>0.87408842975695966</v>
      </c>
      <c r="N16" s="5">
        <f t="shared" si="4"/>
        <v>0.46883902224245327</v>
      </c>
      <c r="Q16" s="26"/>
      <c r="R16" s="26"/>
      <c r="T16" s="26"/>
    </row>
    <row r="17" spans="1:14" ht="17.399999999999999" x14ac:dyDescent="0.3">
      <c r="A17" s="2">
        <f t="shared" si="5"/>
        <v>34</v>
      </c>
      <c r="B17" s="2">
        <v>9438571</v>
      </c>
      <c r="D17" s="5">
        <f t="shared" si="6"/>
        <v>42</v>
      </c>
      <c r="E17" s="5">
        <f t="shared" si="7"/>
        <v>14</v>
      </c>
      <c r="F17" s="5">
        <f t="shared" si="0"/>
        <v>0.97177890480900664</v>
      </c>
      <c r="G17" s="5">
        <f t="shared" si="1"/>
        <v>3.1113058490471746E-3</v>
      </c>
      <c r="H17" s="5">
        <f t="shared" si="2"/>
        <v>0.44230096437967292</v>
      </c>
      <c r="I17" s="8">
        <f t="shared" si="8"/>
        <v>2.7196237261644982</v>
      </c>
      <c r="K17" s="5">
        <f t="shared" si="9"/>
        <v>64</v>
      </c>
      <c r="L17" s="5">
        <f t="shared" si="10"/>
        <v>14</v>
      </c>
      <c r="M17" s="5">
        <f t="shared" si="3"/>
        <v>0.85845871828992415</v>
      </c>
      <c r="N17" s="5">
        <f t="shared" si="4"/>
        <v>0.44230096437967292</v>
      </c>
    </row>
    <row r="18" spans="1:14" ht="17.399999999999999" x14ac:dyDescent="0.3">
      <c r="A18" s="2">
        <f t="shared" si="5"/>
        <v>35</v>
      </c>
      <c r="B18" s="2">
        <v>9420657</v>
      </c>
      <c r="D18" s="5">
        <f t="shared" si="6"/>
        <v>43</v>
      </c>
      <c r="E18" s="5">
        <f t="shared" si="7"/>
        <v>15</v>
      </c>
      <c r="F18" s="5">
        <f t="shared" si="0"/>
        <v>0.96866759895995946</v>
      </c>
      <c r="G18" s="5">
        <f t="shared" si="1"/>
        <v>3.3348463421480901E-3</v>
      </c>
      <c r="H18" s="5">
        <f t="shared" si="2"/>
        <v>0.41726506073554037</v>
      </c>
      <c r="I18" s="8">
        <f t="shared" si="8"/>
        <v>2.9371936242576586</v>
      </c>
      <c r="K18" s="5">
        <f t="shared" si="9"/>
        <v>65</v>
      </c>
      <c r="L18" s="5">
        <f t="shared" si="10"/>
        <v>15</v>
      </c>
      <c r="M18" s="5">
        <f t="shared" si="3"/>
        <v>0.84169895298808461</v>
      </c>
      <c r="N18" s="5">
        <f t="shared" si="4"/>
        <v>0.41726506073554037</v>
      </c>
    </row>
    <row r="19" spans="1:14" ht="17.399999999999999" x14ac:dyDescent="0.3">
      <c r="A19" s="2">
        <f t="shared" si="5"/>
        <v>36</v>
      </c>
      <c r="B19" s="2">
        <v>9401688</v>
      </c>
      <c r="D19" s="5">
        <f t="shared" si="6"/>
        <v>44</v>
      </c>
      <c r="E19" s="5">
        <f t="shared" si="7"/>
        <v>16</v>
      </c>
      <c r="F19" s="5">
        <f t="shared" si="0"/>
        <v>0.96533275261781137</v>
      </c>
      <c r="G19" s="5">
        <f t="shared" si="1"/>
        <v>3.5785369642047371E-3</v>
      </c>
      <c r="H19" s="5">
        <f t="shared" si="2"/>
        <v>0.39364628371277405</v>
      </c>
      <c r="I19" s="8">
        <f t="shared" si="8"/>
        <v>3.1721691141982715</v>
      </c>
      <c r="K19" s="5">
        <f t="shared" si="9"/>
        <v>66</v>
      </c>
      <c r="L19" s="5">
        <f t="shared" si="10"/>
        <v>16</v>
      </c>
      <c r="M19" s="5">
        <f t="shared" si="3"/>
        <v>0.8237537204355182</v>
      </c>
      <c r="N19" s="5">
        <f t="shared" si="4"/>
        <v>0.39364628371277405</v>
      </c>
    </row>
    <row r="20" spans="1:14" ht="17.399999999999999" x14ac:dyDescent="0.3">
      <c r="A20" s="2">
        <f t="shared" si="5"/>
        <v>37</v>
      </c>
      <c r="B20" s="2">
        <v>9381566</v>
      </c>
      <c r="D20" s="5">
        <f t="shared" si="6"/>
        <v>45</v>
      </c>
      <c r="E20" s="5">
        <f t="shared" si="7"/>
        <v>17</v>
      </c>
      <c r="F20" s="5">
        <f t="shared" si="0"/>
        <v>0.96175421565360664</v>
      </c>
      <c r="G20" s="5">
        <f t="shared" si="1"/>
        <v>3.8437420468647732E-3</v>
      </c>
      <c r="H20" s="5">
        <f t="shared" si="2"/>
        <v>0.37136441859695657</v>
      </c>
      <c r="I20" s="8">
        <f t="shared" si="8"/>
        <v>3.4259426433341331</v>
      </c>
      <c r="K20" s="5">
        <f t="shared" si="9"/>
        <v>67</v>
      </c>
      <c r="L20" s="5">
        <f t="shared" si="10"/>
        <v>17</v>
      </c>
      <c r="M20" s="5">
        <f t="shared" si="3"/>
        <v>0.80457095883420005</v>
      </c>
      <c r="N20" s="5">
        <f t="shared" si="4"/>
        <v>0.37136441859695657</v>
      </c>
    </row>
    <row r="21" spans="1:14" ht="17.399999999999999" x14ac:dyDescent="0.3">
      <c r="A21" s="2">
        <f t="shared" si="5"/>
        <v>38</v>
      </c>
      <c r="B21" s="2">
        <v>9360184</v>
      </c>
      <c r="D21" s="5">
        <f t="shared" si="6"/>
        <v>46</v>
      </c>
      <c r="E21" s="5">
        <f t="shared" si="7"/>
        <v>18</v>
      </c>
      <c r="F21" s="5">
        <f t="shared" si="0"/>
        <v>0.95791047360674186</v>
      </c>
      <c r="G21" s="5">
        <f t="shared" si="1"/>
        <v>4.1325605618947048E-3</v>
      </c>
      <c r="H21" s="5">
        <f t="shared" si="2"/>
        <v>0.35034379112920433</v>
      </c>
      <c r="I21" s="8">
        <f t="shared" si="8"/>
        <v>3.7000180548008639</v>
      </c>
      <c r="K21" s="5">
        <f t="shared" si="9"/>
        <v>68</v>
      </c>
      <c r="L21" s="5">
        <f t="shared" si="10"/>
        <v>18</v>
      </c>
      <c r="M21" s="5">
        <f t="shared" si="3"/>
        <v>0.78410341037176035</v>
      </c>
      <c r="N21" s="5">
        <f t="shared" si="4"/>
        <v>0.35034379112920433</v>
      </c>
    </row>
    <row r="22" spans="1:14" ht="17.399999999999999" x14ac:dyDescent="0.3">
      <c r="A22" s="2">
        <f t="shared" si="5"/>
        <v>39</v>
      </c>
      <c r="B22" s="2">
        <v>9337427</v>
      </c>
      <c r="D22" s="5">
        <f t="shared" si="6"/>
        <v>47</v>
      </c>
      <c r="E22" s="5">
        <f t="shared" si="7"/>
        <v>19</v>
      </c>
      <c r="F22" s="5">
        <f t="shared" si="0"/>
        <v>0.95377791304484716</v>
      </c>
      <c r="G22" s="5">
        <f t="shared" si="1"/>
        <v>4.4466716867074263E-3</v>
      </c>
      <c r="H22" s="5">
        <f t="shared" si="2"/>
        <v>0.3305130104992493</v>
      </c>
      <c r="I22" s="8">
        <f t="shared" si="8"/>
        <v>3.9960194991849334</v>
      </c>
      <c r="K22" s="5">
        <f t="shared" si="9"/>
        <v>69</v>
      </c>
      <c r="L22" s="5">
        <f t="shared" si="10"/>
        <v>19</v>
      </c>
      <c r="M22" s="5">
        <f t="shared" si="3"/>
        <v>0.76231063219222284</v>
      </c>
      <c r="N22" s="5">
        <f t="shared" si="4"/>
        <v>0.3305130104992493</v>
      </c>
    </row>
    <row r="23" spans="1:14" ht="17.399999999999999" x14ac:dyDescent="0.3">
      <c r="A23" s="2">
        <f t="shared" si="5"/>
        <v>40</v>
      </c>
      <c r="B23" s="2">
        <v>9313166</v>
      </c>
      <c r="D23" s="5">
        <f t="shared" si="6"/>
        <v>48</v>
      </c>
      <c r="E23" s="5">
        <f t="shared" si="7"/>
        <v>20</v>
      </c>
      <c r="F23" s="5">
        <f t="shared" si="0"/>
        <v>0.94933124135813973</v>
      </c>
      <c r="G23" s="5">
        <f t="shared" si="1"/>
        <v>4.7879644958925827E-3</v>
      </c>
      <c r="H23" s="5">
        <f t="shared" si="2"/>
        <v>0.31180472688608429</v>
      </c>
      <c r="I23" s="8">
        <f t="shared" si="8"/>
        <v>4.3157010591197285</v>
      </c>
      <c r="K23" s="5">
        <f t="shared" si="9"/>
        <v>70</v>
      </c>
      <c r="L23" s="5">
        <f t="shared" si="10"/>
        <v>20</v>
      </c>
      <c r="M23" s="5">
        <f t="shared" si="3"/>
        <v>0.73916078392555118</v>
      </c>
      <c r="N23" s="5">
        <f t="shared" si="4"/>
        <v>0.31180472688608429</v>
      </c>
    </row>
    <row r="24" spans="1:14" ht="17.399999999999999" x14ac:dyDescent="0.3">
      <c r="A24" s="2">
        <f t="shared" si="5"/>
        <v>41</v>
      </c>
      <c r="B24" s="2">
        <v>9287264</v>
      </c>
      <c r="D24" s="5">
        <f t="shared" si="6"/>
        <v>49</v>
      </c>
      <c r="E24" s="5">
        <f t="shared" si="7"/>
        <v>21</v>
      </c>
      <c r="F24" s="5">
        <f t="shared" si="0"/>
        <v>0.94454327686224715</v>
      </c>
      <c r="G24" s="5">
        <f t="shared" si="1"/>
        <v>5.1588528069812511E-3</v>
      </c>
      <c r="H24" s="5">
        <f t="shared" si="2"/>
        <v>0.29415540272272095</v>
      </c>
      <c r="I24" s="8">
        <f t="shared" si="8"/>
        <v>4.6609571438493065</v>
      </c>
      <c r="K24" s="5">
        <f t="shared" si="9"/>
        <v>71</v>
      </c>
      <c r="L24" s="5">
        <f t="shared" si="10"/>
        <v>21</v>
      </c>
      <c r="M24" s="5">
        <f t="shared" si="3"/>
        <v>0.71463297382017743</v>
      </c>
      <c r="N24" s="5">
        <f t="shared" si="4"/>
        <v>0.29415540272272095</v>
      </c>
    </row>
    <row r="25" spans="1:14" ht="17.399999999999999" x14ac:dyDescent="0.3">
      <c r="A25" s="2">
        <f t="shared" si="5"/>
        <v>42</v>
      </c>
      <c r="B25" s="2">
        <v>9259571</v>
      </c>
      <c r="D25" s="5">
        <f t="shared" si="6"/>
        <v>50</v>
      </c>
      <c r="E25" s="5">
        <f t="shared" si="7"/>
        <v>22</v>
      </c>
      <c r="F25" s="5">
        <f t="shared" si="0"/>
        <v>0.9393844240552659</v>
      </c>
      <c r="G25" s="5">
        <f t="shared" si="1"/>
        <v>5.5610157973862151E-3</v>
      </c>
      <c r="H25" s="5">
        <f t="shared" si="2"/>
        <v>0.27750509690822728</v>
      </c>
      <c r="I25" s="8">
        <f t="shared" si="8"/>
        <v>5.0338337153572512</v>
      </c>
      <c r="K25" s="5">
        <f t="shared" si="9"/>
        <v>72</v>
      </c>
      <c r="L25" s="5">
        <f t="shared" si="10"/>
        <v>22</v>
      </c>
      <c r="M25" s="5">
        <f t="shared" si="3"/>
        <v>0.68871982831672474</v>
      </c>
      <c r="N25" s="5">
        <f t="shared" si="4"/>
        <v>0.27750509690822728</v>
      </c>
    </row>
    <row r="26" spans="1:14" ht="17.399999999999999" x14ac:dyDescent="0.3">
      <c r="A26" s="2">
        <f t="shared" si="5"/>
        <v>43</v>
      </c>
      <c r="B26" s="2">
        <v>9229925</v>
      </c>
      <c r="D26" s="5">
        <f t="shared" si="6"/>
        <v>51</v>
      </c>
      <c r="E26" s="5">
        <f t="shared" si="7"/>
        <v>23</v>
      </c>
      <c r="F26" s="5">
        <f t="shared" si="0"/>
        <v>0.93382340825787968</v>
      </c>
      <c r="G26" s="5">
        <f t="shared" si="1"/>
        <v>5.9970771818155244E-3</v>
      </c>
      <c r="H26" s="5">
        <f t="shared" si="2"/>
        <v>0.26179726123417668</v>
      </c>
      <c r="I26" s="8">
        <f t="shared" si="8"/>
        <v>5.4365404125858321</v>
      </c>
      <c r="K26" s="5">
        <f t="shared" si="9"/>
        <v>73</v>
      </c>
      <c r="L26" s="5">
        <f t="shared" si="10"/>
        <v>23</v>
      </c>
      <c r="M26" s="5">
        <f t="shared" si="3"/>
        <v>0.66142994990113291</v>
      </c>
      <c r="N26" s="5">
        <f t="shared" si="4"/>
        <v>0.26179726123417668</v>
      </c>
    </row>
    <row r="27" spans="1:14" ht="17.399999999999999" x14ac:dyDescent="0.3">
      <c r="A27" s="2">
        <f t="shared" si="5"/>
        <v>44</v>
      </c>
      <c r="B27" s="2">
        <v>9198149</v>
      </c>
      <c r="D27" s="5">
        <f t="shared" si="6"/>
        <v>52</v>
      </c>
      <c r="E27" s="5">
        <f t="shared" si="7"/>
        <v>24</v>
      </c>
      <c r="F27" s="5">
        <f t="shared" si="0"/>
        <v>0.92782633107606416</v>
      </c>
      <c r="G27" s="5">
        <f t="shared" si="1"/>
        <v>6.4692408806236168E-3</v>
      </c>
      <c r="H27" s="5">
        <f t="shared" si="2"/>
        <v>0.24697854833412897</v>
      </c>
      <c r="I27" s="8">
        <f t="shared" si="8"/>
        <v>5.8714636455926987</v>
      </c>
      <c r="K27" s="5">
        <f t="shared" si="9"/>
        <v>74</v>
      </c>
      <c r="L27" s="5">
        <f t="shared" si="10"/>
        <v>24</v>
      </c>
      <c r="M27" s="5">
        <f t="shared" si="3"/>
        <v>0.63279115700195987</v>
      </c>
      <c r="N27" s="5">
        <f t="shared" si="4"/>
        <v>0.24697854833412897</v>
      </c>
    </row>
    <row r="28" spans="1:14" ht="17.399999999999999" x14ac:dyDescent="0.3">
      <c r="A28" s="2">
        <f t="shared" si="5"/>
        <v>45</v>
      </c>
      <c r="B28" s="2">
        <v>9164051</v>
      </c>
      <c r="D28" s="5">
        <f t="shared" si="6"/>
        <v>53</v>
      </c>
      <c r="E28" s="5">
        <f t="shared" si="7"/>
        <v>25</v>
      </c>
      <c r="F28" s="5">
        <f t="shared" si="0"/>
        <v>0.92135709019544054</v>
      </c>
      <c r="G28" s="5">
        <f t="shared" si="1"/>
        <v>6.9798157627533053E-3</v>
      </c>
      <c r="H28" s="5">
        <f t="shared" si="2"/>
        <v>0.23299863050389524</v>
      </c>
      <c r="I28" s="8">
        <f t="shared" si="8"/>
        <v>6.3411807372401148</v>
      </c>
      <c r="K28" s="5">
        <f t="shared" si="9"/>
        <v>75</v>
      </c>
      <c r="L28" s="5">
        <f t="shared" si="10"/>
        <v>25</v>
      </c>
      <c r="M28" s="5">
        <f t="shared" si="3"/>
        <v>0.60285338872589478</v>
      </c>
      <c r="N28" s="5">
        <f t="shared" si="4"/>
        <v>0.23299863050389524</v>
      </c>
    </row>
    <row r="29" spans="1:14" ht="17.399999999999999" x14ac:dyDescent="0.3">
      <c r="A29" s="2">
        <f t="shared" si="5"/>
        <v>46</v>
      </c>
      <c r="B29" s="2">
        <v>9127426</v>
      </c>
      <c r="D29" s="5">
        <f t="shared" si="6"/>
        <v>54</v>
      </c>
      <c r="E29" s="5">
        <f t="shared" si="7"/>
        <v>26</v>
      </c>
      <c r="F29" s="5">
        <f t="shared" si="0"/>
        <v>0.91437727443268724</v>
      </c>
      <c r="G29" s="5">
        <f t="shared" si="1"/>
        <v>7.5311106971471808E-3</v>
      </c>
      <c r="H29" s="5">
        <f t="shared" si="2"/>
        <v>0.21981002877725966</v>
      </c>
      <c r="I29" s="8">
        <f t="shared" si="8"/>
        <v>6.8484751962193249</v>
      </c>
      <c r="K29" s="5">
        <f t="shared" si="9"/>
        <v>76</v>
      </c>
      <c r="L29" s="5">
        <f t="shared" si="10"/>
        <v>26</v>
      </c>
      <c r="M29" s="5">
        <f t="shared" si="3"/>
        <v>0.57169127443147905</v>
      </c>
      <c r="N29" s="5">
        <f t="shared" si="4"/>
        <v>0.21981002877725966</v>
      </c>
    </row>
    <row r="30" spans="1:14" ht="17.399999999999999" x14ac:dyDescent="0.3">
      <c r="A30" s="2">
        <f t="shared" si="5"/>
        <v>47</v>
      </c>
      <c r="B30" s="2">
        <v>9088049</v>
      </c>
      <c r="D30" s="5">
        <f t="shared" si="6"/>
        <v>55</v>
      </c>
      <c r="E30" s="5">
        <f t="shared" si="7"/>
        <v>27</v>
      </c>
      <c r="F30" s="5">
        <f t="shared" si="0"/>
        <v>0.90684616373554006</v>
      </c>
      <c r="G30" s="5">
        <f t="shared" si="1"/>
        <v>8.1257493985134044E-3</v>
      </c>
      <c r="H30" s="5">
        <f t="shared" si="2"/>
        <v>0.20736795167666003</v>
      </c>
      <c r="I30" s="8">
        <f t="shared" si="8"/>
        <v>7.3963532119168702</v>
      </c>
      <c r="K30" s="5">
        <f t="shared" si="9"/>
        <v>77</v>
      </c>
      <c r="L30" s="5">
        <f t="shared" si="10"/>
        <v>27</v>
      </c>
      <c r="M30" s="5">
        <f t="shared" si="3"/>
        <v>0.53940737362640923</v>
      </c>
      <c r="N30" s="5">
        <f t="shared" si="4"/>
        <v>0.20736795167666003</v>
      </c>
    </row>
    <row r="31" spans="1:14" ht="17.399999999999999" x14ac:dyDescent="0.3">
      <c r="A31" s="2">
        <f t="shared" si="5"/>
        <v>48</v>
      </c>
      <c r="B31" s="2">
        <v>9045679</v>
      </c>
      <c r="D31" s="5">
        <f t="shared" si="6"/>
        <v>56</v>
      </c>
      <c r="E31" s="5">
        <f t="shared" si="7"/>
        <v>28</v>
      </c>
      <c r="F31" s="5">
        <f t="shared" si="0"/>
        <v>0.89872041433702665</v>
      </c>
      <c r="G31" s="5">
        <f t="shared" si="1"/>
        <v>8.7660407357945669E-3</v>
      </c>
      <c r="H31" s="5">
        <f t="shared" si="2"/>
        <v>0.1956301430911887</v>
      </c>
      <c r="I31" s="8">
        <f t="shared" si="8"/>
        <v>7.9880614688702201</v>
      </c>
      <c r="K31" s="5">
        <f t="shared" si="9"/>
        <v>78</v>
      </c>
      <c r="L31" s="5">
        <f t="shared" si="10"/>
        <v>28</v>
      </c>
      <c r="M31" s="5">
        <f t="shared" si="3"/>
        <v>0.50613452210006571</v>
      </c>
      <c r="N31" s="5">
        <f t="shared" si="4"/>
        <v>0.1956301430911887</v>
      </c>
    </row>
    <row r="32" spans="1:14" ht="17.399999999999999" x14ac:dyDescent="0.3">
      <c r="A32" s="2">
        <f t="shared" si="5"/>
        <v>49</v>
      </c>
      <c r="B32" s="2">
        <v>9000057</v>
      </c>
      <c r="D32" s="5">
        <f t="shared" si="6"/>
        <v>57</v>
      </c>
      <c r="E32" s="5">
        <f t="shared" si="7"/>
        <v>29</v>
      </c>
      <c r="F32" s="5">
        <f t="shared" si="0"/>
        <v>0.88995437360123208</v>
      </c>
      <c r="G32" s="5">
        <f t="shared" si="1"/>
        <v>9.4539787321685775E-3</v>
      </c>
      <c r="H32" s="5">
        <f t="shared" si="2"/>
        <v>0.18455673876527234</v>
      </c>
      <c r="I32" s="8">
        <f t="shared" si="8"/>
        <v>8.6271063863798378</v>
      </c>
      <c r="K32" s="5">
        <f t="shared" si="9"/>
        <v>79</v>
      </c>
      <c r="L32" s="5">
        <f t="shared" si="10"/>
        <v>29</v>
      </c>
      <c r="M32" s="5">
        <f t="shared" si="3"/>
        <v>0.47203773117365505</v>
      </c>
      <c r="N32" s="5">
        <f t="shared" si="4"/>
        <v>0.18455673876527234</v>
      </c>
    </row>
    <row r="33" spans="1:14" ht="17.399999999999999" x14ac:dyDescent="0.3">
      <c r="A33" s="2">
        <f t="shared" si="5"/>
        <v>50</v>
      </c>
      <c r="B33" s="2">
        <v>8950901</v>
      </c>
      <c r="D33" s="5">
        <f t="shared" si="6"/>
        <v>58</v>
      </c>
      <c r="E33" s="5">
        <f t="shared" si="7"/>
        <v>30</v>
      </c>
      <c r="F33" s="5">
        <f t="shared" si="0"/>
        <v>0.88050039486906351</v>
      </c>
      <c r="G33" s="5">
        <f t="shared" si="1"/>
        <v>1.0191872256578249E-2</v>
      </c>
      <c r="H33" s="5">
        <f t="shared" si="2"/>
        <v>0.17411013091063426</v>
      </c>
      <c r="I33" s="8">
        <f t="shared" si="8"/>
        <v>9.3172748972902255</v>
      </c>
      <c r="K33" s="5">
        <f t="shared" si="9"/>
        <v>80</v>
      </c>
      <c r="L33" s="5">
        <f t="shared" si="10"/>
        <v>30</v>
      </c>
      <c r="M33" s="5">
        <f t="shared" si="3"/>
        <v>0.43731519318557988</v>
      </c>
      <c r="N33" s="5">
        <f t="shared" si="4"/>
        <v>0.17411013091063426</v>
      </c>
    </row>
    <row r="34" spans="1:14" ht="17.399999999999999" x14ac:dyDescent="0.3">
      <c r="A34" s="2">
        <f t="shared" si="5"/>
        <v>51</v>
      </c>
      <c r="B34" s="2">
        <v>8897913</v>
      </c>
      <c r="D34" s="5">
        <f t="shared" si="6"/>
        <v>59</v>
      </c>
      <c r="E34" s="5">
        <f t="shared" si="7"/>
        <v>31</v>
      </c>
      <c r="F34" s="5">
        <f t="shared" si="0"/>
        <v>0.87030852261248526</v>
      </c>
      <c r="G34" s="5">
        <f t="shared" si="1"/>
        <v>1.0981715332201714E-2</v>
      </c>
      <c r="H34" s="5">
        <f t="shared" si="2"/>
        <v>0.16425484048173042</v>
      </c>
      <c r="I34" s="8">
        <f t="shared" si="8"/>
        <v>10.062656889073445</v>
      </c>
      <c r="K34" s="5">
        <f t="shared" si="9"/>
        <v>81</v>
      </c>
      <c r="L34" s="5">
        <f t="shared" si="10"/>
        <v>31</v>
      </c>
      <c r="M34" s="5">
        <f t="shared" si="3"/>
        <v>0.40219839321203532</v>
      </c>
      <c r="N34" s="5">
        <f t="shared" si="4"/>
        <v>0.16425484048173042</v>
      </c>
    </row>
    <row r="35" spans="1:14" ht="17.399999999999999" x14ac:dyDescent="0.3">
      <c r="A35" s="2">
        <f t="shared" si="5"/>
        <v>52</v>
      </c>
      <c r="B35" s="2">
        <v>8840770</v>
      </c>
      <c r="D35" s="5">
        <f t="shared" si="6"/>
        <v>60</v>
      </c>
      <c r="E35" s="5">
        <f t="shared" si="7"/>
        <v>32</v>
      </c>
      <c r="F35" s="5">
        <f t="shared" si="0"/>
        <v>0.85932680728028354</v>
      </c>
      <c r="G35" s="5">
        <f t="shared" si="1"/>
        <v>1.1824662393509988E-2</v>
      </c>
      <c r="H35" s="5">
        <f t="shared" si="2"/>
        <v>0.15495739668087777</v>
      </c>
      <c r="I35" s="8">
        <f t="shared" si="8"/>
        <v>10.867669440199322</v>
      </c>
      <c r="K35" s="5">
        <f t="shared" si="9"/>
        <v>82</v>
      </c>
      <c r="L35" s="5">
        <f t="shared" si="10"/>
        <v>32</v>
      </c>
      <c r="M35" s="5">
        <f t="shared" si="3"/>
        <v>0.3669509918610428</v>
      </c>
      <c r="N35" s="5">
        <f t="shared" si="4"/>
        <v>0.15495739668087777</v>
      </c>
    </row>
    <row r="36" spans="1:14" ht="17.399999999999999" x14ac:dyDescent="0.3">
      <c r="A36" s="2">
        <f t="shared" si="5"/>
        <v>53</v>
      </c>
      <c r="B36" s="2">
        <v>8779128</v>
      </c>
      <c r="D36" s="5">
        <f t="shared" si="6"/>
        <v>61</v>
      </c>
      <c r="E36" s="5">
        <f t="shared" si="7"/>
        <v>33</v>
      </c>
      <c r="F36" s="5">
        <f t="shared" si="0"/>
        <v>0.84750214488677356</v>
      </c>
      <c r="G36" s="5">
        <f t="shared" si="1"/>
        <v>1.2722287669327925E-2</v>
      </c>
      <c r="H36" s="5">
        <f t="shared" si="2"/>
        <v>0.14618622328384695</v>
      </c>
      <c r="I36" s="8">
        <f t="shared" si="8"/>
        <v>11.737082995415268</v>
      </c>
      <c r="K36" s="5">
        <f t="shared" si="9"/>
        <v>83</v>
      </c>
      <c r="L36" s="5">
        <f t="shared" si="10"/>
        <v>33</v>
      </c>
      <c r="M36" s="5">
        <f t="shared" si="3"/>
        <v>0.33186558537514826</v>
      </c>
      <c r="N36" s="5">
        <f t="shared" si="4"/>
        <v>0.14618622328384695</v>
      </c>
    </row>
    <row r="37" spans="1:14" ht="17.399999999999999" x14ac:dyDescent="0.3">
      <c r="A37" s="2">
        <f t="shared" si="5"/>
        <v>54</v>
      </c>
      <c r="B37" s="2">
        <v>8712621</v>
      </c>
      <c r="D37" s="5">
        <f t="shared" si="6"/>
        <v>62</v>
      </c>
      <c r="E37" s="5">
        <f t="shared" si="7"/>
        <v>34</v>
      </c>
      <c r="F37" s="5">
        <f t="shared" si="0"/>
        <v>0.83477985721744563</v>
      </c>
      <c r="G37" s="5">
        <f t="shared" si="1"/>
        <v>1.3674801056832275E-2</v>
      </c>
      <c r="H37" s="5">
        <f t="shared" si="2"/>
        <v>0.1379115313998556</v>
      </c>
      <c r="I37" s="8">
        <f t="shared" si="8"/>
        <v>12.676049635048489</v>
      </c>
      <c r="K37" s="5">
        <f t="shared" si="9"/>
        <v>84</v>
      </c>
      <c r="L37" s="5">
        <f t="shared" si="10"/>
        <v>34</v>
      </c>
      <c r="M37" s="5">
        <f t="shared" si="3"/>
        <v>0.29725878992517069</v>
      </c>
      <c r="N37" s="5">
        <f t="shared" si="4"/>
        <v>0.1379115313998556</v>
      </c>
    </row>
    <row r="38" spans="1:14" ht="17.399999999999999" x14ac:dyDescent="0.3">
      <c r="A38" s="2">
        <f t="shared" si="5"/>
        <v>55</v>
      </c>
      <c r="B38" s="2">
        <v>8640861</v>
      </c>
      <c r="D38" s="5">
        <f t="shared" si="6"/>
        <v>63</v>
      </c>
      <c r="E38" s="5">
        <f t="shared" si="7"/>
        <v>35</v>
      </c>
      <c r="F38" s="5">
        <f t="shared" si="0"/>
        <v>0.82110505616061336</v>
      </c>
      <c r="G38" s="5">
        <f t="shared" si="1"/>
        <v>1.4682307504611192E-2</v>
      </c>
      <c r="H38" s="5">
        <f t="shared" si="2"/>
        <v>0.13010521830175056</v>
      </c>
      <c r="I38" s="8">
        <f t="shared" si="8"/>
        <v>13.690133605852369</v>
      </c>
      <c r="K38" s="5">
        <f t="shared" si="9"/>
        <v>85</v>
      </c>
      <c r="L38" s="5">
        <f t="shared" si="10"/>
        <v>35</v>
      </c>
      <c r="M38" s="5">
        <f t="shared" si="3"/>
        <v>0.26346465009500158</v>
      </c>
      <c r="N38" s="5">
        <f t="shared" si="4"/>
        <v>0.13010521830175056</v>
      </c>
    </row>
    <row r="39" spans="1:14" ht="17.399999999999999" x14ac:dyDescent="0.3">
      <c r="A39" s="2">
        <f t="shared" si="5"/>
        <v>56</v>
      </c>
      <c r="B39" s="2">
        <v>8563435</v>
      </c>
      <c r="D39" s="5">
        <f t="shared" si="6"/>
        <v>64</v>
      </c>
      <c r="E39" s="5">
        <f t="shared" si="7"/>
        <v>36</v>
      </c>
      <c r="F39" s="5">
        <f t="shared" si="0"/>
        <v>0.80642274865600216</v>
      </c>
      <c r="G39" s="5">
        <f t="shared" si="1"/>
        <v>1.5743862475369852E-2</v>
      </c>
      <c r="H39" s="5">
        <f t="shared" si="2"/>
        <v>0.12274077198278353</v>
      </c>
      <c r="I39" s="8">
        <f t="shared" si="8"/>
        <v>14.785344294320559</v>
      </c>
      <c r="K39" s="5">
        <f t="shared" si="9"/>
        <v>86</v>
      </c>
      <c r="L39" s="5">
        <f t="shared" si="10"/>
        <v>36</v>
      </c>
      <c r="M39" s="5">
        <f t="shared" si="3"/>
        <v>0.23082480746910283</v>
      </c>
      <c r="N39" s="5">
        <f t="shared" si="4"/>
        <v>0.12274077198278353</v>
      </c>
    </row>
    <row r="40" spans="1:14" ht="17.399999999999999" x14ac:dyDescent="0.3">
      <c r="A40" s="2">
        <f t="shared" si="5"/>
        <v>57</v>
      </c>
      <c r="B40" s="2">
        <v>8479908</v>
      </c>
      <c r="D40" s="5">
        <f t="shared" si="6"/>
        <v>65</v>
      </c>
      <c r="E40" s="5">
        <f t="shared" si="7"/>
        <v>37</v>
      </c>
      <c r="F40" s="5">
        <f t="shared" si="0"/>
        <v>0.79067888618063231</v>
      </c>
      <c r="G40" s="5">
        <f t="shared" si="1"/>
        <v>1.6857471945930569E-2</v>
      </c>
      <c r="H40" s="5">
        <f t="shared" si="2"/>
        <v>0.11579318111583352</v>
      </c>
      <c r="I40" s="8">
        <f t="shared" si="8"/>
        <v>15.968171837866207</v>
      </c>
      <c r="K40" s="5">
        <f t="shared" si="9"/>
        <v>87</v>
      </c>
      <c r="L40" s="5">
        <f t="shared" si="10"/>
        <v>37</v>
      </c>
      <c r="M40" s="5">
        <f t="shared" si="3"/>
        <v>0.19967811061702057</v>
      </c>
      <c r="N40" s="5">
        <f t="shared" si="4"/>
        <v>0.11579318111583352</v>
      </c>
    </row>
    <row r="41" spans="1:14" ht="17.399999999999999" x14ac:dyDescent="0.3">
      <c r="A41" s="2">
        <f t="shared" si="5"/>
        <v>58</v>
      </c>
      <c r="B41" s="2">
        <v>8389826</v>
      </c>
      <c r="D41" s="5">
        <f t="shared" si="6"/>
        <v>66</v>
      </c>
      <c r="E41" s="5">
        <f t="shared" si="7"/>
        <v>38</v>
      </c>
      <c r="F41" s="5">
        <f t="shared" si="0"/>
        <v>0.77382141423470174</v>
      </c>
      <c r="G41" s="5">
        <f t="shared" si="1"/>
        <v>1.8019987458643638E-2</v>
      </c>
      <c r="H41" s="5">
        <f t="shared" si="2"/>
        <v>0.10923885010927689</v>
      </c>
      <c r="I41" s="8">
        <f t="shared" si="8"/>
        <v>17.245625584895503</v>
      </c>
      <c r="K41" s="5">
        <f t="shared" si="9"/>
        <v>88</v>
      </c>
      <c r="L41" s="5">
        <f t="shared" si="10"/>
        <v>38</v>
      </c>
      <c r="M41" s="5">
        <f t="shared" si="3"/>
        <v>0.17034687346000141</v>
      </c>
      <c r="N41" s="5">
        <f t="shared" si="4"/>
        <v>0.10923885010927689</v>
      </c>
    </row>
    <row r="42" spans="1:14" ht="17.399999999999999" x14ac:dyDescent="0.3">
      <c r="A42" s="2">
        <f t="shared" si="5"/>
        <v>59</v>
      </c>
      <c r="B42" s="2">
        <v>8292713</v>
      </c>
      <c r="D42" s="5">
        <f t="shared" si="6"/>
        <v>67</v>
      </c>
      <c r="E42" s="5">
        <f t="shared" si="7"/>
        <v>39</v>
      </c>
      <c r="F42" s="5">
        <f t="shared" si="0"/>
        <v>0.75580142677605811</v>
      </c>
      <c r="G42" s="5">
        <f t="shared" si="1"/>
        <v>1.9226896224212142E-2</v>
      </c>
      <c r="H42" s="5">
        <f t="shared" si="2"/>
        <v>0.10305551897101592</v>
      </c>
      <c r="I42" s="8">
        <f t="shared" si="8"/>
        <v>18.625275631687146</v>
      </c>
      <c r="K42" s="5">
        <f t="shared" si="9"/>
        <v>89</v>
      </c>
      <c r="L42" s="5">
        <f t="shared" si="10"/>
        <v>39</v>
      </c>
      <c r="M42" s="5">
        <f t="shared" si="3"/>
        <v>0.14312335707880133</v>
      </c>
      <c r="N42" s="5">
        <f t="shared" si="4"/>
        <v>0.10305551897101592</v>
      </c>
    </row>
    <row r="43" spans="1:14" ht="17.399999999999999" x14ac:dyDescent="0.3">
      <c r="A43" s="2">
        <f t="shared" si="5"/>
        <v>60</v>
      </c>
      <c r="B43" s="2">
        <v>8188074</v>
      </c>
      <c r="D43" s="5">
        <f t="shared" si="6"/>
        <v>68</v>
      </c>
      <c r="E43" s="5">
        <f t="shared" si="7"/>
        <v>40</v>
      </c>
      <c r="F43" s="5">
        <f t="shared" si="0"/>
        <v>0.73657453055184596</v>
      </c>
      <c r="G43" s="5">
        <f t="shared" si="1"/>
        <v>2.0471796378748963E-2</v>
      </c>
      <c r="H43" s="5">
        <f t="shared" si="2"/>
        <v>9.7222187708505589E-2</v>
      </c>
      <c r="I43" s="8">
        <f t="shared" si="8"/>
        <v>20.115297682222117</v>
      </c>
      <c r="K43" s="5">
        <f t="shared" si="9"/>
        <v>90</v>
      </c>
      <c r="L43" s="5">
        <f t="shared" si="10"/>
        <v>40</v>
      </c>
      <c r="M43" s="5">
        <f t="shared" si="3"/>
        <v>0.11825524603612531</v>
      </c>
      <c r="N43" s="5">
        <f t="shared" si="4"/>
        <v>9.7222187708505589E-2</v>
      </c>
    </row>
    <row r="44" spans="1:14" ht="17.399999999999999" x14ac:dyDescent="0.3">
      <c r="A44" s="2">
        <f t="shared" si="5"/>
        <v>61</v>
      </c>
      <c r="B44" s="2">
        <v>8075403</v>
      </c>
      <c r="D44" s="5">
        <f t="shared" si="6"/>
        <v>69</v>
      </c>
      <c r="E44" s="5">
        <f t="shared" si="7"/>
        <v>41</v>
      </c>
      <c r="F44" s="5">
        <f t="shared" si="0"/>
        <v>0.716102734173097</v>
      </c>
      <c r="G44" s="5">
        <f t="shared" si="1"/>
        <v>2.17466068809542E-2</v>
      </c>
      <c r="H44" s="5">
        <f t="shared" si="2"/>
        <v>9.171904500802415E-2</v>
      </c>
      <c r="I44" s="8">
        <f t="shared" si="8"/>
        <v>21.724521496799888</v>
      </c>
      <c r="K44" s="5">
        <f t="shared" si="9"/>
        <v>91</v>
      </c>
      <c r="L44" s="5">
        <f t="shared" si="10"/>
        <v>41</v>
      </c>
      <c r="M44" s="5">
        <f t="shared" si="3"/>
        <v>9.593179502264633E-2</v>
      </c>
      <c r="N44" s="5">
        <f t="shared" si="4"/>
        <v>9.171904500802415E-2</v>
      </c>
    </row>
    <row r="45" spans="1:14" ht="17.399999999999999" x14ac:dyDescent="0.3">
      <c r="A45" s="2">
        <f t="shared" si="5"/>
        <v>62</v>
      </c>
      <c r="B45" s="2">
        <v>7954179</v>
      </c>
      <c r="D45" s="5">
        <f t="shared" si="6"/>
        <v>70</v>
      </c>
      <c r="E45" s="5">
        <f t="shared" si="7"/>
        <v>42</v>
      </c>
      <c r="F45" s="5">
        <f t="shared" si="0"/>
        <v>0.6943561272921428</v>
      </c>
      <c r="G45" s="5">
        <f t="shared" si="1"/>
        <v>2.3041042769173514E-2</v>
      </c>
      <c r="H45" s="5">
        <f t="shared" si="2"/>
        <v>8.6527400950966171E-2</v>
      </c>
      <c r="I45" s="8">
        <f t="shared" si="8"/>
        <v>23.46248321654388</v>
      </c>
      <c r="K45" s="5">
        <f t="shared" si="9"/>
        <v>92</v>
      </c>
      <c r="L45" s="5">
        <f t="shared" si="10"/>
        <v>42</v>
      </c>
      <c r="M45" s="5">
        <f t="shared" si="3"/>
        <v>7.6272433356150401E-2</v>
      </c>
      <c r="N45" s="5">
        <f t="shared" si="4"/>
        <v>8.6527400950966171E-2</v>
      </c>
    </row>
    <row r="46" spans="1:14" ht="17.399999999999999" x14ac:dyDescent="0.3">
      <c r="A46" s="2">
        <f t="shared" si="5"/>
        <v>63</v>
      </c>
      <c r="B46" s="2">
        <v>7823879</v>
      </c>
      <c r="D46" s="5">
        <f t="shared" si="6"/>
        <v>71</v>
      </c>
      <c r="E46" s="5">
        <f t="shared" si="7"/>
        <v>43</v>
      </c>
      <c r="F46" s="5">
        <f t="shared" si="0"/>
        <v>0.67131508452296929</v>
      </c>
      <c r="G46" s="5">
        <f t="shared" si="1"/>
        <v>2.4342405264221156E-2</v>
      </c>
      <c r="H46" s="5">
        <f t="shared" si="2"/>
        <v>8.162962353864732E-2</v>
      </c>
      <c r="I46" s="8">
        <f t="shared" si="8"/>
        <v>25.339481873867388</v>
      </c>
      <c r="K46" s="5">
        <f t="shared" si="9"/>
        <v>93</v>
      </c>
      <c r="L46" s="5">
        <f t="shared" si="10"/>
        <v>43</v>
      </c>
      <c r="M46" s="5">
        <f t="shared" si="3"/>
        <v>5.9319056260369769E-2</v>
      </c>
      <c r="N46" s="5">
        <f t="shared" si="4"/>
        <v>8.162962353864732E-2</v>
      </c>
    </row>
    <row r="47" spans="1:14" ht="17.399999999999999" x14ac:dyDescent="0.3">
      <c r="A47" s="2">
        <f t="shared" si="5"/>
        <v>64</v>
      </c>
      <c r="B47" s="2">
        <v>7683979</v>
      </c>
      <c r="D47" s="5">
        <f t="shared" si="6"/>
        <v>72</v>
      </c>
      <c r="E47" s="5">
        <f t="shared" si="7"/>
        <v>44</v>
      </c>
      <c r="F47" s="5">
        <f t="shared" si="0"/>
        <v>0.64697267925874813</v>
      </c>
      <c r="G47" s="5">
        <f t="shared" si="1"/>
        <v>2.5635686717969008E-2</v>
      </c>
      <c r="H47" s="5">
        <f t="shared" si="2"/>
        <v>7.7009078810044637E-2</v>
      </c>
      <c r="I47" s="8">
        <f t="shared" si="8"/>
        <v>27.366640423776779</v>
      </c>
      <c r="K47" s="5">
        <f t="shared" si="9"/>
        <v>94</v>
      </c>
      <c r="L47" s="5">
        <f t="shared" si="10"/>
        <v>44</v>
      </c>
      <c r="M47" s="5">
        <f t="shared" si="3"/>
        <v>4.5031444320521474E-2</v>
      </c>
      <c r="N47" s="5">
        <f t="shared" si="4"/>
        <v>7.7009078810044637E-2</v>
      </c>
    </row>
    <row r="48" spans="1:14" ht="17.399999999999999" x14ac:dyDescent="0.3">
      <c r="A48" s="2">
        <f t="shared" si="5"/>
        <v>65</v>
      </c>
      <c r="B48" s="2">
        <v>7533964</v>
      </c>
      <c r="D48" s="5">
        <f t="shared" si="6"/>
        <v>73</v>
      </c>
      <c r="E48" s="5">
        <f t="shared" si="7"/>
        <v>45</v>
      </c>
      <c r="F48" s="5">
        <f t="shared" si="0"/>
        <v>0.62133699254077912</v>
      </c>
      <c r="G48" s="5">
        <f t="shared" si="1"/>
        <v>2.6902835973227623E-2</v>
      </c>
      <c r="H48" s="5">
        <f t="shared" si="2"/>
        <v>7.2650074349098717E-2</v>
      </c>
      <c r="I48" s="8">
        <f t="shared" si="8"/>
        <v>29.555971657678928</v>
      </c>
      <c r="K48" s="5">
        <f t="shared" si="9"/>
        <v>95</v>
      </c>
      <c r="L48" s="5">
        <f t="shared" si="10"/>
        <v>45</v>
      </c>
      <c r="M48" s="5">
        <f t="shared" si="3"/>
        <v>3.3290615101206011E-2</v>
      </c>
      <c r="N48" s="5">
        <f t="shared" si="4"/>
        <v>7.2650074349098717E-2</v>
      </c>
    </row>
    <row r="49" spans="1:14" ht="17.399999999999999" x14ac:dyDescent="0.3">
      <c r="A49" s="2">
        <f t="shared" si="5"/>
        <v>66</v>
      </c>
      <c r="B49" s="2">
        <v>7373338</v>
      </c>
      <c r="D49" s="5">
        <f t="shared" si="6"/>
        <v>74</v>
      </c>
      <c r="E49" s="5">
        <f t="shared" si="7"/>
        <v>46</v>
      </c>
      <c r="F49" s="5">
        <f t="shared" si="0"/>
        <v>0.5944341565675515</v>
      </c>
      <c r="G49" s="5">
        <f t="shared" si="1"/>
        <v>2.8123073209511462E-2</v>
      </c>
      <c r="H49" s="5">
        <f t="shared" si="2"/>
        <v>6.8537805989715761E-2</v>
      </c>
      <c r="I49" s="8">
        <f t="shared" si="8"/>
        <v>31.920449390293239</v>
      </c>
      <c r="K49" s="5">
        <f t="shared" si="9"/>
        <v>96</v>
      </c>
      <c r="L49" s="5">
        <f t="shared" si="10"/>
        <v>46</v>
      </c>
      <c r="M49" s="5">
        <f t="shared" si="3"/>
        <v>2.3905638102801049E-2</v>
      </c>
      <c r="N49" s="5">
        <f t="shared" si="4"/>
        <v>6.8537805989715761E-2</v>
      </c>
    </row>
    <row r="50" spans="1:14" ht="17.399999999999999" x14ac:dyDescent="0.3">
      <c r="A50" s="2">
        <f t="shared" si="5"/>
        <v>67</v>
      </c>
      <c r="B50" s="2">
        <v>7201635</v>
      </c>
      <c r="D50" s="5">
        <f t="shared" si="6"/>
        <v>75</v>
      </c>
      <c r="E50" s="5">
        <f t="shared" si="7"/>
        <v>47</v>
      </c>
      <c r="F50" s="5">
        <f t="shared" si="0"/>
        <v>0.56631108335804003</v>
      </c>
      <c r="G50" s="5">
        <f t="shared" si="1"/>
        <v>2.927320478880413E-2</v>
      </c>
      <c r="H50" s="5">
        <f t="shared" si="2"/>
        <v>6.465830753746768E-2</v>
      </c>
      <c r="I50" s="8">
        <f t="shared" si="8"/>
        <v>34.474085341516705</v>
      </c>
      <c r="K50" s="5">
        <f t="shared" si="9"/>
        <v>97</v>
      </c>
      <c r="L50" s="5">
        <f t="shared" si="10"/>
        <v>47</v>
      </c>
      <c r="M50" s="5">
        <f t="shared" si="3"/>
        <v>1.6627599836038853E-2</v>
      </c>
      <c r="N50" s="5">
        <f t="shared" si="4"/>
        <v>6.465830753746768E-2</v>
      </c>
    </row>
    <row r="51" spans="1:14" ht="17.399999999999999" x14ac:dyDescent="0.3">
      <c r="A51" s="2">
        <f t="shared" si="5"/>
        <v>68</v>
      </c>
      <c r="B51" s="2">
        <v>7018432</v>
      </c>
      <c r="D51" s="5">
        <f t="shared" si="6"/>
        <v>76</v>
      </c>
      <c r="E51" s="5">
        <f t="shared" si="7"/>
        <v>48</v>
      </c>
      <c r="F51" s="5">
        <f t="shared" si="0"/>
        <v>0.5370378785692359</v>
      </c>
      <c r="G51" s="5">
        <f t="shared" si="1"/>
        <v>3.0326993564027793E-2</v>
      </c>
      <c r="H51" s="5">
        <f t="shared" si="2"/>
        <v>6.0998403337233678E-2</v>
      </c>
      <c r="I51" s="8">
        <f t="shared" si="8"/>
        <v>37.232012168838047</v>
      </c>
      <c r="K51" s="5">
        <f t="shared" si="9"/>
        <v>98</v>
      </c>
      <c r="L51" s="5">
        <f t="shared" si="10"/>
        <v>48</v>
      </c>
      <c r="M51" s="5">
        <f t="shared" si="3"/>
        <v>1.1168149441045097E-2</v>
      </c>
      <c r="N51" s="5">
        <f t="shared" si="4"/>
        <v>6.0998403337233678E-2</v>
      </c>
    </row>
    <row r="52" spans="1:14" ht="17.399999999999999" x14ac:dyDescent="0.3">
      <c r="A52" s="2">
        <f t="shared" si="5"/>
        <v>69</v>
      </c>
      <c r="B52" s="2">
        <v>6823367</v>
      </c>
      <c r="D52" s="5">
        <f t="shared" si="6"/>
        <v>77</v>
      </c>
      <c r="E52" s="5">
        <f t="shared" si="7"/>
        <v>49</v>
      </c>
      <c r="F52" s="5">
        <f t="shared" si="0"/>
        <v>0.50671088500520811</v>
      </c>
      <c r="G52" s="5">
        <f t="shared" si="1"/>
        <v>3.1255998467750623E-2</v>
      </c>
      <c r="H52" s="5">
        <f t="shared" si="2"/>
        <v>5.7545663525692139E-2</v>
      </c>
      <c r="I52" s="8">
        <f t="shared" si="8"/>
        <v>40.210573142345083</v>
      </c>
      <c r="K52" s="5">
        <f t="shared" si="9"/>
        <v>99</v>
      </c>
      <c r="L52" s="5">
        <f t="shared" si="10"/>
        <v>49</v>
      </c>
      <c r="M52" s="5">
        <f t="shared" si="3"/>
        <v>7.2190497917472216E-3</v>
      </c>
      <c r="N52" s="5">
        <f t="shared" si="4"/>
        <v>5.7545663525692139E-2</v>
      </c>
    </row>
    <row r="53" spans="1:14" ht="17.399999999999999" x14ac:dyDescent="0.3">
      <c r="A53" s="2">
        <f t="shared" si="5"/>
        <v>70</v>
      </c>
      <c r="B53" s="2">
        <v>6616155</v>
      </c>
      <c r="D53" s="5">
        <f t="shared" si="6"/>
        <v>78</v>
      </c>
      <c r="E53" s="5">
        <f t="shared" si="7"/>
        <v>50</v>
      </c>
      <c r="F53" s="5">
        <f t="shared" si="0"/>
        <v>0.47545488653745749</v>
      </c>
      <c r="G53" s="5">
        <f t="shared" si="1"/>
        <v>3.2029994306539133E-2</v>
      </c>
      <c r="H53" s="5">
        <f t="shared" si="2"/>
        <v>5.4288361816690701E-2</v>
      </c>
      <c r="I53" s="8">
        <f t="shared" si="8"/>
        <v>43.427418993732694</v>
      </c>
      <c r="K53" s="5">
        <f t="shared" si="9"/>
        <v>100</v>
      </c>
      <c r="L53" s="5">
        <f t="shared" si="10"/>
        <v>50</v>
      </c>
      <c r="M53" s="5">
        <f t="shared" si="3"/>
        <v>4.4742981740050524E-3</v>
      </c>
      <c r="N53" s="5">
        <f t="shared" si="4"/>
        <v>5.4288361816690701E-2</v>
      </c>
    </row>
    <row r="54" spans="1:14" ht="17.399999999999999" x14ac:dyDescent="0.3">
      <c r="A54" s="2">
        <f t="shared" si="5"/>
        <v>71</v>
      </c>
      <c r="B54" s="2">
        <v>6396609</v>
      </c>
      <c r="D54" s="5">
        <f t="shared" si="6"/>
        <v>79</v>
      </c>
      <c r="E54" s="5">
        <f t="shared" si="7"/>
        <v>51</v>
      </c>
      <c r="F54" s="5">
        <f t="shared" si="0"/>
        <v>0.44342489223091835</v>
      </c>
      <c r="G54" s="5">
        <f t="shared" si="1"/>
        <v>3.2617811349665071E-2</v>
      </c>
      <c r="H54" s="5">
        <f t="shared" si="2"/>
        <v>5.12154356761233E-2</v>
      </c>
      <c r="I54" s="8">
        <f t="shared" si="8"/>
        <v>46.901612513231314</v>
      </c>
      <c r="K54" s="5">
        <f t="shared" si="9"/>
        <v>101</v>
      </c>
      <c r="L54" s="5">
        <f t="shared" si="10"/>
        <v>51</v>
      </c>
      <c r="M54" s="5">
        <f t="shared" si="3"/>
        <v>2.648336742859741E-3</v>
      </c>
      <c r="N54" s="5">
        <f t="shared" si="4"/>
        <v>5.12154356761233E-2</v>
      </c>
    </row>
    <row r="55" spans="1:14" ht="17.399999999999999" x14ac:dyDescent="0.3">
      <c r="A55" s="2">
        <f t="shared" si="5"/>
        <v>72</v>
      </c>
      <c r="B55" s="2">
        <v>6164663</v>
      </c>
      <c r="D55" s="5">
        <f t="shared" si="6"/>
        <v>80</v>
      </c>
      <c r="E55" s="5">
        <f t="shared" si="7"/>
        <v>52</v>
      </c>
      <c r="F55" s="5">
        <f t="shared" si="0"/>
        <v>0.41080708088125328</v>
      </c>
      <c r="G55" s="5">
        <f t="shared" si="1"/>
        <v>3.2988174917812141E-2</v>
      </c>
      <c r="H55" s="5">
        <f t="shared" si="2"/>
        <v>4.8316448751059712E-2</v>
      </c>
      <c r="I55" s="8">
        <f t="shared" si="8"/>
        <v>50.653741514289827</v>
      </c>
      <c r="K55" s="5">
        <f t="shared" si="9"/>
        <v>102</v>
      </c>
      <c r="L55" s="5">
        <f t="shared" si="10"/>
        <v>52</v>
      </c>
      <c r="M55" s="5">
        <f t="shared" si="3"/>
        <v>1.4902410383044119E-3</v>
      </c>
      <c r="N55" s="5">
        <f t="shared" si="4"/>
        <v>4.8316448751059712E-2</v>
      </c>
    </row>
    <row r="56" spans="1:14" ht="17.399999999999999" x14ac:dyDescent="0.3">
      <c r="A56" s="2">
        <f t="shared" si="5"/>
        <v>73</v>
      </c>
      <c r="B56" s="2">
        <v>5920394</v>
      </c>
      <c r="D56" s="5">
        <f t="shared" si="6"/>
        <v>81</v>
      </c>
      <c r="E56" s="5">
        <f t="shared" si="7"/>
        <v>53</v>
      </c>
      <c r="F56" s="5">
        <f t="shared" si="0"/>
        <v>0.37781890596344114</v>
      </c>
      <c r="G56" s="5">
        <f t="shared" si="1"/>
        <v>3.3110859817546856E-2</v>
      </c>
      <c r="H56" s="5">
        <f t="shared" si="2"/>
        <v>4.5581555425528025E-2</v>
      </c>
      <c r="I56" s="8">
        <f t="shared" si="8"/>
        <v>54.706040835433008</v>
      </c>
      <c r="K56" s="5">
        <f t="shared" si="9"/>
        <v>103</v>
      </c>
      <c r="L56" s="5">
        <f t="shared" si="10"/>
        <v>53</v>
      </c>
      <c r="M56" s="5">
        <f t="shared" si="3"/>
        <v>7.9332795659342007E-4</v>
      </c>
      <c r="N56" s="5">
        <f t="shared" si="4"/>
        <v>4.5581555425528025E-2</v>
      </c>
    </row>
    <row r="57" spans="1:14" ht="17.399999999999999" x14ac:dyDescent="0.3">
      <c r="A57" s="2">
        <f t="shared" si="5"/>
        <v>74</v>
      </c>
      <c r="B57" s="2">
        <v>5664051</v>
      </c>
      <c r="D57" s="5">
        <f t="shared" si="6"/>
        <v>82</v>
      </c>
      <c r="E57" s="5">
        <f t="shared" si="7"/>
        <v>54</v>
      </c>
      <c r="F57" s="5">
        <f t="shared" si="0"/>
        <v>0.34470804614589429</v>
      </c>
      <c r="G57" s="5">
        <f t="shared" si="1"/>
        <v>3.2958684364496948E-2</v>
      </c>
      <c r="H57" s="5">
        <f t="shared" si="2"/>
        <v>4.3001467382573606E-2</v>
      </c>
      <c r="I57" s="8">
        <f t="shared" si="8"/>
        <v>59.082524102267648</v>
      </c>
      <c r="K57" s="5">
        <f t="shared" si="9"/>
        <v>104</v>
      </c>
      <c r="L57" s="5">
        <f t="shared" si="10"/>
        <v>54</v>
      </c>
      <c r="M57" s="5">
        <f t="shared" si="3"/>
        <v>3.9750188277135452E-4</v>
      </c>
      <c r="N57" s="5">
        <f t="shared" si="4"/>
        <v>4.3001467382573606E-2</v>
      </c>
    </row>
    <row r="58" spans="1:14" ht="17.399999999999999" x14ac:dyDescent="0.3">
      <c r="A58" s="2">
        <f t="shared" si="5"/>
        <v>75</v>
      </c>
      <c r="B58" s="2">
        <v>5396081</v>
      </c>
      <c r="D58" s="5">
        <f t="shared" si="6"/>
        <v>83</v>
      </c>
      <c r="E58" s="5">
        <f t="shared" si="7"/>
        <v>55</v>
      </c>
      <c r="F58" s="5">
        <f t="shared" si="0"/>
        <v>0.31174936178139734</v>
      </c>
      <c r="G58" s="5">
        <f t="shared" si="1"/>
        <v>3.2509084612175609E-2</v>
      </c>
      <c r="H58" s="5">
        <f t="shared" si="2"/>
        <v>4.0567422059031695E-2</v>
      </c>
      <c r="I58" s="8">
        <f t="shared" si="8"/>
        <v>63.809126030449072</v>
      </c>
      <c r="K58" s="5">
        <f t="shared" si="9"/>
        <v>105</v>
      </c>
      <c r="L58" s="5">
        <f t="shared" si="10"/>
        <v>55</v>
      </c>
      <c r="M58" s="5">
        <f t="shared" si="3"/>
        <v>1.8634995516093856E-4</v>
      </c>
      <c r="N58" s="5">
        <f t="shared" si="4"/>
        <v>4.0567422059031695E-2</v>
      </c>
    </row>
    <row r="59" spans="1:14" ht="17.399999999999999" x14ac:dyDescent="0.3">
      <c r="A59" s="2">
        <f t="shared" si="5"/>
        <v>76</v>
      </c>
      <c r="B59" s="2">
        <v>5117152</v>
      </c>
      <c r="D59" s="5">
        <f t="shared" si="6"/>
        <v>84</v>
      </c>
      <c r="E59" s="5">
        <f t="shared" si="7"/>
        <v>56</v>
      </c>
      <c r="F59" s="5">
        <f t="shared" si="0"/>
        <v>0.27924027716922173</v>
      </c>
      <c r="G59" s="5">
        <f t="shared" si="1"/>
        <v>3.174568858080648E-2</v>
      </c>
      <c r="H59" s="5">
        <f t="shared" si="2"/>
        <v>3.827115288587897E-2</v>
      </c>
      <c r="I59" s="8">
        <f t="shared" si="8"/>
        <v>68.913856112885</v>
      </c>
      <c r="K59" s="5">
        <f t="shared" si="9"/>
        <v>106</v>
      </c>
      <c r="L59" s="5">
        <f t="shared" si="10"/>
        <v>56</v>
      </c>
      <c r="M59" s="5">
        <f t="shared" si="3"/>
        <v>8.1220873742207626E-5</v>
      </c>
      <c r="N59" s="5">
        <f t="shared" si="4"/>
        <v>3.827115288587897E-2</v>
      </c>
    </row>
    <row r="60" spans="1:14" ht="17.399999999999999" x14ac:dyDescent="0.3">
      <c r="A60" s="2">
        <f t="shared" si="5"/>
        <v>77</v>
      </c>
      <c r="B60" s="2">
        <v>4828182</v>
      </c>
      <c r="D60" s="5">
        <f t="shared" si="6"/>
        <v>85</v>
      </c>
      <c r="E60" s="5">
        <f t="shared" si="7"/>
        <v>57</v>
      </c>
      <c r="F60" s="5">
        <f t="shared" si="0"/>
        <v>0.24749458858841525</v>
      </c>
      <c r="G60" s="5">
        <f t="shared" si="1"/>
        <v>3.0661359766384427E-2</v>
      </c>
      <c r="H60" s="5">
        <f t="shared" si="2"/>
        <v>3.6104861213093364E-2</v>
      </c>
      <c r="I60" s="8">
        <f t="shared" si="8"/>
        <v>74.426964601915799</v>
      </c>
      <c r="K60" s="5">
        <f t="shared" si="9"/>
        <v>107</v>
      </c>
      <c r="L60" s="5">
        <f t="shared" si="10"/>
        <v>57</v>
      </c>
      <c r="M60" s="5">
        <f t="shared" si="3"/>
        <v>3.2622414212826175E-5</v>
      </c>
      <c r="N60" s="5">
        <f t="shared" si="4"/>
        <v>3.6104861213093364E-2</v>
      </c>
    </row>
    <row r="61" spans="1:14" ht="17.399999999999999" x14ac:dyDescent="0.3">
      <c r="A61" s="2">
        <f t="shared" si="5"/>
        <v>78</v>
      </c>
      <c r="B61" s="2">
        <v>4530360</v>
      </c>
      <c r="D61" s="5">
        <f t="shared" si="6"/>
        <v>86</v>
      </c>
      <c r="E61" s="5">
        <f t="shared" si="7"/>
        <v>58</v>
      </c>
      <c r="F61" s="5">
        <f t="shared" si="0"/>
        <v>0.21683322882203082</v>
      </c>
      <c r="G61" s="5">
        <f t="shared" si="1"/>
        <v>2.9258721883617278E-2</v>
      </c>
      <c r="H61" s="5">
        <f t="shared" si="2"/>
        <v>3.406118982367299E-2</v>
      </c>
      <c r="I61" s="8">
        <f t="shared" si="8"/>
        <v>80.381121770069072</v>
      </c>
      <c r="K61" s="5">
        <f t="shared" si="9"/>
        <v>108</v>
      </c>
      <c r="L61" s="5">
        <f t="shared" si="10"/>
        <v>58</v>
      </c>
      <c r="M61" s="5">
        <f t="shared" si="3"/>
        <v>1.2065824434880913E-5</v>
      </c>
      <c r="N61" s="5">
        <f t="shared" si="4"/>
        <v>3.406118982367299E-2</v>
      </c>
    </row>
    <row r="62" spans="1:14" ht="17.399999999999999" x14ac:dyDescent="0.3">
      <c r="A62" s="2">
        <f t="shared" si="5"/>
        <v>79</v>
      </c>
      <c r="B62" s="2">
        <v>4225163</v>
      </c>
      <c r="D62" s="5">
        <f t="shared" si="6"/>
        <v>87</v>
      </c>
      <c r="E62" s="5">
        <f t="shared" si="7"/>
        <v>59</v>
      </c>
      <c r="F62" s="5">
        <f t="shared" si="0"/>
        <v>0.18757450693841354</v>
      </c>
      <c r="G62" s="5">
        <f t="shared" si="1"/>
        <v>2.755330732357486E-2</v>
      </c>
      <c r="H62" s="5">
        <f t="shared" si="2"/>
        <v>3.21331979468613E-2</v>
      </c>
      <c r="I62" s="8">
        <f t="shared" si="8"/>
        <v>86.811611511674599</v>
      </c>
      <c r="K62" s="5">
        <f t="shared" si="9"/>
        <v>109</v>
      </c>
      <c r="L62" s="5">
        <f t="shared" si="10"/>
        <v>59</v>
      </c>
      <c r="M62" s="5">
        <f t="shared" si="3"/>
        <v>4.0219414782936378E-6</v>
      </c>
      <c r="N62" s="5">
        <f t="shared" si="4"/>
        <v>3.21331979468613E-2</v>
      </c>
    </row>
    <row r="63" spans="1:14" ht="17.399999999999999" x14ac:dyDescent="0.3">
      <c r="A63" s="2">
        <f t="shared" si="5"/>
        <v>80</v>
      </c>
      <c r="B63" s="2">
        <v>3914365</v>
      </c>
      <c r="D63" s="5">
        <f t="shared" si="6"/>
        <v>88</v>
      </c>
      <c r="E63" s="5">
        <f t="shared" si="7"/>
        <v>60</v>
      </c>
      <c r="F63" s="5">
        <f t="shared" si="0"/>
        <v>0.16002119961483868</v>
      </c>
      <c r="G63" s="5">
        <f t="shared" si="1"/>
        <v>2.5573347256512724E-2</v>
      </c>
      <c r="H63" s="5">
        <f t="shared" si="2"/>
        <v>3.0314337685718208E-2</v>
      </c>
      <c r="I63" s="8">
        <f t="shared" si="8"/>
        <v>93.75654043260856</v>
      </c>
      <c r="K63" s="5">
        <f t="shared" si="9"/>
        <v>110</v>
      </c>
      <c r="L63" s="5">
        <f t="shared" si="10"/>
        <v>60</v>
      </c>
      <c r="M63" s="5">
        <f t="shared" si="3"/>
        <v>1.2289265628119448E-6</v>
      </c>
      <c r="N63" s="5">
        <f t="shared" si="4"/>
        <v>3.0314337685718208E-2</v>
      </c>
    </row>
    <row r="64" spans="1:14" ht="17.399999999999999" x14ac:dyDescent="0.3">
      <c r="A64" s="2">
        <f t="shared" si="5"/>
        <v>81</v>
      </c>
      <c r="B64" s="2">
        <v>3600038</v>
      </c>
      <c r="D64" s="5">
        <f t="shared" si="6"/>
        <v>89</v>
      </c>
      <c r="E64" s="5">
        <f t="shared" si="7"/>
        <v>61</v>
      </c>
      <c r="F64" s="5">
        <f t="shared" si="0"/>
        <v>0.13444785235832596</v>
      </c>
      <c r="G64" s="5">
        <f t="shared" si="1"/>
        <v>2.3360716169166629E-2</v>
      </c>
      <c r="H64" s="5">
        <f t="shared" si="2"/>
        <v>2.8598431778979437E-2</v>
      </c>
      <c r="I64" s="8">
        <f t="shared" si="8"/>
        <v>101.25706366721725</v>
      </c>
    </row>
    <row r="65" spans="1:9" ht="17.399999999999999" x14ac:dyDescent="0.3">
      <c r="A65" s="2">
        <f t="shared" si="5"/>
        <v>82</v>
      </c>
      <c r="B65" s="2">
        <v>3284542</v>
      </c>
      <c r="D65" s="5">
        <f t="shared" si="6"/>
        <v>90</v>
      </c>
      <c r="E65" s="5">
        <f t="shared" si="7"/>
        <v>62</v>
      </c>
      <c r="F65" s="5">
        <f t="shared" si="0"/>
        <v>0.11108713618915933</v>
      </c>
      <c r="G65" s="5">
        <f t="shared" si="1"/>
        <v>2.0970302173222891E-2</v>
      </c>
      <c r="H65" s="5">
        <f t="shared" si="2"/>
        <v>2.6979652621678712E-2</v>
      </c>
      <c r="I65" s="8">
        <f t="shared" si="8"/>
        <v>109.35762876059464</v>
      </c>
    </row>
    <row r="66" spans="1:9" ht="17.399999999999999" x14ac:dyDescent="0.3">
      <c r="A66" s="2">
        <f t="shared" si="5"/>
        <v>83</v>
      </c>
      <c r="B66" s="2">
        <v>2970496</v>
      </c>
      <c r="D66" s="5">
        <f t="shared" si="6"/>
        <v>91</v>
      </c>
      <c r="E66" s="5">
        <f t="shared" si="7"/>
        <v>63</v>
      </c>
      <c r="F66" s="5">
        <f t="shared" si="0"/>
        <v>9.0116834015936439E-2</v>
      </c>
      <c r="G66" s="5">
        <f t="shared" si="1"/>
        <v>1.8467698136375443E-2</v>
      </c>
      <c r="H66" s="5">
        <f t="shared" si="2"/>
        <v>2.5452502473281798E-2</v>
      </c>
      <c r="I66" s="8">
        <f t="shared" si="8"/>
        <v>118.10623906144222</v>
      </c>
    </row>
    <row r="67" spans="1:9" ht="17.399999999999999" x14ac:dyDescent="0.3">
      <c r="A67" s="2">
        <f t="shared" si="5"/>
        <v>84</v>
      </c>
      <c r="B67" s="2">
        <v>2660734</v>
      </c>
      <c r="D67" s="5">
        <f t="shared" si="6"/>
        <v>92</v>
      </c>
      <c r="E67" s="5">
        <f t="shared" si="7"/>
        <v>64</v>
      </c>
      <c r="F67" s="5">
        <f t="shared" si="0"/>
        <v>7.1649135879560996E-2</v>
      </c>
      <c r="G67" s="5">
        <f t="shared" si="1"/>
        <v>1.5925738378911626E-2</v>
      </c>
      <c r="H67" s="5">
        <f t="shared" si="2"/>
        <v>2.4011794786114912E-2</v>
      </c>
      <c r="I67" s="8">
        <f t="shared" si="8"/>
        <v>127.55473818635762</v>
      </c>
    </row>
    <row r="68" spans="1:9" ht="17.399999999999999" x14ac:dyDescent="0.3">
      <c r="A68" s="2">
        <f t="shared" si="5"/>
        <v>85</v>
      </c>
      <c r="B68" s="2">
        <v>2358246</v>
      </c>
      <c r="D68" s="5">
        <f t="shared" si="6"/>
        <v>93</v>
      </c>
      <c r="E68" s="5">
        <f t="shared" si="7"/>
        <v>65</v>
      </c>
      <c r="F68" s="5">
        <f t="shared" ref="F68:F85" si="11">B76/$B$11</f>
        <v>5.572339750064937E-2</v>
      </c>
      <c r="G68" s="5">
        <f t="shared" ref="G68:G84" si="12">F68-F69</f>
        <v>1.3421560113239528E-2</v>
      </c>
      <c r="H68" s="5">
        <f t="shared" ref="H68:H85" si="13">(1+$Q$2)^(-E68)</f>
        <v>2.2652636590674444E-2</v>
      </c>
      <c r="I68" s="8">
        <f t="shared" si="8"/>
        <v>137.75911724126624</v>
      </c>
    </row>
    <row r="69" spans="1:9" ht="17.399999999999999" x14ac:dyDescent="0.3">
      <c r="A69" s="2">
        <f t="shared" ref="A69:A93" si="14">A68+1</f>
        <v>86</v>
      </c>
      <c r="B69" s="2">
        <v>2066090</v>
      </c>
      <c r="D69" s="5">
        <f t="shared" ref="D69:D85" si="15">D68+1</f>
        <v>94</v>
      </c>
      <c r="E69" s="5">
        <f t="shared" ref="E69:E85" si="16">E68+1</f>
        <v>66</v>
      </c>
      <c r="F69" s="5">
        <f t="shared" si="11"/>
        <v>4.2301837387409842E-2</v>
      </c>
      <c r="G69" s="5">
        <f t="shared" si="12"/>
        <v>1.1029152094117894E-2</v>
      </c>
      <c r="H69" s="5">
        <f t="shared" si="13"/>
        <v>2.1370411877994759E-2</v>
      </c>
      <c r="I69" s="8">
        <f t="shared" ref="I69:I85" si="17">(1+0.08)^(E69-1)</f>
        <v>148.77984662056755</v>
      </c>
    </row>
    <row r="70" spans="1:9" ht="17.399999999999999" x14ac:dyDescent="0.3">
      <c r="A70" s="2">
        <f t="shared" si="14"/>
        <v>87</v>
      </c>
      <c r="B70" s="2">
        <v>1787299</v>
      </c>
      <c r="D70" s="5">
        <f t="shared" si="15"/>
        <v>95</v>
      </c>
      <c r="E70" s="5">
        <f t="shared" si="16"/>
        <v>67</v>
      </c>
      <c r="F70" s="5">
        <f t="shared" si="11"/>
        <v>3.1272685293291948E-2</v>
      </c>
      <c r="G70" s="5">
        <f t="shared" si="12"/>
        <v>8.8161012124185652E-3</v>
      </c>
      <c r="H70" s="5">
        <f t="shared" si="13"/>
        <v>2.0160765922636562E-2</v>
      </c>
      <c r="I70" s="8">
        <f t="shared" si="17"/>
        <v>160.68223435021295</v>
      </c>
    </row>
    <row r="71" spans="1:9" ht="17.399999999999999" x14ac:dyDescent="0.3">
      <c r="A71" s="2">
        <f t="shared" si="14"/>
        <v>88</v>
      </c>
      <c r="B71" s="2">
        <v>1524758</v>
      </c>
      <c r="D71" s="5">
        <f t="shared" si="15"/>
        <v>96</v>
      </c>
      <c r="E71" s="5">
        <f t="shared" si="16"/>
        <v>68</v>
      </c>
      <c r="F71" s="5">
        <f t="shared" si="11"/>
        <v>2.2456584080873383E-2</v>
      </c>
      <c r="G71" s="5">
        <f t="shared" si="12"/>
        <v>6.8368757854745908E-3</v>
      </c>
      <c r="H71" s="5">
        <f t="shared" si="13"/>
        <v>1.9019590493053358E-2</v>
      </c>
      <c r="I71" s="8">
        <f t="shared" si="17"/>
        <v>173.53681309823</v>
      </c>
    </row>
    <row r="72" spans="1:9" ht="17.399999999999999" x14ac:dyDescent="0.3">
      <c r="A72" s="2">
        <f t="shared" si="14"/>
        <v>89</v>
      </c>
      <c r="B72" s="2">
        <v>1281083</v>
      </c>
      <c r="D72" s="5">
        <f t="shared" si="15"/>
        <v>97</v>
      </c>
      <c r="E72" s="5">
        <f t="shared" si="16"/>
        <v>69</v>
      </c>
      <c r="F72" s="5">
        <f t="shared" si="11"/>
        <v>1.5619708295398792E-2</v>
      </c>
      <c r="G72" s="5">
        <f t="shared" si="12"/>
        <v>5.1285226649595023E-3</v>
      </c>
      <c r="H72" s="5">
        <f t="shared" si="13"/>
        <v>1.7943009899106941E-2</v>
      </c>
      <c r="I72" s="8">
        <f t="shared" si="17"/>
        <v>187.41975814608841</v>
      </c>
    </row>
    <row r="73" spans="1:9" ht="17.399999999999999" x14ac:dyDescent="0.3">
      <c r="A73" s="2">
        <f t="shared" si="14"/>
        <v>90</v>
      </c>
      <c r="B73" s="2">
        <v>1058491</v>
      </c>
      <c r="D73" s="5">
        <f t="shared" si="15"/>
        <v>98</v>
      </c>
      <c r="E73" s="5">
        <f t="shared" si="16"/>
        <v>70</v>
      </c>
      <c r="F73" s="5">
        <f t="shared" si="11"/>
        <v>1.0491185630439289E-2</v>
      </c>
      <c r="G73" s="5">
        <f t="shared" si="12"/>
        <v>3.7097226995925379E-3</v>
      </c>
      <c r="H73" s="5">
        <f t="shared" si="13"/>
        <v>1.692736782934617E-2</v>
      </c>
      <c r="I73" s="8">
        <f t="shared" si="17"/>
        <v>202.41333879777548</v>
      </c>
    </row>
    <row r="74" spans="1:9" ht="17.399999999999999" x14ac:dyDescent="0.3">
      <c r="A74" s="2">
        <f t="shared" si="14"/>
        <v>91</v>
      </c>
      <c r="B74" s="2">
        <v>858676</v>
      </c>
      <c r="D74" s="5">
        <f t="shared" si="15"/>
        <v>99</v>
      </c>
      <c r="E74" s="5">
        <f t="shared" si="16"/>
        <v>71</v>
      </c>
      <c r="F74" s="5">
        <f t="shared" si="11"/>
        <v>6.7814629308467515E-3</v>
      </c>
      <c r="G74" s="5">
        <f t="shared" si="12"/>
        <v>2.5783769176074868E-3</v>
      </c>
      <c r="H74" s="5">
        <f t="shared" si="13"/>
        <v>1.5969214933345442E-2</v>
      </c>
      <c r="I74" s="8">
        <f t="shared" si="17"/>
        <v>218.60640590159755</v>
      </c>
    </row>
    <row r="75" spans="1:9" ht="17.399999999999999" x14ac:dyDescent="0.3">
      <c r="A75" s="2">
        <f t="shared" si="14"/>
        <v>92</v>
      </c>
      <c r="B75" s="2">
        <v>682707</v>
      </c>
      <c r="D75" s="5">
        <f t="shared" si="15"/>
        <v>100</v>
      </c>
      <c r="E75" s="5">
        <f t="shared" si="16"/>
        <v>72</v>
      </c>
      <c r="F75" s="5">
        <f t="shared" si="11"/>
        <v>4.2030860132392647E-3</v>
      </c>
      <c r="G75" s="5">
        <f t="shared" si="12"/>
        <v>1.7152797273435679E-3</v>
      </c>
      <c r="H75" s="5">
        <f t="shared" si="13"/>
        <v>1.5065297106929661E-2</v>
      </c>
      <c r="I75" s="8">
        <f t="shared" si="17"/>
        <v>236.09491837372536</v>
      </c>
    </row>
    <row r="76" spans="1:9" ht="17.399999999999999" x14ac:dyDescent="0.3">
      <c r="A76" s="2">
        <f t="shared" si="14"/>
        <v>93</v>
      </c>
      <c r="B76" s="2">
        <v>530959</v>
      </c>
      <c r="D76" s="5">
        <f t="shared" si="15"/>
        <v>101</v>
      </c>
      <c r="E76" s="5">
        <f t="shared" si="16"/>
        <v>73</v>
      </c>
      <c r="F76" s="5">
        <f t="shared" si="11"/>
        <v>2.4878062858956968E-3</v>
      </c>
      <c r="G76" s="5">
        <f t="shared" si="12"/>
        <v>1.0878970664245852E-3</v>
      </c>
      <c r="H76" s="5">
        <f t="shared" si="13"/>
        <v>1.4212544440499682E-2</v>
      </c>
      <c r="I76" s="8">
        <f t="shared" si="17"/>
        <v>254.9825118436234</v>
      </c>
    </row>
    <row r="77" spans="1:9" ht="17.399999999999999" x14ac:dyDescent="0.3">
      <c r="A77" s="2">
        <f t="shared" si="14"/>
        <v>94</v>
      </c>
      <c r="B77" s="2">
        <v>403072</v>
      </c>
      <c r="D77" s="5">
        <f t="shared" si="15"/>
        <v>102</v>
      </c>
      <c r="E77" s="5">
        <f t="shared" si="16"/>
        <v>74</v>
      </c>
      <c r="F77" s="5">
        <f t="shared" si="11"/>
        <v>1.3999092194711116E-3</v>
      </c>
      <c r="G77" s="5">
        <f t="shared" si="12"/>
        <v>6.5466929387966071E-4</v>
      </c>
      <c r="H77" s="5">
        <f t="shared" si="13"/>
        <v>1.3408060792924227E-2</v>
      </c>
      <c r="I77" s="8">
        <f t="shared" si="17"/>
        <v>275.38111279111331</v>
      </c>
    </row>
    <row r="78" spans="1:9" ht="17.399999999999999" x14ac:dyDescent="0.3">
      <c r="A78" s="2">
        <f t="shared" si="14"/>
        <v>95</v>
      </c>
      <c r="B78" s="2">
        <v>297981</v>
      </c>
      <c r="D78" s="5">
        <f t="shared" si="15"/>
        <v>103</v>
      </c>
      <c r="E78" s="5">
        <f t="shared" si="16"/>
        <v>75</v>
      </c>
      <c r="F78" s="5">
        <f t="shared" si="11"/>
        <v>7.4523992559145089E-4</v>
      </c>
      <c r="G78" s="5">
        <f t="shared" si="12"/>
        <v>3.718328483833982E-4</v>
      </c>
      <c r="H78" s="5">
        <f t="shared" si="13"/>
        <v>1.2649113955588891E-2</v>
      </c>
      <c r="I78" s="8">
        <f t="shared" si="17"/>
        <v>297.41160181440239</v>
      </c>
    </row>
    <row r="79" spans="1:9" ht="17.399999999999999" x14ac:dyDescent="0.3">
      <c r="A79" s="2">
        <f t="shared" si="14"/>
        <v>96</v>
      </c>
      <c r="B79" s="2">
        <v>213977</v>
      </c>
      <c r="D79" s="5">
        <f t="shared" si="15"/>
        <v>104</v>
      </c>
      <c r="E79" s="5">
        <f t="shared" si="16"/>
        <v>76</v>
      </c>
      <c r="F79" s="5">
        <f t="shared" si="11"/>
        <v>3.7340707720805269E-4</v>
      </c>
      <c r="G79" s="5">
        <f t="shared" si="12"/>
        <v>1.9835283190646982E-4</v>
      </c>
      <c r="H79" s="5">
        <f t="shared" si="13"/>
        <v>1.1933126373197067E-2</v>
      </c>
      <c r="I79" s="8">
        <f t="shared" si="17"/>
        <v>321.20452995955458</v>
      </c>
    </row>
    <row r="80" spans="1:9" ht="17.399999999999999" x14ac:dyDescent="0.3">
      <c r="A80" s="2">
        <f t="shared" si="14"/>
        <v>97</v>
      </c>
      <c r="B80" s="2">
        <v>148832</v>
      </c>
      <c r="D80" s="5">
        <f t="shared" si="15"/>
        <v>105</v>
      </c>
      <c r="E80" s="5">
        <f t="shared" si="16"/>
        <v>77</v>
      </c>
      <c r="F80" s="5">
        <f t="shared" si="11"/>
        <v>1.7505424530158287E-4</v>
      </c>
      <c r="G80" s="5">
        <f t="shared" si="12"/>
        <v>9.8756621599993687E-5</v>
      </c>
      <c r="H80" s="5">
        <f t="shared" si="13"/>
        <v>1.1257666389808553E-2</v>
      </c>
      <c r="I80" s="8">
        <f t="shared" si="17"/>
        <v>346.90089235631893</v>
      </c>
    </row>
    <row r="81" spans="1:9" ht="17.399999999999999" x14ac:dyDescent="0.3">
      <c r="A81" s="2">
        <f t="shared" si="14"/>
        <v>98</v>
      </c>
      <c r="B81" s="2">
        <v>99965</v>
      </c>
      <c r="D81" s="5">
        <f t="shared" si="15"/>
        <v>106</v>
      </c>
      <c r="E81" s="5">
        <f t="shared" si="16"/>
        <v>78</v>
      </c>
      <c r="F81" s="5">
        <f t="shared" si="11"/>
        <v>7.6297623701589187E-5</v>
      </c>
      <c r="G81" s="5">
        <f t="shared" si="12"/>
        <v>4.5652635914981151E-5</v>
      </c>
      <c r="H81" s="5">
        <f t="shared" si="13"/>
        <v>1.0620439990385427E-2</v>
      </c>
      <c r="I81" s="8">
        <f t="shared" si="17"/>
        <v>374.65296374482443</v>
      </c>
    </row>
    <row r="82" spans="1:9" ht="17.399999999999999" x14ac:dyDescent="0.3">
      <c r="A82" s="2">
        <f t="shared" si="14"/>
        <v>99</v>
      </c>
      <c r="B82" s="2">
        <v>64617</v>
      </c>
      <c r="D82" s="5">
        <f t="shared" si="15"/>
        <v>107</v>
      </c>
      <c r="E82" s="5">
        <f t="shared" si="16"/>
        <v>79</v>
      </c>
      <c r="F82" s="5">
        <f t="shared" si="11"/>
        <v>3.0644987786608036E-5</v>
      </c>
      <c r="G82" s="5">
        <f t="shared" si="12"/>
        <v>1.9310540249095477E-5</v>
      </c>
      <c r="H82" s="5">
        <f t="shared" si="13"/>
        <v>1.0019283009797571E-2</v>
      </c>
      <c r="I82" s="8">
        <f t="shared" si="17"/>
        <v>404.62520084441047</v>
      </c>
    </row>
    <row r="83" spans="1:9" ht="17.399999999999999" x14ac:dyDescent="0.3">
      <c r="A83" s="2">
        <f t="shared" si="14"/>
        <v>100</v>
      </c>
      <c r="B83" s="2">
        <v>40049</v>
      </c>
      <c r="D83" s="5">
        <f t="shared" si="15"/>
        <v>108</v>
      </c>
      <c r="E83" s="5">
        <f t="shared" si="16"/>
        <v>80</v>
      </c>
      <c r="F83" s="5">
        <f t="shared" si="11"/>
        <v>1.1334447537512561E-5</v>
      </c>
      <c r="G83" s="5">
        <f t="shared" si="12"/>
        <v>7.5562983583417068E-6</v>
      </c>
      <c r="H83" s="5">
        <f t="shared" si="13"/>
        <v>9.4521537828278993E-3</v>
      </c>
      <c r="I83" s="8">
        <f t="shared" si="17"/>
        <v>436.99521691196338</v>
      </c>
    </row>
    <row r="84" spans="1:9" ht="17.399999999999999" x14ac:dyDescent="0.3">
      <c r="A84" s="2">
        <f t="shared" si="14"/>
        <v>101</v>
      </c>
      <c r="B84" s="2">
        <v>23705</v>
      </c>
      <c r="D84" s="5">
        <f t="shared" si="15"/>
        <v>109</v>
      </c>
      <c r="E84" s="5">
        <f t="shared" si="16"/>
        <v>81</v>
      </c>
      <c r="F84" s="5">
        <f t="shared" si="11"/>
        <v>3.7781491791708538E-6</v>
      </c>
      <c r="G84" s="5">
        <f t="shared" si="12"/>
        <v>2.6237147077575372E-6</v>
      </c>
      <c r="H84" s="5">
        <f t="shared" si="13"/>
        <v>8.9171262102149974E-3</v>
      </c>
      <c r="I84" s="8">
        <f t="shared" si="17"/>
        <v>471.95483426492041</v>
      </c>
    </row>
    <row r="85" spans="1:9" ht="17.399999999999999" x14ac:dyDescent="0.3">
      <c r="A85" s="2">
        <f t="shared" si="14"/>
        <v>102</v>
      </c>
      <c r="B85" s="2">
        <v>13339</v>
      </c>
      <c r="D85" s="5">
        <f t="shared" si="15"/>
        <v>110</v>
      </c>
      <c r="E85" s="5">
        <f t="shared" si="16"/>
        <v>82</v>
      </c>
      <c r="F85" s="5">
        <f t="shared" si="11"/>
        <v>1.1544344714133164E-6</v>
      </c>
      <c r="G85" s="6"/>
      <c r="H85" s="5">
        <f t="shared" si="13"/>
        <v>8.4123832171839608E-3</v>
      </c>
      <c r="I85" s="8">
        <f t="shared" si="17"/>
        <v>509.71122100611404</v>
      </c>
    </row>
    <row r="86" spans="1:9" ht="17.399999999999999" x14ac:dyDescent="0.3">
      <c r="A86" s="2">
        <f t="shared" si="14"/>
        <v>103</v>
      </c>
      <c r="B86" s="2">
        <v>7101</v>
      </c>
    </row>
    <row r="87" spans="1:9" ht="17.399999999999999" x14ac:dyDescent="0.3">
      <c r="A87" s="2">
        <f t="shared" si="14"/>
        <v>104</v>
      </c>
      <c r="B87" s="2">
        <v>3558</v>
      </c>
    </row>
    <row r="88" spans="1:9" ht="17.399999999999999" x14ac:dyDescent="0.3">
      <c r="A88" s="2">
        <f t="shared" si="14"/>
        <v>105</v>
      </c>
      <c r="B88" s="2">
        <v>1668</v>
      </c>
    </row>
    <row r="89" spans="1:9" ht="17.399999999999999" x14ac:dyDescent="0.3">
      <c r="A89" s="2">
        <f t="shared" si="14"/>
        <v>106</v>
      </c>
      <c r="B89" s="2">
        <v>727</v>
      </c>
    </row>
    <row r="90" spans="1:9" ht="17.399999999999999" x14ac:dyDescent="0.3">
      <c r="A90" s="2">
        <f t="shared" si="14"/>
        <v>107</v>
      </c>
      <c r="B90" s="2">
        <v>292</v>
      </c>
    </row>
    <row r="91" spans="1:9" ht="17.399999999999999" x14ac:dyDescent="0.3">
      <c r="A91" s="2">
        <f t="shared" si="14"/>
        <v>108</v>
      </c>
      <c r="B91" s="2">
        <v>108</v>
      </c>
    </row>
    <row r="92" spans="1:9" ht="17.399999999999999" x14ac:dyDescent="0.3">
      <c r="A92" s="2">
        <f t="shared" si="14"/>
        <v>109</v>
      </c>
      <c r="B92" s="2">
        <v>36</v>
      </c>
    </row>
    <row r="93" spans="1:9" ht="17.399999999999999" x14ac:dyDescent="0.3">
      <c r="A93" s="2">
        <f t="shared" si="14"/>
        <v>110</v>
      </c>
      <c r="B93" s="2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D5B1-AB91-473B-ACE5-AE72D00D4FF7}">
  <dimension ref="B2:I85"/>
  <sheetViews>
    <sheetView showGridLines="0" zoomScale="87" zoomScaleNormal="86" workbookViewId="0">
      <selection activeCell="H15" sqref="H15"/>
    </sheetView>
  </sheetViews>
  <sheetFormatPr baseColWidth="10" defaultRowHeight="14.4" x14ac:dyDescent="0.3"/>
  <cols>
    <col min="4" max="4" width="13.33203125" bestFit="1" customWidth="1"/>
    <col min="5" max="5" width="23.109375" bestFit="1" customWidth="1"/>
    <col min="6" max="7" width="22" bestFit="1" customWidth="1"/>
    <col min="8" max="8" width="23.109375" bestFit="1" customWidth="1"/>
    <col min="9" max="9" width="14" bestFit="1" customWidth="1"/>
    <col min="13" max="13" width="11.44140625" bestFit="1" customWidth="1"/>
    <col min="14" max="14" width="21.44140625" bestFit="1" customWidth="1"/>
    <col min="15" max="15" width="17.33203125" customWidth="1"/>
    <col min="16" max="16" width="14.6640625" bestFit="1" customWidth="1"/>
    <col min="17" max="17" width="21.44140625" bestFit="1" customWidth="1"/>
    <col min="18" max="18" width="13" bestFit="1" customWidth="1"/>
    <col min="21" max="21" width="12.109375" bestFit="1" customWidth="1"/>
    <col min="24" max="24" width="19.88671875" bestFit="1" customWidth="1"/>
  </cols>
  <sheetData>
    <row r="2" spans="2:9" ht="19.2" customHeight="1" x14ac:dyDescent="0.3">
      <c r="B2" s="28" t="s">
        <v>22</v>
      </c>
      <c r="C2" s="28" t="s">
        <v>1</v>
      </c>
      <c r="D2" s="28" t="s">
        <v>10</v>
      </c>
      <c r="E2" s="28" t="s">
        <v>23</v>
      </c>
      <c r="F2" s="28" t="s">
        <v>24</v>
      </c>
      <c r="G2" s="29" t="s">
        <v>25</v>
      </c>
      <c r="H2" s="28" t="s">
        <v>26</v>
      </c>
      <c r="I2" s="28" t="s">
        <v>27</v>
      </c>
    </row>
    <row r="3" spans="2:9" x14ac:dyDescent="0.3">
      <c r="B3" s="8">
        <v>28</v>
      </c>
      <c r="C3" s="8">
        <v>9528475</v>
      </c>
      <c r="D3" s="8">
        <v>0</v>
      </c>
      <c r="E3" s="8">
        <f>D3*C3</f>
        <v>0</v>
      </c>
      <c r="F3" s="8">
        <f>E3*0.06</f>
        <v>0</v>
      </c>
      <c r="G3" s="17">
        <v>0</v>
      </c>
      <c r="H3" s="8">
        <v>0</v>
      </c>
      <c r="I3" s="8">
        <v>0</v>
      </c>
    </row>
    <row r="4" spans="2:9" x14ac:dyDescent="0.3">
      <c r="B4" s="8">
        <f>B3+1</f>
        <v>29</v>
      </c>
      <c r="C4" s="8">
        <v>9515235</v>
      </c>
      <c r="D4" s="17">
        <f>35000*(1+0.08)^('Ejercicio 1 (Prima)'!L3)</f>
        <v>35000</v>
      </c>
      <c r="E4" s="17">
        <f>(D4*C4)</f>
        <v>333033225000</v>
      </c>
      <c r="F4" s="17">
        <f>E4*0.06</f>
        <v>19981993500</v>
      </c>
      <c r="G4" s="17">
        <f>0</f>
        <v>0</v>
      </c>
      <c r="H4" s="17">
        <f>E4+F4-G4</f>
        <v>353015218500</v>
      </c>
      <c r="I4" s="17">
        <f>H4/C5</f>
        <v>37154.095651989956</v>
      </c>
    </row>
    <row r="5" spans="2:9" x14ac:dyDescent="0.3">
      <c r="B5" s="8">
        <f t="shared" ref="B5:B68" si="0">B4+1</f>
        <v>30</v>
      </c>
      <c r="C5" s="8">
        <v>9501381</v>
      </c>
      <c r="D5" s="17">
        <f>35000*(1+0.08)^('Ejercicio 1 (Prima)'!L4)</f>
        <v>37800</v>
      </c>
      <c r="E5" s="17">
        <f>(C5*D5)+H4</f>
        <v>712167420300</v>
      </c>
      <c r="F5" s="17">
        <f t="shared" ref="F5:F68" si="1">E5*0.06</f>
        <v>42730045218</v>
      </c>
      <c r="G5" s="17">
        <f>0</f>
        <v>0</v>
      </c>
      <c r="H5" s="17">
        <f>E5+F5-G5</f>
        <v>754897465518</v>
      </c>
      <c r="I5" s="17">
        <f t="shared" ref="I5:I23" si="2">H5/C6</f>
        <v>79573.003391640683</v>
      </c>
    </row>
    <row r="6" spans="2:9" x14ac:dyDescent="0.3">
      <c r="B6" s="8">
        <f t="shared" si="0"/>
        <v>31</v>
      </c>
      <c r="C6" s="8">
        <v>9486854</v>
      </c>
      <c r="D6" s="17">
        <f>35000*(1+0.08)^('Ejercicio 1 (Prima)'!L5)</f>
        <v>40824</v>
      </c>
      <c r="E6" s="17">
        <f t="shared" ref="E6:E69" si="3">(C6*D6)+H5</f>
        <v>1142188793214</v>
      </c>
      <c r="F6" s="17">
        <f t="shared" si="1"/>
        <v>68531327592.839996</v>
      </c>
      <c r="G6" s="17">
        <f>0</f>
        <v>0</v>
      </c>
      <c r="H6" s="17">
        <f t="shared" ref="H6:H23" si="4">E6+F6-G6</f>
        <v>1210720120806.8401</v>
      </c>
      <c r="I6" s="17">
        <f t="shared" si="2"/>
        <v>127826.47823442124</v>
      </c>
    </row>
    <row r="7" spans="2:9" x14ac:dyDescent="0.3">
      <c r="B7" s="8">
        <f t="shared" si="0"/>
        <v>32</v>
      </c>
      <c r="C7" s="8">
        <v>9471591</v>
      </c>
      <c r="D7" s="17">
        <f>35000*(1+0.08)^('Ejercicio 1 (Prima)'!L6)</f>
        <v>44089.920000000006</v>
      </c>
      <c r="E7" s="17">
        <f t="shared" si="3"/>
        <v>1628321810269.5601</v>
      </c>
      <c r="F7" s="17">
        <f t="shared" si="1"/>
        <v>97699308616.173599</v>
      </c>
      <c r="G7" s="17">
        <f>0</f>
        <v>0</v>
      </c>
      <c r="H7" s="17">
        <f t="shared" si="4"/>
        <v>1726021118885.7336</v>
      </c>
      <c r="I7" s="17">
        <f t="shared" si="2"/>
        <v>182541.07164953279</v>
      </c>
    </row>
    <row r="8" spans="2:9" x14ac:dyDescent="0.3">
      <c r="B8" s="8">
        <f t="shared" si="0"/>
        <v>33</v>
      </c>
      <c r="C8" s="8">
        <v>9455522</v>
      </c>
      <c r="D8" s="17">
        <f>35000*(1+0.08)^('Ejercicio 1 (Prima)'!L7)</f>
        <v>47617.113600000012</v>
      </c>
      <c r="E8" s="17">
        <f t="shared" si="3"/>
        <v>2176265784107.033</v>
      </c>
      <c r="F8" s="17">
        <f t="shared" si="1"/>
        <v>130575947046.42197</v>
      </c>
      <c r="G8" s="17">
        <f>0</f>
        <v>0</v>
      </c>
      <c r="H8" s="17">
        <f t="shared" si="4"/>
        <v>2306841731153.4551</v>
      </c>
      <c r="I8" s="41">
        <f t="shared" si="2"/>
        <v>244405.82490225005</v>
      </c>
    </row>
    <row r="9" spans="2:9" x14ac:dyDescent="0.3">
      <c r="B9" s="8">
        <f t="shared" si="0"/>
        <v>34</v>
      </c>
      <c r="C9" s="8">
        <v>9438571</v>
      </c>
      <c r="D9" s="17">
        <f>35000*(1+0.08)^('Ejercicio 1 (Prima)'!L8)</f>
        <v>51426.482688000011</v>
      </c>
      <c r="E9" s="17">
        <f t="shared" si="3"/>
        <v>2792234239284.4141</v>
      </c>
      <c r="F9" s="17">
        <f t="shared" si="1"/>
        <v>167534054357.06485</v>
      </c>
      <c r="G9" s="17">
        <f>0</f>
        <v>0</v>
      </c>
      <c r="H9" s="17">
        <f t="shared" si="4"/>
        <v>2959768293641.479</v>
      </c>
      <c r="I9" s="17">
        <f t="shared" si="2"/>
        <v>314178.54334803601</v>
      </c>
    </row>
    <row r="10" spans="2:9" x14ac:dyDescent="0.3">
      <c r="B10" s="8">
        <f t="shared" si="0"/>
        <v>35</v>
      </c>
      <c r="C10" s="8">
        <v>9420657</v>
      </c>
      <c r="D10" s="17">
        <f>35000*(1+0.08)^('Ejercicio 1 (Prima)'!L9)</f>
        <v>55540.601303040021</v>
      </c>
      <c r="E10" s="17">
        <f t="shared" si="3"/>
        <v>3482997248091.1719</v>
      </c>
      <c r="F10" s="17">
        <f t="shared" si="1"/>
        <v>208979834885.47031</v>
      </c>
      <c r="G10" s="17">
        <f>0</f>
        <v>0</v>
      </c>
      <c r="H10" s="17">
        <f t="shared" si="4"/>
        <v>3691977082976.6421</v>
      </c>
      <c r="I10" s="17">
        <f t="shared" si="2"/>
        <v>392693.00182867609</v>
      </c>
    </row>
    <row r="11" spans="2:9" x14ac:dyDescent="0.3">
      <c r="B11" s="8">
        <f t="shared" si="0"/>
        <v>36</v>
      </c>
      <c r="C11" s="8">
        <v>9401688</v>
      </c>
      <c r="D11" s="17">
        <f>35000*(1+0.08)^('Ejercicio 1 (Prima)'!L10)</f>
        <v>59983.849407283225</v>
      </c>
      <c r="E11" s="17">
        <f t="shared" si="3"/>
        <v>4255926520142.9038</v>
      </c>
      <c r="F11" s="17">
        <f t="shared" si="1"/>
        <v>255355591208.57422</v>
      </c>
      <c r="G11" s="17">
        <f>0</f>
        <v>0</v>
      </c>
      <c r="H11" s="17">
        <f t="shared" si="4"/>
        <v>4511282111351.4785</v>
      </c>
      <c r="I11" s="17">
        <f t="shared" si="2"/>
        <v>480866.63903995114</v>
      </c>
    </row>
    <row r="12" spans="2:9" x14ac:dyDescent="0.3">
      <c r="B12" s="8">
        <f t="shared" si="0"/>
        <v>37</v>
      </c>
      <c r="C12" s="8">
        <v>9381566</v>
      </c>
      <c r="D12" s="17">
        <f>35000*(1+0.08)^('Ejercicio 1 (Prima)'!L11)</f>
        <v>64782.557359865881</v>
      </c>
      <c r="E12" s="17">
        <f t="shared" si="3"/>
        <v>5119043948871.8457</v>
      </c>
      <c r="F12" s="17">
        <f t="shared" si="1"/>
        <v>307142636932.31073</v>
      </c>
      <c r="G12" s="17">
        <f>0</f>
        <v>0</v>
      </c>
      <c r="H12" s="17">
        <f t="shared" si="4"/>
        <v>5426186585804.1563</v>
      </c>
      <c r="I12" s="17">
        <f t="shared" si="2"/>
        <v>579709.39308502444</v>
      </c>
    </row>
    <row r="13" spans="2:9" x14ac:dyDescent="0.3">
      <c r="B13" s="8">
        <f t="shared" si="0"/>
        <v>38</v>
      </c>
      <c r="C13" s="8">
        <v>9360184</v>
      </c>
      <c r="D13" s="17">
        <f>35000*(1+0.08)^('Ejercicio 1 (Prima)'!L12)</f>
        <v>69965.16194865515</v>
      </c>
      <c r="E13" s="17">
        <f t="shared" si="3"/>
        <v>6081073375233.3672</v>
      </c>
      <c r="F13" s="17">
        <f t="shared" si="1"/>
        <v>364864402514.00201</v>
      </c>
      <c r="G13" s="17">
        <f>0</f>
        <v>0</v>
      </c>
      <c r="H13" s="17">
        <f t="shared" si="4"/>
        <v>6445937777747.3691</v>
      </c>
      <c r="I13" s="17">
        <f t="shared" si="2"/>
        <v>690333.40531041042</v>
      </c>
    </row>
    <row r="14" spans="2:9" x14ac:dyDescent="0.3">
      <c r="B14" s="8">
        <f t="shared" si="0"/>
        <v>39</v>
      </c>
      <c r="C14" s="8">
        <v>9337427</v>
      </c>
      <c r="D14" s="17">
        <f>35000*(1+0.08)^('Ejercicio 1 (Prima)'!L13)</f>
        <v>75562.374904547571</v>
      </c>
      <c r="E14" s="17">
        <f t="shared" si="3"/>
        <v>7151495937365.2139</v>
      </c>
      <c r="F14" s="17">
        <f t="shared" si="1"/>
        <v>429089756241.91284</v>
      </c>
      <c r="G14" s="17">
        <f>0</f>
        <v>0</v>
      </c>
      <c r="H14" s="17">
        <f t="shared" si="4"/>
        <v>7580585693607.127</v>
      </c>
      <c r="I14" s="17">
        <f t="shared" si="2"/>
        <v>813964.41270424332</v>
      </c>
    </row>
    <row r="15" spans="2:9" x14ac:dyDescent="0.3">
      <c r="B15" s="8">
        <f t="shared" si="0"/>
        <v>40</v>
      </c>
      <c r="C15" s="8">
        <v>9313166</v>
      </c>
      <c r="D15" s="17">
        <f>35000*(1+0.08)^('Ejercicio 1 (Prima)'!L14)</f>
        <v>81607.364896911371</v>
      </c>
      <c r="E15" s="17">
        <f t="shared" si="3"/>
        <v>8340608629714.6357</v>
      </c>
      <c r="F15" s="17">
        <f t="shared" si="1"/>
        <v>500436517782.87811</v>
      </c>
      <c r="G15" s="17">
        <f>0</f>
        <v>0</v>
      </c>
      <c r="H15" s="17">
        <f t="shared" si="4"/>
        <v>8841045147497.5137</v>
      </c>
      <c r="I15" s="17">
        <f t="shared" si="2"/>
        <v>951953.68059931463</v>
      </c>
    </row>
    <row r="16" spans="2:9" x14ac:dyDescent="0.3">
      <c r="B16" s="8">
        <f t="shared" si="0"/>
        <v>41</v>
      </c>
      <c r="C16" s="8">
        <v>9287264</v>
      </c>
      <c r="D16" s="17">
        <f>35000*(1+0.08)^('Ejercicio 1 (Prima)'!L15)</f>
        <v>88135.954088664294</v>
      </c>
      <c r="E16" s="17">
        <f t="shared" si="3"/>
        <v>9659587021010.8184</v>
      </c>
      <c r="F16" s="17">
        <f t="shared" si="1"/>
        <v>579575221260.64905</v>
      </c>
      <c r="G16" s="17">
        <f>0</f>
        <v>0</v>
      </c>
      <c r="H16" s="17">
        <f t="shared" si="4"/>
        <v>10239162242271.467</v>
      </c>
      <c r="I16" s="17">
        <f t="shared" si="2"/>
        <v>1105792.2923504196</v>
      </c>
    </row>
    <row r="17" spans="2:9" x14ac:dyDescent="0.3">
      <c r="B17" s="8">
        <f t="shared" si="0"/>
        <v>42</v>
      </c>
      <c r="C17" s="8">
        <v>9259571</v>
      </c>
      <c r="D17" s="17">
        <f>35000*(1+0.08)^('Ejercicio 1 (Prima)'!L16)</f>
        <v>95186.830415757431</v>
      </c>
      <c r="E17" s="17">
        <f t="shared" si="3"/>
        <v>11120551456771.133</v>
      </c>
      <c r="F17" s="17">
        <f t="shared" si="1"/>
        <v>667233087406.26794</v>
      </c>
      <c r="G17" s="17">
        <f>0</f>
        <v>0</v>
      </c>
      <c r="H17" s="17">
        <f t="shared" si="4"/>
        <v>11787784544177.4</v>
      </c>
      <c r="I17" s="17">
        <f t="shared" si="2"/>
        <v>1277126.7961741185</v>
      </c>
    </row>
    <row r="18" spans="2:9" x14ac:dyDescent="0.3">
      <c r="B18" s="8">
        <f t="shared" si="0"/>
        <v>43</v>
      </c>
      <c r="C18" s="8">
        <v>9229925</v>
      </c>
      <c r="D18" s="17">
        <f>35000*(1+0.08)^('Ejercicio 1 (Prima)'!L17)</f>
        <v>102801.77684901805</v>
      </c>
      <c r="E18" s="17">
        <f t="shared" si="3"/>
        <v>12736637234360.574</v>
      </c>
      <c r="F18" s="17">
        <f t="shared" si="1"/>
        <v>764198234061.6344</v>
      </c>
      <c r="G18" s="17">
        <f>0</f>
        <v>0</v>
      </c>
      <c r="H18" s="17">
        <f t="shared" si="4"/>
        <v>13500835468422.209</v>
      </c>
      <c r="I18" s="17">
        <f t="shared" si="2"/>
        <v>1467777.4265694337</v>
      </c>
    </row>
    <row r="19" spans="2:9" x14ac:dyDescent="0.3">
      <c r="B19" s="8">
        <f t="shared" si="0"/>
        <v>44</v>
      </c>
      <c r="C19" s="8">
        <v>9198149</v>
      </c>
      <c r="D19" s="17">
        <f>35000*(1+0.08)^('Ejercicio 1 (Prima)'!L18)</f>
        <v>111025.91899693951</v>
      </c>
      <c r="E19" s="17">
        <f t="shared" si="3"/>
        <v>14522068414217.988</v>
      </c>
      <c r="F19" s="17">
        <f t="shared" si="1"/>
        <v>871324104853.07922</v>
      </c>
      <c r="G19" s="17">
        <f>0</f>
        <v>0</v>
      </c>
      <c r="H19" s="17">
        <f t="shared" si="4"/>
        <v>15393392519071.068</v>
      </c>
      <c r="I19" s="17">
        <f t="shared" si="2"/>
        <v>1679758.4953500442</v>
      </c>
    </row>
    <row r="20" spans="2:9" x14ac:dyDescent="0.3">
      <c r="B20" s="8">
        <f t="shared" si="0"/>
        <v>45</v>
      </c>
      <c r="C20" s="8">
        <v>9164051</v>
      </c>
      <c r="D20" s="17">
        <f>35000*(1+0.08)^('Ejercicio 1 (Prima)'!L19)</f>
        <v>119907.99251669466</v>
      </c>
      <c r="E20" s="17">
        <f t="shared" si="3"/>
        <v>16492235477801.676</v>
      </c>
      <c r="F20" s="17">
        <f t="shared" si="1"/>
        <v>989534128668.10046</v>
      </c>
      <c r="G20" s="17">
        <f>0</f>
        <v>0</v>
      </c>
      <c r="H20" s="17">
        <f t="shared" si="4"/>
        <v>17481769606469.775</v>
      </c>
      <c r="I20" s="17">
        <f t="shared" si="2"/>
        <v>1915301.1600937413</v>
      </c>
    </row>
    <row r="21" spans="2:9" x14ac:dyDescent="0.3">
      <c r="B21" s="8">
        <f t="shared" si="0"/>
        <v>46</v>
      </c>
      <c r="C21" s="8">
        <v>9127426</v>
      </c>
      <c r="D21" s="17">
        <f>35000*(1+0.08)^('Ejercicio 1 (Prima)'!L20)</f>
        <v>129500.63191803024</v>
      </c>
      <c r="E21" s="17">
        <f t="shared" si="3"/>
        <v>18663777041254.836</v>
      </c>
      <c r="F21" s="17">
        <f t="shared" si="1"/>
        <v>1119826622475.29</v>
      </c>
      <c r="G21" s="17">
        <f>0</f>
        <v>0</v>
      </c>
      <c r="H21" s="17">
        <f t="shared" si="4"/>
        <v>19783603663730.125</v>
      </c>
      <c r="I21" s="17">
        <f t="shared" si="2"/>
        <v>2176881.2716271803</v>
      </c>
    </row>
    <row r="22" spans="2:9" x14ac:dyDescent="0.3">
      <c r="B22" s="8">
        <f t="shared" si="0"/>
        <v>47</v>
      </c>
      <c r="C22" s="8">
        <v>9088049</v>
      </c>
      <c r="D22" s="17">
        <f>35000*(1+0.08)^('Ejercicio 1 (Prima)'!L21)</f>
        <v>139860.68247147268</v>
      </c>
      <c r="E22" s="17">
        <f t="shared" si="3"/>
        <v>21054664399204.309</v>
      </c>
      <c r="F22" s="17">
        <f t="shared" si="1"/>
        <v>1263279863952.2585</v>
      </c>
      <c r="G22" s="17">
        <f>0</f>
        <v>0</v>
      </c>
      <c r="H22" s="17">
        <f t="shared" si="4"/>
        <v>22317944263156.566</v>
      </c>
      <c r="I22" s="17">
        <f t="shared" si="2"/>
        <v>2467249.1985572963</v>
      </c>
    </row>
    <row r="23" spans="2:9" x14ac:dyDescent="0.3">
      <c r="B23" s="8">
        <f t="shared" si="0"/>
        <v>48</v>
      </c>
      <c r="C23" s="8">
        <v>9045679</v>
      </c>
      <c r="D23" s="17">
        <f>35000*(1+0.08)^('Ejercicio 1 (Prima)'!L22)</f>
        <v>151049.5370691905</v>
      </c>
      <c r="E23" s="17">
        <f t="shared" si="3"/>
        <v>23684289888583.063</v>
      </c>
      <c r="F23" s="17">
        <f t="shared" si="1"/>
        <v>1421057393314.9836</v>
      </c>
      <c r="G23" s="17">
        <f>0</f>
        <v>0</v>
      </c>
      <c r="H23" s="17">
        <f t="shared" si="4"/>
        <v>25105347281898.047</v>
      </c>
      <c r="I23" s="17">
        <f t="shared" si="2"/>
        <v>2789465.3647080287</v>
      </c>
    </row>
    <row r="24" spans="2:9" x14ac:dyDescent="0.3">
      <c r="B24" s="8">
        <f t="shared" si="0"/>
        <v>49</v>
      </c>
      <c r="C24" s="8">
        <v>9000057</v>
      </c>
      <c r="D24" s="17">
        <f>35000*(1+0.08)^('Ejercicio 1 (Prima)'!L23)</f>
        <v>163133.50003472573</v>
      </c>
      <c r="E24" s="17">
        <f t="shared" si="3"/>
        <v>26573558080820.082</v>
      </c>
      <c r="F24" s="17">
        <f t="shared" si="1"/>
        <v>1594413484849.2048</v>
      </c>
      <c r="G24" s="17">
        <v>0</v>
      </c>
      <c r="H24" s="17">
        <f>E24+F24-G24</f>
        <v>28167971565669.285</v>
      </c>
      <c r="I24" s="17">
        <f>H24/C25</f>
        <v>3146942.588871141</v>
      </c>
    </row>
    <row r="25" spans="2:9" x14ac:dyDescent="0.3">
      <c r="B25" s="8">
        <f t="shared" si="0"/>
        <v>50</v>
      </c>
      <c r="C25" s="8">
        <v>8950901</v>
      </c>
      <c r="D25" s="17">
        <f>35000*(1+0.08)^('Ejercicio 1 (Prima)'!L24)</f>
        <v>176184.1800375038</v>
      </c>
      <c r="E25" s="17">
        <f t="shared" si="3"/>
        <v>29744978718951.156</v>
      </c>
      <c r="F25" s="17">
        <f t="shared" si="1"/>
        <v>1784698723137.0693</v>
      </c>
      <c r="G25" s="17">
        <f t="shared" ref="G25:G56" si="5">pension*C25*(1+tasa1)</f>
        <v>2376579946722.0259</v>
      </c>
      <c r="H25" s="17">
        <f>E25+F25-G25</f>
        <v>29153097495366.199</v>
      </c>
      <c r="I25" s="17">
        <f>H25/C26</f>
        <v>3276397.228807047</v>
      </c>
    </row>
    <row r="26" spans="2:9" x14ac:dyDescent="0.3">
      <c r="B26" s="8">
        <f t="shared" si="0"/>
        <v>51</v>
      </c>
      <c r="C26" s="8">
        <v>8897913</v>
      </c>
      <c r="D26" s="17">
        <v>0</v>
      </c>
      <c r="E26" s="17">
        <f t="shared" si="3"/>
        <v>29153097495366.199</v>
      </c>
      <c r="F26" s="17">
        <f t="shared" si="1"/>
        <v>1749185849721.9719</v>
      </c>
      <c r="G26" s="17">
        <f t="shared" si="5"/>
        <v>2362510947610.439</v>
      </c>
      <c r="H26" s="17">
        <f t="shared" ref="H26:H85" si="6">E26+F26-G26</f>
        <v>28539772397477.734</v>
      </c>
      <c r="I26" s="17">
        <f t="shared" ref="I26:I84" si="7">H26/C27</f>
        <v>3228199.8510851129</v>
      </c>
    </row>
    <row r="27" spans="2:9" x14ac:dyDescent="0.3">
      <c r="B27" s="8">
        <f t="shared" si="0"/>
        <v>52</v>
      </c>
      <c r="C27" s="8">
        <v>8840770</v>
      </c>
      <c r="D27" s="17">
        <v>0</v>
      </c>
      <c r="E27" s="17">
        <f t="shared" si="3"/>
        <v>28539772397477.734</v>
      </c>
      <c r="F27" s="17">
        <f t="shared" si="1"/>
        <v>1712386343848.6641</v>
      </c>
      <c r="G27" s="17">
        <f t="shared" si="5"/>
        <v>2347338742276.5249</v>
      </c>
      <c r="H27" s="17">
        <f t="shared" si="6"/>
        <v>27904819999049.875</v>
      </c>
      <c r="I27" s="17">
        <f t="shared" si="7"/>
        <v>3178541.1944158776</v>
      </c>
    </row>
    <row r="28" spans="2:9" x14ac:dyDescent="0.3">
      <c r="B28" s="8">
        <f t="shared" si="0"/>
        <v>53</v>
      </c>
      <c r="C28" s="8">
        <v>8779128</v>
      </c>
      <c r="D28" s="17">
        <v>0</v>
      </c>
      <c r="E28" s="17">
        <f t="shared" si="3"/>
        <v>27904819999049.875</v>
      </c>
      <c r="F28" s="17">
        <f t="shared" si="1"/>
        <v>1674289199942.9924</v>
      </c>
      <c r="G28" s="17">
        <f t="shared" si="5"/>
        <v>2330971994272.5151</v>
      </c>
      <c r="H28" s="17">
        <f t="shared" si="6"/>
        <v>27248137204720.352</v>
      </c>
      <c r="I28" s="17">
        <f t="shared" si="7"/>
        <v>3127432.8591500022</v>
      </c>
    </row>
    <row r="29" spans="2:9" x14ac:dyDescent="0.3">
      <c r="B29" s="8">
        <f t="shared" si="0"/>
        <v>54</v>
      </c>
      <c r="C29" s="8">
        <v>8712621</v>
      </c>
      <c r="D29" s="17">
        <v>0</v>
      </c>
      <c r="E29" s="17">
        <f t="shared" si="3"/>
        <v>27248137204720.352</v>
      </c>
      <c r="F29" s="17">
        <f t="shared" si="1"/>
        <v>1634888232283.2209</v>
      </c>
      <c r="G29" s="17">
        <f t="shared" si="5"/>
        <v>2313313525866.1899</v>
      </c>
      <c r="H29" s="17">
        <f t="shared" si="6"/>
        <v>26569711911137.383</v>
      </c>
      <c r="I29" s="17">
        <f t="shared" si="7"/>
        <v>3074891.7163622216</v>
      </c>
    </row>
    <row r="30" spans="2:9" x14ac:dyDescent="0.3">
      <c r="B30" s="8">
        <f t="shared" si="0"/>
        <v>55</v>
      </c>
      <c r="C30" s="8">
        <v>8640861</v>
      </c>
      <c r="D30" s="17">
        <v>0</v>
      </c>
      <c r="E30" s="17">
        <f t="shared" si="3"/>
        <v>26569711911137.383</v>
      </c>
      <c r="F30" s="17">
        <f t="shared" si="1"/>
        <v>1594182714668.2429</v>
      </c>
      <c r="G30" s="17">
        <f t="shared" si="5"/>
        <v>2294260318040.8804</v>
      </c>
      <c r="H30" s="17">
        <f t="shared" si="6"/>
        <v>25869634307764.746</v>
      </c>
      <c r="I30" s="17">
        <f t="shared" si="7"/>
        <v>3020941.2820631843</v>
      </c>
    </row>
    <row r="31" spans="2:9" x14ac:dyDescent="0.3">
      <c r="B31" s="8">
        <f t="shared" si="0"/>
        <v>56</v>
      </c>
      <c r="C31" s="8">
        <v>8563435</v>
      </c>
      <c r="D31" s="17">
        <v>0</v>
      </c>
      <c r="E31" s="17">
        <f t="shared" si="3"/>
        <v>25869634307764.746</v>
      </c>
      <c r="F31" s="17">
        <f t="shared" si="1"/>
        <v>1552178058465.8848</v>
      </c>
      <c r="G31" s="17">
        <f t="shared" si="5"/>
        <v>2273702713956.6772</v>
      </c>
      <c r="H31" s="17">
        <f t="shared" si="6"/>
        <v>25148109652273.957</v>
      </c>
      <c r="I31" s="17">
        <f t="shared" si="7"/>
        <v>2965611.1425116826</v>
      </c>
    </row>
    <row r="32" spans="2:9" x14ac:dyDescent="0.3">
      <c r="B32" s="8">
        <f t="shared" si="0"/>
        <v>57</v>
      </c>
      <c r="C32" s="8">
        <v>8479908</v>
      </c>
      <c r="D32" s="17">
        <v>0</v>
      </c>
      <c r="E32" s="17">
        <f t="shared" si="3"/>
        <v>25148109652273.957</v>
      </c>
      <c r="F32" s="17">
        <f t="shared" si="1"/>
        <v>1508886579136.4373</v>
      </c>
      <c r="G32" s="17">
        <f t="shared" si="5"/>
        <v>2251525215489.2212</v>
      </c>
      <c r="H32" s="17">
        <f t="shared" si="6"/>
        <v>24405471015921.172</v>
      </c>
      <c r="I32" s="17">
        <f t="shared" si="7"/>
        <v>2908936.4923564768</v>
      </c>
    </row>
    <row r="33" spans="2:9" x14ac:dyDescent="0.3">
      <c r="B33" s="8">
        <f t="shared" si="0"/>
        <v>58</v>
      </c>
      <c r="C33" s="8">
        <v>8389826</v>
      </c>
      <c r="D33" s="17">
        <v>0</v>
      </c>
      <c r="E33" s="17">
        <f t="shared" si="3"/>
        <v>24405471015921.172</v>
      </c>
      <c r="F33" s="17">
        <f t="shared" si="1"/>
        <v>1464328260955.2703</v>
      </c>
      <c r="G33" s="17">
        <f t="shared" si="5"/>
        <v>2227607279768.4917</v>
      </c>
      <c r="H33" s="17">
        <f t="shared" si="6"/>
        <v>23642191997107.949</v>
      </c>
      <c r="I33" s="17">
        <f t="shared" si="7"/>
        <v>2850959.8724938328</v>
      </c>
    </row>
    <row r="34" spans="2:9" x14ac:dyDescent="0.3">
      <c r="B34" s="8">
        <f t="shared" si="0"/>
        <v>59</v>
      </c>
      <c r="C34" s="8">
        <v>8292713</v>
      </c>
      <c r="D34" s="17">
        <v>0</v>
      </c>
      <c r="E34" s="17">
        <f t="shared" si="3"/>
        <v>23642191997107.949</v>
      </c>
      <c r="F34" s="17">
        <f t="shared" si="1"/>
        <v>1418531519826.4768</v>
      </c>
      <c r="G34" s="17">
        <f t="shared" si="5"/>
        <v>2201822522640.0176</v>
      </c>
      <c r="H34" s="17">
        <f t="shared" si="6"/>
        <v>22858900994294.406</v>
      </c>
      <c r="I34" s="17">
        <f t="shared" si="7"/>
        <v>2791731.1194664831</v>
      </c>
    </row>
    <row r="35" spans="2:9" x14ac:dyDescent="0.3">
      <c r="B35" s="8">
        <f t="shared" si="0"/>
        <v>60</v>
      </c>
      <c r="C35" s="8">
        <v>8188074</v>
      </c>
      <c r="D35" s="17">
        <v>0</v>
      </c>
      <c r="E35" s="17">
        <f t="shared" si="3"/>
        <v>22858900994294.406</v>
      </c>
      <c r="F35" s="17">
        <f t="shared" si="1"/>
        <v>1371534059657.6643</v>
      </c>
      <c r="G35" s="17">
        <f t="shared" si="5"/>
        <v>2174039515203.666</v>
      </c>
      <c r="H35" s="17">
        <f t="shared" si="6"/>
        <v>22056395538748.406</v>
      </c>
      <c r="I35" s="17">
        <f t="shared" si="7"/>
        <v>2731305.8603698672</v>
      </c>
    </row>
    <row r="36" spans="2:9" x14ac:dyDescent="0.3">
      <c r="B36" s="8">
        <f t="shared" si="0"/>
        <v>61</v>
      </c>
      <c r="C36" s="8">
        <v>8075403</v>
      </c>
      <c r="D36" s="17">
        <v>0</v>
      </c>
      <c r="E36" s="17">
        <f t="shared" si="3"/>
        <v>22056395538748.406</v>
      </c>
      <c r="F36" s="17">
        <f t="shared" si="1"/>
        <v>1323383732324.9043</v>
      </c>
      <c r="G36" s="17">
        <f t="shared" si="5"/>
        <v>2144123907917.0789</v>
      </c>
      <c r="H36" s="17">
        <f t="shared" si="6"/>
        <v>21235655363156.234</v>
      </c>
      <c r="I36" s="17">
        <f t="shared" si="7"/>
        <v>2669748.2371412856</v>
      </c>
    </row>
    <row r="37" spans="2:9" x14ac:dyDescent="0.3">
      <c r="B37" s="8">
        <f t="shared" si="0"/>
        <v>62</v>
      </c>
      <c r="C37" s="8">
        <v>7954179</v>
      </c>
      <c r="D37" s="17">
        <v>0</v>
      </c>
      <c r="E37" s="17">
        <f t="shared" si="3"/>
        <v>21235655363156.234</v>
      </c>
      <c r="F37" s="17">
        <f t="shared" si="1"/>
        <v>1274139321789.374</v>
      </c>
      <c r="G37" s="17">
        <f t="shared" si="5"/>
        <v>2111937368543.9556</v>
      </c>
      <c r="H37" s="17">
        <f t="shared" si="6"/>
        <v>20397857316401.652</v>
      </c>
      <c r="I37" s="17">
        <f t="shared" si="7"/>
        <v>2607128.4226662572</v>
      </c>
    </row>
    <row r="38" spans="2:9" x14ac:dyDescent="0.3">
      <c r="B38" s="8">
        <f t="shared" si="0"/>
        <v>63</v>
      </c>
      <c r="C38" s="8">
        <v>7823879</v>
      </c>
      <c r="D38" s="17">
        <v>0</v>
      </c>
      <c r="E38" s="17">
        <f t="shared" si="3"/>
        <v>20397857316401.652</v>
      </c>
      <c r="F38" s="17">
        <f t="shared" si="1"/>
        <v>1223871438984.0991</v>
      </c>
      <c r="G38" s="17">
        <f t="shared" si="5"/>
        <v>2077341033822.1348</v>
      </c>
      <c r="H38" s="17">
        <f t="shared" si="6"/>
        <v>19544387721563.617</v>
      </c>
      <c r="I38" s="17">
        <f t="shared" si="7"/>
        <v>2543524.3539269976</v>
      </c>
    </row>
    <row r="39" spans="2:9" x14ac:dyDescent="0.3">
      <c r="B39" s="8">
        <f t="shared" si="0"/>
        <v>64</v>
      </c>
      <c r="C39" s="8">
        <v>7683979</v>
      </c>
      <c r="D39" s="17">
        <v>0</v>
      </c>
      <c r="E39" s="17">
        <f t="shared" si="3"/>
        <v>19544387721563.617</v>
      </c>
      <c r="F39" s="17">
        <f t="shared" si="1"/>
        <v>1172663263293.8169</v>
      </c>
      <c r="G39" s="17">
        <f t="shared" si="5"/>
        <v>2040195774976.5269</v>
      </c>
      <c r="H39" s="17">
        <f t="shared" si="6"/>
        <v>18676855209880.906</v>
      </c>
      <c r="I39" s="17">
        <f t="shared" si="7"/>
        <v>2479021.0319402781</v>
      </c>
    </row>
    <row r="40" spans="2:9" x14ac:dyDescent="0.3">
      <c r="B40" s="8">
        <f t="shared" si="0"/>
        <v>65</v>
      </c>
      <c r="C40" s="8">
        <v>7533964</v>
      </c>
      <c r="D40" s="17">
        <v>0</v>
      </c>
      <c r="E40" s="17">
        <f t="shared" si="3"/>
        <v>18676855209880.906</v>
      </c>
      <c r="F40" s="17">
        <f t="shared" si="1"/>
        <v>1120611312592.8542</v>
      </c>
      <c r="G40" s="17">
        <f t="shared" si="5"/>
        <v>2000364852848.4075</v>
      </c>
      <c r="H40" s="17">
        <f t="shared" si="6"/>
        <v>17797101669625.355</v>
      </c>
      <c r="I40" s="17">
        <f t="shared" si="7"/>
        <v>2413710.2720132126</v>
      </c>
    </row>
    <row r="41" spans="2:9" x14ac:dyDescent="0.3">
      <c r="B41" s="8">
        <f t="shared" si="0"/>
        <v>66</v>
      </c>
      <c r="C41" s="8">
        <v>7373338</v>
      </c>
      <c r="D41" s="17">
        <v>0</v>
      </c>
      <c r="E41" s="17">
        <f t="shared" si="3"/>
        <v>17797101669625.355</v>
      </c>
      <c r="F41" s="17">
        <f t="shared" si="1"/>
        <v>1067826100177.5212</v>
      </c>
      <c r="G41" s="17">
        <f t="shared" si="5"/>
        <v>1957716573024.7146</v>
      </c>
      <c r="H41" s="17">
        <f t="shared" si="6"/>
        <v>16907211196778.16</v>
      </c>
      <c r="I41" s="17">
        <f t="shared" si="7"/>
        <v>2347690.6559105203</v>
      </c>
    </row>
    <row r="42" spans="2:9" x14ac:dyDescent="0.3">
      <c r="B42" s="8">
        <f t="shared" si="0"/>
        <v>67</v>
      </c>
      <c r="C42" s="8">
        <v>7201635</v>
      </c>
      <c r="D42" s="17">
        <v>0</v>
      </c>
      <c r="E42" s="17">
        <f t="shared" si="3"/>
        <v>16907211196778.16</v>
      </c>
      <c r="F42" s="17">
        <f t="shared" si="1"/>
        <v>1014432671806.6896</v>
      </c>
      <c r="G42" s="17">
        <f t="shared" si="5"/>
        <v>1912127206480.2727</v>
      </c>
      <c r="H42" s="17">
        <f t="shared" si="6"/>
        <v>16009516662104.578</v>
      </c>
      <c r="I42" s="17">
        <f t="shared" si="7"/>
        <v>2281067.432455651</v>
      </c>
    </row>
    <row r="43" spans="2:9" x14ac:dyDescent="0.3">
      <c r="B43" s="8">
        <f t="shared" si="0"/>
        <v>68</v>
      </c>
      <c r="C43" s="8">
        <v>7018432</v>
      </c>
      <c r="D43" s="17">
        <v>0</v>
      </c>
      <c r="E43" s="17">
        <f t="shared" si="3"/>
        <v>16009516662104.578</v>
      </c>
      <c r="F43" s="17">
        <f t="shared" si="1"/>
        <v>960570999726.27466</v>
      </c>
      <c r="G43" s="17">
        <f t="shared" si="5"/>
        <v>1863484441245.8772</v>
      </c>
      <c r="H43" s="17">
        <f t="shared" si="6"/>
        <v>15106603220584.977</v>
      </c>
      <c r="I43" s="17">
        <f t="shared" si="7"/>
        <v>2213951.443705868</v>
      </c>
    </row>
    <row r="44" spans="2:9" x14ac:dyDescent="0.3">
      <c r="B44" s="8">
        <f t="shared" si="0"/>
        <v>69</v>
      </c>
      <c r="C44" s="8">
        <v>6823367</v>
      </c>
      <c r="D44" s="17">
        <v>0</v>
      </c>
      <c r="E44" s="17">
        <f t="shared" si="3"/>
        <v>15106603220584.977</v>
      </c>
      <c r="F44" s="17">
        <f t="shared" si="1"/>
        <v>906396193235.09851</v>
      </c>
      <c r="G44" s="17">
        <f t="shared" si="5"/>
        <v>1811692161641.0273</v>
      </c>
      <c r="H44" s="17">
        <f t="shared" si="6"/>
        <v>14201307252179.047</v>
      </c>
      <c r="I44" s="17">
        <f t="shared" si="7"/>
        <v>2146459.273124503</v>
      </c>
    </row>
    <row r="45" spans="2:9" x14ac:dyDescent="0.3">
      <c r="B45" s="8">
        <f t="shared" si="0"/>
        <v>70</v>
      </c>
      <c r="C45" s="8">
        <v>6616155</v>
      </c>
      <c r="D45" s="17">
        <v>0</v>
      </c>
      <c r="E45" s="17">
        <f t="shared" si="3"/>
        <v>14201307252179.047</v>
      </c>
      <c r="F45" s="17">
        <f t="shared" si="1"/>
        <v>852078435130.7428</v>
      </c>
      <c r="G45" s="17">
        <f t="shared" si="5"/>
        <v>1756674696480.7976</v>
      </c>
      <c r="H45" s="17">
        <f t="shared" si="6"/>
        <v>13296710990828.992</v>
      </c>
      <c r="I45" s="17">
        <f t="shared" si="7"/>
        <v>2078712.4851353259</v>
      </c>
    </row>
    <row r="46" spans="2:9" x14ac:dyDescent="0.3">
      <c r="B46" s="8">
        <f t="shared" si="0"/>
        <v>71</v>
      </c>
      <c r="C46" s="8">
        <v>6396609</v>
      </c>
      <c r="D46" s="17">
        <v>0</v>
      </c>
      <c r="E46" s="17">
        <f t="shared" si="3"/>
        <v>13296710990828.992</v>
      </c>
      <c r="F46" s="17">
        <f t="shared" si="1"/>
        <v>797802659449.7395</v>
      </c>
      <c r="G46" s="17">
        <f t="shared" si="5"/>
        <v>1698382394847.3606</v>
      </c>
      <c r="H46" s="17">
        <f t="shared" si="6"/>
        <v>12396131255431.371</v>
      </c>
      <c r="I46" s="17">
        <f t="shared" si="7"/>
        <v>2010836.8057477549</v>
      </c>
    </row>
    <row r="47" spans="2:9" x14ac:dyDescent="0.3">
      <c r="B47" s="8">
        <f t="shared" si="0"/>
        <v>72</v>
      </c>
      <c r="C47" s="8">
        <v>6164663</v>
      </c>
      <c r="D47" s="17">
        <v>0</v>
      </c>
      <c r="E47" s="17">
        <f t="shared" si="3"/>
        <v>12396131255431.371</v>
      </c>
      <c r="F47" s="17">
        <f t="shared" si="1"/>
        <v>743767875325.8822</v>
      </c>
      <c r="G47" s="17">
        <f t="shared" si="5"/>
        <v>1636797732887.3647</v>
      </c>
      <c r="H47" s="17">
        <f t="shared" si="6"/>
        <v>11503101397869.889</v>
      </c>
      <c r="I47" s="17">
        <f t="shared" si="7"/>
        <v>1942962.1403355738</v>
      </c>
    </row>
    <row r="48" spans="2:9" x14ac:dyDescent="0.3">
      <c r="B48" s="8">
        <f t="shared" si="0"/>
        <v>73</v>
      </c>
      <c r="C48" s="8">
        <v>5920394</v>
      </c>
      <c r="D48" s="17">
        <v>0</v>
      </c>
      <c r="E48" s="17">
        <f t="shared" si="3"/>
        <v>11503101397869.889</v>
      </c>
      <c r="F48" s="17">
        <f t="shared" si="1"/>
        <v>690186083872.19324</v>
      </c>
      <c r="G48" s="17">
        <f t="shared" si="5"/>
        <v>1571941155096.387</v>
      </c>
      <c r="H48" s="17">
        <f t="shared" si="6"/>
        <v>10621346326645.695</v>
      </c>
      <c r="I48" s="17">
        <f t="shared" si="7"/>
        <v>1875220.8139802581</v>
      </c>
    </row>
    <row r="49" spans="2:9" x14ac:dyDescent="0.3">
      <c r="B49" s="8">
        <f t="shared" si="0"/>
        <v>74</v>
      </c>
      <c r="C49" s="8">
        <v>5664051</v>
      </c>
      <c r="D49" s="17">
        <v>0</v>
      </c>
      <c r="E49" s="17">
        <f t="shared" si="3"/>
        <v>10621346326645.695</v>
      </c>
      <c r="F49" s="17">
        <f t="shared" si="1"/>
        <v>637280779598.7417</v>
      </c>
      <c r="G49" s="17">
        <f t="shared" si="5"/>
        <v>1503878774193.8875</v>
      </c>
      <c r="H49" s="17">
        <f t="shared" si="6"/>
        <v>9754748332050.5508</v>
      </c>
      <c r="I49" s="17">
        <f t="shared" si="7"/>
        <v>1807746.831830462</v>
      </c>
    </row>
    <row r="50" spans="2:9" x14ac:dyDescent="0.3">
      <c r="B50" s="8">
        <f t="shared" si="0"/>
        <v>75</v>
      </c>
      <c r="C50" s="8">
        <v>5396081</v>
      </c>
      <c r="D50" s="17">
        <v>0</v>
      </c>
      <c r="E50" s="17">
        <f t="shared" si="3"/>
        <v>9754748332050.5508</v>
      </c>
      <c r="F50" s="17">
        <f t="shared" si="1"/>
        <v>585284899923.03308</v>
      </c>
      <c r="G50" s="17">
        <f t="shared" si="5"/>
        <v>1432729274459.3801</v>
      </c>
      <c r="H50" s="17">
        <f t="shared" si="6"/>
        <v>8907303957514.2031</v>
      </c>
      <c r="I50" s="17">
        <f t="shared" si="7"/>
        <v>1740676.05525773</v>
      </c>
    </row>
    <row r="51" spans="2:9" x14ac:dyDescent="0.3">
      <c r="B51" s="8">
        <f t="shared" si="0"/>
        <v>76</v>
      </c>
      <c r="C51" s="8">
        <v>5117152</v>
      </c>
      <c r="D51" s="17">
        <v>0</v>
      </c>
      <c r="E51" s="17">
        <f t="shared" si="3"/>
        <v>8907303957514.2031</v>
      </c>
      <c r="F51" s="17">
        <f t="shared" si="1"/>
        <v>534438237450.85217</v>
      </c>
      <c r="G51" s="17">
        <f t="shared" si="5"/>
        <v>1358670018529.8118</v>
      </c>
      <c r="H51" s="17">
        <f t="shared" si="6"/>
        <v>8083072176435.2432</v>
      </c>
      <c r="I51" s="17">
        <f t="shared" si="7"/>
        <v>1674144.05182639</v>
      </c>
    </row>
    <row r="52" spans="2:9" x14ac:dyDescent="0.3">
      <c r="B52" s="8">
        <f t="shared" si="0"/>
        <v>77</v>
      </c>
      <c r="C52" s="8">
        <v>4828182</v>
      </c>
      <c r="D52" s="17">
        <v>0</v>
      </c>
      <c r="E52" s="17">
        <f t="shared" si="3"/>
        <v>8083072176435.2432</v>
      </c>
      <c r="F52" s="17">
        <f t="shared" si="1"/>
        <v>484984330586.11456</v>
      </c>
      <c r="G52" s="17">
        <f t="shared" si="5"/>
        <v>1281944747274.5198</v>
      </c>
      <c r="H52" s="17">
        <f t="shared" si="6"/>
        <v>7286111759746.8379</v>
      </c>
      <c r="I52" s="17">
        <f t="shared" si="7"/>
        <v>1608285.3812383206</v>
      </c>
    </row>
    <row r="53" spans="2:9" x14ac:dyDescent="0.3">
      <c r="B53" s="8">
        <f t="shared" si="0"/>
        <v>78</v>
      </c>
      <c r="C53" s="8">
        <v>4530360</v>
      </c>
      <c r="D53" s="17">
        <v>0</v>
      </c>
      <c r="E53" s="17">
        <f t="shared" si="3"/>
        <v>7286111759746.8379</v>
      </c>
      <c r="F53" s="17">
        <f t="shared" si="1"/>
        <v>437166705584.81024</v>
      </c>
      <c r="G53" s="17">
        <f t="shared" si="5"/>
        <v>1202869155566.7524</v>
      </c>
      <c r="H53" s="17">
        <f t="shared" si="6"/>
        <v>6520409309764.8965</v>
      </c>
      <c r="I53" s="17">
        <f t="shared" si="7"/>
        <v>1543232.6065917213</v>
      </c>
    </row>
    <row r="54" spans="2:9" x14ac:dyDescent="0.3">
      <c r="B54" s="8">
        <f t="shared" si="0"/>
        <v>79</v>
      </c>
      <c r="C54" s="8">
        <v>4225163</v>
      </c>
      <c r="D54" s="17">
        <v>0</v>
      </c>
      <c r="E54" s="17">
        <f t="shared" si="3"/>
        <v>6520409309764.8965</v>
      </c>
      <c r="F54" s="17">
        <f t="shared" si="1"/>
        <v>391224558585.8938</v>
      </c>
      <c r="G54" s="17">
        <f t="shared" si="5"/>
        <v>1121835406003.4712</v>
      </c>
      <c r="H54" s="17">
        <f t="shared" si="6"/>
        <v>5789798462347.3184</v>
      </c>
      <c r="I54" s="17">
        <f t="shared" si="7"/>
        <v>1479115.6323815787</v>
      </c>
    </row>
    <row r="55" spans="2:9" x14ac:dyDescent="0.3">
      <c r="B55" s="8">
        <f t="shared" si="0"/>
        <v>80</v>
      </c>
      <c r="C55" s="8">
        <v>3914365</v>
      </c>
      <c r="D55" s="17">
        <v>0</v>
      </c>
      <c r="E55" s="17">
        <f t="shared" si="3"/>
        <v>5789798462347.3184</v>
      </c>
      <c r="F55" s="17">
        <f t="shared" si="1"/>
        <v>347387907740.83911</v>
      </c>
      <c r="G55" s="17">
        <f t="shared" si="5"/>
        <v>1039314518521.7179</v>
      </c>
      <c r="H55" s="17">
        <f t="shared" si="6"/>
        <v>5097871851566.4395</v>
      </c>
      <c r="I55" s="17">
        <f t="shared" si="7"/>
        <v>1416060.5670180258</v>
      </c>
    </row>
    <row r="56" spans="2:9" x14ac:dyDescent="0.3">
      <c r="B56" s="8">
        <f t="shared" si="0"/>
        <v>81</v>
      </c>
      <c r="C56" s="8">
        <v>3600038</v>
      </c>
      <c r="D56" s="17">
        <v>0</v>
      </c>
      <c r="E56" s="17">
        <f t="shared" si="3"/>
        <v>5097871851566.4395</v>
      </c>
      <c r="F56" s="17">
        <f t="shared" si="1"/>
        <v>305872311093.98633</v>
      </c>
      <c r="G56" s="17">
        <f t="shared" si="5"/>
        <v>955856635911.54333</v>
      </c>
      <c r="H56" s="17">
        <f t="shared" si="6"/>
        <v>4447887526748.8828</v>
      </c>
      <c r="I56" s="17">
        <f t="shared" si="7"/>
        <v>1354188.0501905235</v>
      </c>
    </row>
    <row r="57" spans="2:9" x14ac:dyDescent="0.3">
      <c r="B57" s="8">
        <f t="shared" si="0"/>
        <v>82</v>
      </c>
      <c r="C57" s="8">
        <v>3284542</v>
      </c>
      <c r="D57" s="17">
        <v>0</v>
      </c>
      <c r="E57" s="17">
        <f t="shared" si="3"/>
        <v>4447887526748.8828</v>
      </c>
      <c r="F57" s="17">
        <f t="shared" si="1"/>
        <v>266873251604.93295</v>
      </c>
      <c r="G57" s="17">
        <f t="shared" ref="G57:G85" si="8">pension*C57*(1+tasa1)</f>
        <v>872088368686.71179</v>
      </c>
      <c r="H57" s="17">
        <f t="shared" si="6"/>
        <v>3842672409667.1035</v>
      </c>
      <c r="I57" s="17">
        <f t="shared" si="7"/>
        <v>1293613.056427985</v>
      </c>
    </row>
    <row r="58" spans="2:9" x14ac:dyDescent="0.3">
      <c r="B58" s="8">
        <f t="shared" si="0"/>
        <v>83</v>
      </c>
      <c r="C58" s="8">
        <v>2970496</v>
      </c>
      <c r="D58" s="17">
        <v>0</v>
      </c>
      <c r="E58" s="17">
        <f t="shared" si="3"/>
        <v>3842672409667.1035</v>
      </c>
      <c r="F58" s="17">
        <f t="shared" si="1"/>
        <v>230560344580.02621</v>
      </c>
      <c r="G58" s="17">
        <f t="shared" si="8"/>
        <v>788705095209.7439</v>
      </c>
      <c r="H58" s="17">
        <f t="shared" si="6"/>
        <v>3284527659037.3857</v>
      </c>
      <c r="I58" s="17">
        <f t="shared" si="7"/>
        <v>1234444.2018771458</v>
      </c>
    </row>
    <row r="59" spans="2:9" x14ac:dyDescent="0.3">
      <c r="B59" s="8">
        <f t="shared" si="0"/>
        <v>84</v>
      </c>
      <c r="C59" s="8">
        <v>2660734</v>
      </c>
      <c r="D59" s="17">
        <v>0</v>
      </c>
      <c r="E59" s="17">
        <f t="shared" si="3"/>
        <v>3284527659037.3857</v>
      </c>
      <c r="F59" s="17">
        <f t="shared" si="1"/>
        <v>197071659542.24313</v>
      </c>
      <c r="G59" s="17">
        <f t="shared" si="8"/>
        <v>706459279123.01611</v>
      </c>
      <c r="H59" s="17">
        <f t="shared" si="6"/>
        <v>2775140039456.6128</v>
      </c>
      <c r="I59" s="17">
        <f t="shared" si="7"/>
        <v>1176781.4042540994</v>
      </c>
    </row>
    <row r="60" spans="2:9" x14ac:dyDescent="0.3">
      <c r="B60" s="8">
        <f t="shared" si="0"/>
        <v>85</v>
      </c>
      <c r="C60" s="8">
        <v>2358246</v>
      </c>
      <c r="D60" s="17">
        <v>0</v>
      </c>
      <c r="E60" s="17">
        <f t="shared" si="3"/>
        <v>2775140039456.6128</v>
      </c>
      <c r="F60" s="17">
        <f t="shared" si="1"/>
        <v>166508402367.39676</v>
      </c>
      <c r="G60" s="17">
        <f t="shared" si="8"/>
        <v>626144804085.91626</v>
      </c>
      <c r="H60" s="17">
        <f t="shared" si="6"/>
        <v>2315503637738.0938</v>
      </c>
      <c r="I60" s="17">
        <f t="shared" si="7"/>
        <v>1120717.7023934552</v>
      </c>
    </row>
    <row r="61" spans="2:9" x14ac:dyDescent="0.3">
      <c r="B61" s="8">
        <f t="shared" si="0"/>
        <v>86</v>
      </c>
      <c r="C61" s="8">
        <v>2066090</v>
      </c>
      <c r="D61" s="17">
        <v>0</v>
      </c>
      <c r="E61" s="17">
        <f t="shared" si="3"/>
        <v>2315503637738.0938</v>
      </c>
      <c r="F61" s="17">
        <f t="shared" si="1"/>
        <v>138930218264.28561</v>
      </c>
      <c r="G61" s="17">
        <f t="shared" si="8"/>
        <v>548573608637.04236</v>
      </c>
      <c r="H61" s="17">
        <f t="shared" si="6"/>
        <v>1905860247365.3369</v>
      </c>
      <c r="I61" s="17">
        <f t="shared" si="7"/>
        <v>1066335.4298107575</v>
      </c>
    </row>
    <row r="62" spans="2:9" x14ac:dyDescent="0.3">
      <c r="B62" s="8">
        <f t="shared" si="0"/>
        <v>87</v>
      </c>
      <c r="C62" s="8">
        <v>1787299</v>
      </c>
      <c r="D62" s="17">
        <v>0</v>
      </c>
      <c r="E62" s="17">
        <f t="shared" si="3"/>
        <v>1905860247365.3369</v>
      </c>
      <c r="F62" s="17">
        <f t="shared" si="1"/>
        <v>114351614841.92021</v>
      </c>
      <c r="G62" s="17">
        <f t="shared" si="8"/>
        <v>474550993491.7536</v>
      </c>
      <c r="H62" s="17">
        <f t="shared" si="6"/>
        <v>1545660868715.5034</v>
      </c>
      <c r="I62" s="17">
        <f t="shared" si="7"/>
        <v>1013708.9746146624</v>
      </c>
    </row>
    <row r="63" spans="2:9" x14ac:dyDescent="0.3">
      <c r="B63" s="8">
        <f t="shared" si="0"/>
        <v>88</v>
      </c>
      <c r="C63" s="8">
        <v>1524758</v>
      </c>
      <c r="D63" s="17">
        <v>0</v>
      </c>
      <c r="E63" s="17">
        <f t="shared" si="3"/>
        <v>1545660868715.5034</v>
      </c>
      <c r="F63" s="17">
        <f t="shared" si="1"/>
        <v>92739652122.930206</v>
      </c>
      <c r="G63" s="17">
        <f t="shared" si="8"/>
        <v>404842963451.83386</v>
      </c>
      <c r="H63" s="17">
        <f t="shared" si="6"/>
        <v>1233557557386.5996</v>
      </c>
      <c r="I63" s="17">
        <f t="shared" si="7"/>
        <v>962902.13622895593</v>
      </c>
    </row>
    <row r="64" spans="2:9" x14ac:dyDescent="0.3">
      <c r="B64" s="8">
        <f t="shared" si="0"/>
        <v>89</v>
      </c>
      <c r="C64" s="8">
        <v>1281083</v>
      </c>
      <c r="D64" s="17">
        <v>0</v>
      </c>
      <c r="E64" s="17">
        <f t="shared" si="3"/>
        <v>1233557557386.5996</v>
      </c>
      <c r="F64" s="17">
        <f t="shared" si="1"/>
        <v>74013453443.195969</v>
      </c>
      <c r="G64" s="17">
        <f t="shared" si="8"/>
        <v>340144100341.0152</v>
      </c>
      <c r="H64" s="17">
        <f t="shared" si="6"/>
        <v>967426910488.78052</v>
      </c>
      <c r="I64" s="17">
        <f t="shared" si="7"/>
        <v>913968.00774761476</v>
      </c>
    </row>
    <row r="65" spans="2:9" x14ac:dyDescent="0.3">
      <c r="B65" s="8">
        <f t="shared" si="0"/>
        <v>90</v>
      </c>
      <c r="C65" s="8">
        <v>1058491</v>
      </c>
      <c r="D65" s="17">
        <v>0</v>
      </c>
      <c r="E65" s="17">
        <f t="shared" si="3"/>
        <v>967426910488.78052</v>
      </c>
      <c r="F65" s="17">
        <f t="shared" si="1"/>
        <v>58045614629.326828</v>
      </c>
      <c r="G65" s="17">
        <f t="shared" si="8"/>
        <v>281043046324.13477</v>
      </c>
      <c r="H65" s="17">
        <f t="shared" si="6"/>
        <v>744429478793.97253</v>
      </c>
      <c r="I65" s="17">
        <f t="shared" si="7"/>
        <v>866950.37335848738</v>
      </c>
    </row>
    <row r="66" spans="2:9" x14ac:dyDescent="0.3">
      <c r="B66" s="8">
        <f t="shared" si="0"/>
        <v>91</v>
      </c>
      <c r="C66" s="8">
        <v>858676</v>
      </c>
      <c r="D66" s="17">
        <v>0</v>
      </c>
      <c r="E66" s="17">
        <f t="shared" si="3"/>
        <v>744429478793.97253</v>
      </c>
      <c r="F66" s="17">
        <f t="shared" si="1"/>
        <v>44665768727.638351</v>
      </c>
      <c r="G66" s="17">
        <f t="shared" si="8"/>
        <v>227989580303.86914</v>
      </c>
      <c r="H66" s="17">
        <f t="shared" si="6"/>
        <v>561105667217.7417</v>
      </c>
      <c r="I66" s="17">
        <f t="shared" si="7"/>
        <v>821883.5711626535</v>
      </c>
    </row>
    <row r="67" spans="2:9" x14ac:dyDescent="0.3">
      <c r="B67" s="8">
        <f t="shared" si="0"/>
        <v>92</v>
      </c>
      <c r="C67" s="8">
        <v>682707</v>
      </c>
      <c r="D67" s="17">
        <v>0</v>
      </c>
      <c r="E67" s="17">
        <f t="shared" si="3"/>
        <v>561105667217.7417</v>
      </c>
      <c r="F67" s="17">
        <f t="shared" si="1"/>
        <v>33666340033.064499</v>
      </c>
      <c r="G67" s="17">
        <f t="shared" si="8"/>
        <v>181267535601.91922</v>
      </c>
      <c r="H67" s="17">
        <f t="shared" si="6"/>
        <v>413504471648.88696</v>
      </c>
      <c r="I67" s="17">
        <f t="shared" si="7"/>
        <v>778787.95095080219</v>
      </c>
    </row>
    <row r="68" spans="2:9" x14ac:dyDescent="0.3">
      <c r="B68" s="8">
        <f t="shared" si="0"/>
        <v>93</v>
      </c>
      <c r="C68" s="8">
        <v>530959</v>
      </c>
      <c r="D68" s="17">
        <v>0</v>
      </c>
      <c r="E68" s="17">
        <f t="shared" si="3"/>
        <v>413504471648.88696</v>
      </c>
      <c r="F68" s="17">
        <f t="shared" si="1"/>
        <v>24810268298.933216</v>
      </c>
      <c r="G68" s="17">
        <f t="shared" si="8"/>
        <v>140976479566.87045</v>
      </c>
      <c r="H68" s="17">
        <f t="shared" si="6"/>
        <v>297338260380.94971</v>
      </c>
      <c r="I68" s="17">
        <f t="shared" si="7"/>
        <v>737680.26650561113</v>
      </c>
    </row>
    <row r="69" spans="2:9" x14ac:dyDescent="0.3">
      <c r="B69" s="8">
        <f t="shared" ref="B69:B85" si="9">B68+1</f>
        <v>94</v>
      </c>
      <c r="C69" s="8">
        <v>403072</v>
      </c>
      <c r="D69" s="17">
        <v>0</v>
      </c>
      <c r="E69" s="17">
        <f t="shared" si="3"/>
        <v>297338260380.94971</v>
      </c>
      <c r="F69" s="17">
        <f t="shared" ref="F69:F85" si="10">E69*0.06</f>
        <v>17840295622.856983</v>
      </c>
      <c r="G69" s="17">
        <f t="shared" si="8"/>
        <v>107020827544.08083</v>
      </c>
      <c r="H69" s="17">
        <f t="shared" si="6"/>
        <v>208157728459.72589</v>
      </c>
      <c r="I69" s="17">
        <f t="shared" si="7"/>
        <v>698560.4064008306</v>
      </c>
    </row>
    <row r="70" spans="2:9" x14ac:dyDescent="0.3">
      <c r="B70" s="8">
        <f t="shared" si="9"/>
        <v>95</v>
      </c>
      <c r="C70" s="8">
        <v>297981</v>
      </c>
      <c r="D70" s="17">
        <v>0</v>
      </c>
      <c r="E70" s="17">
        <f t="shared" ref="E70:E85" si="11">(C70*D70)+H69</f>
        <v>208157728459.72589</v>
      </c>
      <c r="F70" s="17">
        <f t="shared" si="10"/>
        <v>12489463707.583553</v>
      </c>
      <c r="G70" s="17">
        <f t="shared" si="8"/>
        <v>79117808263.567673</v>
      </c>
      <c r="H70" s="17">
        <f t="shared" si="6"/>
        <v>141529383903.74176</v>
      </c>
      <c r="I70" s="17">
        <f t="shared" si="7"/>
        <v>661423.34878861636</v>
      </c>
    </row>
    <row r="71" spans="2:9" x14ac:dyDescent="0.3">
      <c r="B71" s="8">
        <f t="shared" si="9"/>
        <v>96</v>
      </c>
      <c r="C71" s="8">
        <v>213977</v>
      </c>
      <c r="D71" s="17">
        <v>0</v>
      </c>
      <c r="E71" s="17">
        <f t="shared" si="11"/>
        <v>141529383903.74176</v>
      </c>
      <c r="F71" s="17">
        <f t="shared" si="10"/>
        <v>8491763034.2245054</v>
      </c>
      <c r="G71" s="17">
        <f t="shared" si="8"/>
        <v>56813660128.710953</v>
      </c>
      <c r="H71" s="17">
        <f t="shared" si="6"/>
        <v>93207486809.255325</v>
      </c>
      <c r="I71" s="17">
        <f t="shared" si="7"/>
        <v>626259.72108992236</v>
      </c>
    </row>
    <row r="72" spans="2:9" x14ac:dyDescent="0.3">
      <c r="B72" s="8">
        <f t="shared" si="9"/>
        <v>97</v>
      </c>
      <c r="C72" s="8">
        <v>148832</v>
      </c>
      <c r="D72" s="17">
        <v>0</v>
      </c>
      <c r="E72" s="17">
        <f t="shared" si="11"/>
        <v>93207486809.255325</v>
      </c>
      <c r="F72" s="17">
        <f t="shared" si="10"/>
        <v>5592449208.5553198</v>
      </c>
      <c r="G72" s="17">
        <f t="shared" si="8"/>
        <v>39516820332.448395</v>
      </c>
      <c r="H72" s="17">
        <f t="shared" si="6"/>
        <v>59283115685.362244</v>
      </c>
      <c r="I72" s="17">
        <f t="shared" si="7"/>
        <v>593038.72040576441</v>
      </c>
    </row>
    <row r="73" spans="2:9" x14ac:dyDescent="0.3">
      <c r="B73" s="8">
        <f t="shared" si="9"/>
        <v>98</v>
      </c>
      <c r="C73" s="8">
        <v>99965</v>
      </c>
      <c r="D73" s="17">
        <v>0</v>
      </c>
      <c r="E73" s="17">
        <f t="shared" si="11"/>
        <v>59283115685.362244</v>
      </c>
      <c r="F73" s="17">
        <f t="shared" si="10"/>
        <v>3556986941.1217346</v>
      </c>
      <c r="G73" s="17">
        <f t="shared" si="8"/>
        <v>26542000003.582584</v>
      </c>
      <c r="H73" s="17">
        <f t="shared" si="6"/>
        <v>36298102622.901398</v>
      </c>
      <c r="I73" s="17">
        <f t="shared" si="7"/>
        <v>561742.30655866722</v>
      </c>
    </row>
    <row r="74" spans="2:9" x14ac:dyDescent="0.3">
      <c r="B74" s="8">
        <f t="shared" si="9"/>
        <v>99</v>
      </c>
      <c r="C74" s="8">
        <v>64617</v>
      </c>
      <c r="D74" s="17">
        <v>0</v>
      </c>
      <c r="E74" s="17">
        <f t="shared" si="11"/>
        <v>36298102622.901398</v>
      </c>
      <c r="F74" s="17">
        <f t="shared" si="10"/>
        <v>2177886157.374084</v>
      </c>
      <c r="G74" s="17">
        <f t="shared" si="8"/>
        <v>17156648969.454268</v>
      </c>
      <c r="H74" s="17">
        <f>E74+F74-G74</f>
        <v>21319339810.821213</v>
      </c>
      <c r="I74" s="17">
        <f t="shared" si="7"/>
        <v>532331.38931861497</v>
      </c>
    </row>
    <row r="75" spans="2:9" x14ac:dyDescent="0.3">
      <c r="B75" s="8">
        <f t="shared" si="9"/>
        <v>100</v>
      </c>
      <c r="C75" s="8">
        <v>40049</v>
      </c>
      <c r="D75" s="17">
        <v>0</v>
      </c>
      <c r="E75" s="17">
        <f t="shared" si="11"/>
        <v>21319339810.821213</v>
      </c>
      <c r="F75" s="17">
        <f t="shared" si="10"/>
        <v>1279160388.6492727</v>
      </c>
      <c r="G75" s="17">
        <f t="shared" si="8"/>
        <v>10633527315.995388</v>
      </c>
      <c r="H75" s="17">
        <f t="shared" si="6"/>
        <v>11964972883.475098</v>
      </c>
      <c r="I75" s="17">
        <f t="shared" si="7"/>
        <v>504744.69029635511</v>
      </c>
    </row>
    <row r="76" spans="2:9" x14ac:dyDescent="0.3">
      <c r="B76" s="8">
        <f t="shared" si="9"/>
        <v>101</v>
      </c>
      <c r="C76" s="8">
        <v>23705</v>
      </c>
      <c r="D76" s="17">
        <v>0</v>
      </c>
      <c r="E76" s="17">
        <f t="shared" si="11"/>
        <v>11964972883.475098</v>
      </c>
      <c r="F76" s="17">
        <f t="shared" si="10"/>
        <v>717898373.00850582</v>
      </c>
      <c r="G76" s="17">
        <f t="shared" si="8"/>
        <v>6293983995.2475872</v>
      </c>
      <c r="H76" s="17">
        <f t="shared" si="6"/>
        <v>6388887261.2360172</v>
      </c>
      <c r="I76" s="17">
        <f t="shared" si="7"/>
        <v>478962.9853239386</v>
      </c>
    </row>
    <row r="77" spans="2:9" x14ac:dyDescent="0.3">
      <c r="B77" s="8">
        <f t="shared" si="9"/>
        <v>102</v>
      </c>
      <c r="C77" s="8">
        <v>13339</v>
      </c>
      <c r="D77" s="17">
        <v>0</v>
      </c>
      <c r="E77" s="17">
        <f t="shared" si="11"/>
        <v>6388887261.2360172</v>
      </c>
      <c r="F77" s="17">
        <f t="shared" si="10"/>
        <v>383333235.67416102</v>
      </c>
      <c r="G77" s="17">
        <f t="shared" si="8"/>
        <v>3541676967.4164767</v>
      </c>
      <c r="H77" s="17">
        <f t="shared" si="6"/>
        <v>3230543529.4937015</v>
      </c>
      <c r="I77" s="17">
        <f t="shared" si="7"/>
        <v>454942.05456889194</v>
      </c>
    </row>
    <row r="78" spans="2:9" x14ac:dyDescent="0.3">
      <c r="B78" s="8">
        <f t="shared" si="9"/>
        <v>103</v>
      </c>
      <c r="C78" s="8">
        <v>7101</v>
      </c>
      <c r="D78" s="17">
        <v>0</v>
      </c>
      <c r="E78" s="17">
        <f t="shared" si="11"/>
        <v>3230543529.4937015</v>
      </c>
      <c r="F78" s="17">
        <f t="shared" si="10"/>
        <v>193832611.76962209</v>
      </c>
      <c r="G78" s="17">
        <f t="shared" si="8"/>
        <v>1885407312.813884</v>
      </c>
      <c r="H78" s="17">
        <f t="shared" si="6"/>
        <v>1538968828.4494398</v>
      </c>
      <c r="I78" s="17">
        <f t="shared" si="7"/>
        <v>432537.61339219782</v>
      </c>
    </row>
    <row r="79" spans="2:9" x14ac:dyDescent="0.3">
      <c r="B79" s="8">
        <f t="shared" si="9"/>
        <v>104</v>
      </c>
      <c r="C79" s="8">
        <v>3558</v>
      </c>
      <c r="D79" s="17">
        <v>0</v>
      </c>
      <c r="E79" s="17">
        <f t="shared" si="11"/>
        <v>1538968828.4494398</v>
      </c>
      <c r="F79" s="17">
        <f t="shared" si="10"/>
        <v>92338129.706966385</v>
      </c>
      <c r="G79" s="17">
        <f t="shared" si="8"/>
        <v>944695003.3786509</v>
      </c>
      <c r="H79" s="17">
        <f t="shared" si="6"/>
        <v>686611954.77775526</v>
      </c>
      <c r="I79" s="17">
        <f t="shared" si="7"/>
        <v>411637.8625765919</v>
      </c>
    </row>
    <row r="80" spans="2:9" x14ac:dyDescent="0.3">
      <c r="B80" s="8">
        <f t="shared" si="9"/>
        <v>105</v>
      </c>
      <c r="C80" s="8">
        <v>1668</v>
      </c>
      <c r="D80" s="17">
        <v>0</v>
      </c>
      <c r="E80" s="17">
        <f t="shared" si="11"/>
        <v>686611954.77775526</v>
      </c>
      <c r="F80" s="17">
        <f t="shared" si="10"/>
        <v>41196717.286665313</v>
      </c>
      <c r="G80" s="17">
        <f t="shared" si="8"/>
        <v>442875566.5080353</v>
      </c>
      <c r="H80" s="17">
        <f t="shared" si="6"/>
        <v>284933105.55638528</v>
      </c>
      <c r="I80" s="17">
        <f t="shared" si="7"/>
        <v>391929.99388773768</v>
      </c>
    </row>
    <row r="81" spans="2:9" x14ac:dyDescent="0.3">
      <c r="B81" s="8">
        <f t="shared" si="9"/>
        <v>106</v>
      </c>
      <c r="C81" s="8">
        <v>727</v>
      </c>
      <c r="D81" s="17">
        <v>0</v>
      </c>
      <c r="E81" s="17">
        <f t="shared" si="11"/>
        <v>284933105.55638528</v>
      </c>
      <c r="F81" s="17">
        <f t="shared" si="10"/>
        <v>17095986.333383117</v>
      </c>
      <c r="G81" s="17">
        <f t="shared" si="8"/>
        <v>193027899.79097223</v>
      </c>
      <c r="H81" s="17">
        <f t="shared" si="6"/>
        <v>109001192.09879619</v>
      </c>
      <c r="I81" s="17">
        <f t="shared" si="7"/>
        <v>373291.75376300066</v>
      </c>
    </row>
    <row r="82" spans="2:9" x14ac:dyDescent="0.3">
      <c r="B82" s="8">
        <f t="shared" si="9"/>
        <v>107</v>
      </c>
      <c r="C82" s="8">
        <v>292</v>
      </c>
      <c r="D82" s="17">
        <v>0</v>
      </c>
      <c r="E82" s="17">
        <f t="shared" si="11"/>
        <v>109001192.09879619</v>
      </c>
      <c r="F82" s="17">
        <f t="shared" si="10"/>
        <v>6540071.5259277709</v>
      </c>
      <c r="G82" s="17">
        <f t="shared" si="8"/>
        <v>77529775.431862295</v>
      </c>
      <c r="H82" s="17">
        <f t="shared" si="6"/>
        <v>38011488.192861661</v>
      </c>
      <c r="I82" s="17">
        <f t="shared" si="7"/>
        <v>351958.22400797834</v>
      </c>
    </row>
    <row r="83" spans="2:9" x14ac:dyDescent="0.3">
      <c r="B83" s="8">
        <f t="shared" si="9"/>
        <v>108</v>
      </c>
      <c r="C83" s="8">
        <v>108</v>
      </c>
      <c r="D83" s="17">
        <v>0</v>
      </c>
      <c r="E83" s="17">
        <f t="shared" si="11"/>
        <v>38011488.192861661</v>
      </c>
      <c r="F83" s="17">
        <f t="shared" si="10"/>
        <v>2280689.2915716995</v>
      </c>
      <c r="G83" s="17">
        <f t="shared" si="8"/>
        <v>28675396.392606601</v>
      </c>
      <c r="H83" s="17">
        <f t="shared" si="6"/>
        <v>11616781.091826759</v>
      </c>
      <c r="I83" s="17">
        <f t="shared" si="7"/>
        <v>322688.36366185441</v>
      </c>
    </row>
    <row r="84" spans="2:9" x14ac:dyDescent="0.3">
      <c r="B84" s="8">
        <f t="shared" si="9"/>
        <v>109</v>
      </c>
      <c r="C84" s="8">
        <v>36</v>
      </c>
      <c r="D84" s="17">
        <v>0</v>
      </c>
      <c r="E84" s="17">
        <f t="shared" si="11"/>
        <v>11616781.091826759</v>
      </c>
      <c r="F84" s="17">
        <f t="shared" si="10"/>
        <v>697006.8655096055</v>
      </c>
      <c r="G84" s="17">
        <f t="shared" si="8"/>
        <v>9558465.464202201</v>
      </c>
      <c r="H84" s="17">
        <f t="shared" si="6"/>
        <v>2755322.4931341633</v>
      </c>
      <c r="I84" s="17">
        <f t="shared" si="7"/>
        <v>250483.86301219667</v>
      </c>
    </row>
    <row r="85" spans="2:9" x14ac:dyDescent="0.3">
      <c r="B85" s="8">
        <f t="shared" si="9"/>
        <v>110</v>
      </c>
      <c r="C85" s="8">
        <v>11</v>
      </c>
      <c r="D85" s="17">
        <v>0</v>
      </c>
      <c r="E85" s="17">
        <f t="shared" si="11"/>
        <v>2755322.4931341633</v>
      </c>
      <c r="F85" s="17">
        <f t="shared" si="10"/>
        <v>165319.34958804978</v>
      </c>
      <c r="G85" s="17">
        <f t="shared" si="8"/>
        <v>2920642.225172895</v>
      </c>
      <c r="H85" s="17">
        <f t="shared" si="6"/>
        <v>-0.38245068211108446</v>
      </c>
      <c r="I85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AF91-8BC0-452E-A591-854CFF2EE903}">
  <dimension ref="A2:R93"/>
  <sheetViews>
    <sheetView showGridLines="0" zoomScale="93" zoomScaleNormal="106" workbookViewId="0">
      <selection activeCell="K25" sqref="K25"/>
    </sheetView>
  </sheetViews>
  <sheetFormatPr baseColWidth="10" defaultRowHeight="14.4" x14ac:dyDescent="0.3"/>
  <cols>
    <col min="7" max="7" width="12" bestFit="1" customWidth="1"/>
    <col min="16" max="16" width="18" bestFit="1" customWidth="1"/>
    <col min="17" max="17" width="12" bestFit="1" customWidth="1"/>
  </cols>
  <sheetData>
    <row r="2" spans="1:18" ht="17.399999999999999" x14ac:dyDescent="0.3">
      <c r="A2" s="1" t="s">
        <v>0</v>
      </c>
      <c r="B2" s="1" t="s">
        <v>1</v>
      </c>
      <c r="D2" s="4" t="s">
        <v>0</v>
      </c>
      <c r="E2" s="4" t="s">
        <v>2</v>
      </c>
      <c r="F2" s="4" t="s">
        <v>11</v>
      </c>
      <c r="G2" s="4" t="s">
        <v>12</v>
      </c>
      <c r="H2" s="4" t="s">
        <v>5</v>
      </c>
      <c r="J2" s="4" t="s">
        <v>0</v>
      </c>
      <c r="K2" s="4" t="s">
        <v>2</v>
      </c>
      <c r="L2" s="4" t="s">
        <v>19</v>
      </c>
      <c r="M2" s="4" t="s">
        <v>20</v>
      </c>
      <c r="N2" s="4" t="s">
        <v>5</v>
      </c>
      <c r="P2" s="21" t="s">
        <v>6</v>
      </c>
      <c r="Q2" s="7">
        <v>0.06</v>
      </c>
    </row>
    <row r="3" spans="1:18" ht="17.399999999999999" x14ac:dyDescent="0.3">
      <c r="A3" s="2">
        <v>20</v>
      </c>
      <c r="B3" s="2">
        <v>9617802</v>
      </c>
      <c r="D3" s="5">
        <f>60</f>
        <v>60</v>
      </c>
      <c r="E3" s="5">
        <f>0</f>
        <v>0</v>
      </c>
      <c r="F3" s="5">
        <f>B43/$B$43</f>
        <v>1</v>
      </c>
      <c r="G3" s="5">
        <f>F3-F4</f>
        <v>1.3760378814358543E-2</v>
      </c>
      <c r="H3" s="5">
        <f>(1+$Q$2)^(-E3)</f>
        <v>1</v>
      </c>
      <c r="J3" s="5">
        <v>65</v>
      </c>
      <c r="K3" s="5">
        <f>0</f>
        <v>0</v>
      </c>
      <c r="L3" s="5">
        <f>B48/$B$48</f>
        <v>1</v>
      </c>
      <c r="M3" s="5">
        <f>L3-L4</f>
        <v>2.1320250534778262E-2</v>
      </c>
      <c r="N3" s="5">
        <f>(1+$Q$2)^(-K3)</f>
        <v>1</v>
      </c>
    </row>
    <row r="4" spans="1:18" ht="17.399999999999999" x14ac:dyDescent="0.3">
      <c r="A4" s="2">
        <f>A3+1</f>
        <v>21</v>
      </c>
      <c r="B4" s="2">
        <v>9607896</v>
      </c>
      <c r="D4" s="5">
        <f>D3+1</f>
        <v>61</v>
      </c>
      <c r="E4" s="5">
        <f>E3+1</f>
        <v>1</v>
      </c>
      <c r="F4" s="5">
        <f t="shared" ref="F4:F13" si="0">B44/$B$43</f>
        <v>0.98623962118564146</v>
      </c>
      <c r="G4" s="5">
        <f t="shared" ref="G4:G12" si="1">F4-F5</f>
        <v>1.480494680434008E-2</v>
      </c>
      <c r="H4" s="5">
        <f t="shared" ref="H4:H13" si="2">(1+$Q$2)^(-E4)</f>
        <v>0.94339622641509424</v>
      </c>
      <c r="J4" s="5">
        <f>J3+1</f>
        <v>66</v>
      </c>
      <c r="K4" s="5">
        <f>K3+1</f>
        <v>1</v>
      </c>
      <c r="L4" s="5">
        <f t="shared" ref="L4:L13" si="3">B49/$B$48</f>
        <v>0.97867974946522174</v>
      </c>
      <c r="M4" s="5">
        <f t="shared" ref="M4:M12" si="4">L4-L5</f>
        <v>2.2790525678115792E-2</v>
      </c>
      <c r="N4" s="5">
        <f t="shared" ref="N4:N13" si="5">(1+$Q$2)^(-K4)</f>
        <v>0.94339622641509424</v>
      </c>
      <c r="P4" s="22" t="s">
        <v>13</v>
      </c>
      <c r="Q4" s="8">
        <f>SUMPRODUCT(F3:F10,H3:H10)</f>
        <v>6.2479048872723064</v>
      </c>
    </row>
    <row r="5" spans="1:18" ht="17.399999999999999" x14ac:dyDescent="0.3">
      <c r="A5" s="2">
        <f t="shared" ref="A5:A68" si="6">A4+1</f>
        <v>22</v>
      </c>
      <c r="B5" s="2">
        <v>9597695</v>
      </c>
      <c r="D5" s="5">
        <f t="shared" ref="D5:D13" si="7">D4+1</f>
        <v>62</v>
      </c>
      <c r="E5" s="5">
        <f t="shared" ref="E5:E13" si="8">E4+1</f>
        <v>2</v>
      </c>
      <c r="F5" s="5">
        <f t="shared" si="0"/>
        <v>0.97143467438130138</v>
      </c>
      <c r="G5" s="5">
        <f t="shared" si="1"/>
        <v>1.5913388178953936E-2</v>
      </c>
      <c r="H5" s="5">
        <f t="shared" si="2"/>
        <v>0.88999644001423983</v>
      </c>
      <c r="J5" s="5">
        <f t="shared" ref="J5:J13" si="9">J4+1</f>
        <v>67</v>
      </c>
      <c r="K5" s="5">
        <f t="shared" ref="K5:K13" si="10">K4+1</f>
        <v>2</v>
      </c>
      <c r="L5" s="5">
        <f t="shared" si="3"/>
        <v>0.95588922378710595</v>
      </c>
      <c r="M5" s="5">
        <f t="shared" si="4"/>
        <v>2.4316946563588515E-2</v>
      </c>
      <c r="N5" s="5">
        <f t="shared" si="5"/>
        <v>0.88999644001423983</v>
      </c>
    </row>
    <row r="6" spans="1:18" ht="17.399999999999999" x14ac:dyDescent="0.3">
      <c r="A6" s="2">
        <f t="shared" si="6"/>
        <v>23</v>
      </c>
      <c r="B6" s="2">
        <v>9587169</v>
      </c>
      <c r="D6" s="5">
        <f t="shared" si="7"/>
        <v>63</v>
      </c>
      <c r="E6" s="5">
        <f t="shared" si="8"/>
        <v>3</v>
      </c>
      <c r="F6" s="5">
        <f t="shared" si="0"/>
        <v>0.95552128620234744</v>
      </c>
      <c r="G6" s="5">
        <f t="shared" si="1"/>
        <v>1.7085825067042593E-2</v>
      </c>
      <c r="H6" s="5">
        <f t="shared" si="2"/>
        <v>0.8396192830323016</v>
      </c>
      <c r="J6" s="5">
        <f t="shared" si="9"/>
        <v>68</v>
      </c>
      <c r="K6" s="5">
        <f t="shared" si="10"/>
        <v>3</v>
      </c>
      <c r="L6" s="5">
        <f t="shared" si="3"/>
        <v>0.93157227722351743</v>
      </c>
      <c r="M6" s="5">
        <f t="shared" si="4"/>
        <v>2.5891416523891042E-2</v>
      </c>
      <c r="N6" s="5">
        <f t="shared" si="5"/>
        <v>0.8396192830323016</v>
      </c>
      <c r="P6" s="8" t="s">
        <v>16</v>
      </c>
      <c r="Q6" s="20">
        <f>SUMPRODUCT(G3:G7,H4:H8)</f>
        <v>6.6743236020987445E-2</v>
      </c>
      <c r="R6" s="26"/>
    </row>
    <row r="7" spans="1:18" ht="17.399999999999999" x14ac:dyDescent="0.3">
      <c r="A7" s="2">
        <f t="shared" si="6"/>
        <v>24</v>
      </c>
      <c r="B7" s="2">
        <v>9576288</v>
      </c>
      <c r="D7" s="5">
        <f t="shared" si="7"/>
        <v>64</v>
      </c>
      <c r="E7" s="5">
        <f t="shared" si="8"/>
        <v>4</v>
      </c>
      <c r="F7" s="5">
        <f t="shared" si="0"/>
        <v>0.93843546113530485</v>
      </c>
      <c r="G7" s="5">
        <f t="shared" si="1"/>
        <v>1.8321158309023589E-2</v>
      </c>
      <c r="H7" s="5">
        <f t="shared" si="2"/>
        <v>0.79209366323802044</v>
      </c>
      <c r="J7" s="5">
        <f t="shared" si="9"/>
        <v>69</v>
      </c>
      <c r="K7" s="5">
        <f t="shared" si="10"/>
        <v>4</v>
      </c>
      <c r="L7" s="5">
        <f t="shared" si="3"/>
        <v>0.90568086069962639</v>
      </c>
      <c r="M7" s="5">
        <f t="shared" si="4"/>
        <v>2.7503715175703047E-2</v>
      </c>
      <c r="N7" s="5">
        <f t="shared" si="5"/>
        <v>0.79209366323802044</v>
      </c>
      <c r="P7" s="8" t="s">
        <v>14</v>
      </c>
      <c r="Q7" s="20">
        <f>F8*H8</f>
        <v>0.68756293275789271</v>
      </c>
      <c r="R7" s="26"/>
    </row>
    <row r="8" spans="1:18" ht="17.399999999999999" x14ac:dyDescent="0.3">
      <c r="A8" s="2">
        <f t="shared" si="6"/>
        <v>25</v>
      </c>
      <c r="B8" s="2">
        <v>9565017</v>
      </c>
      <c r="D8" s="5">
        <f t="shared" si="7"/>
        <v>65</v>
      </c>
      <c r="E8" s="5">
        <f t="shared" si="8"/>
        <v>5</v>
      </c>
      <c r="F8" s="5">
        <f t="shared" si="0"/>
        <v>0.92011430282628126</v>
      </c>
      <c r="G8" s="5">
        <f t="shared" si="1"/>
        <v>1.9617067456889181E-2</v>
      </c>
      <c r="H8" s="5">
        <f t="shared" si="2"/>
        <v>0.74725817286605689</v>
      </c>
      <c r="J8" s="5">
        <f t="shared" si="9"/>
        <v>70</v>
      </c>
      <c r="K8" s="5">
        <f t="shared" si="10"/>
        <v>5</v>
      </c>
      <c r="L8" s="5">
        <f t="shared" si="3"/>
        <v>0.87817714552392334</v>
      </c>
      <c r="M8" s="5">
        <f t="shared" si="4"/>
        <v>2.9140834758435208E-2</v>
      </c>
      <c r="N8" s="5">
        <f t="shared" si="5"/>
        <v>0.74725817286605689</v>
      </c>
      <c r="P8" s="23" t="s">
        <v>15</v>
      </c>
      <c r="Q8" s="17">
        <f>240000*Q6+20000*Q7</f>
        <v>29769.635300194841</v>
      </c>
      <c r="R8" s="26"/>
    </row>
    <row r="9" spans="1:18" ht="17.399999999999999" x14ac:dyDescent="0.3">
      <c r="A9" s="2">
        <f t="shared" si="6"/>
        <v>26</v>
      </c>
      <c r="B9" s="2">
        <v>9553319</v>
      </c>
      <c r="D9" s="5">
        <f t="shared" si="7"/>
        <v>66</v>
      </c>
      <c r="E9" s="5">
        <f t="shared" si="8"/>
        <v>6</v>
      </c>
      <c r="F9" s="5">
        <f t="shared" si="0"/>
        <v>0.90049723536939208</v>
      </c>
      <c r="G9" s="5">
        <f t="shared" si="1"/>
        <v>2.0969888645363977E-2</v>
      </c>
      <c r="H9" s="5">
        <f t="shared" si="2"/>
        <v>0.70496054043967626</v>
      </c>
      <c r="J9" s="5">
        <f t="shared" si="9"/>
        <v>71</v>
      </c>
      <c r="K9" s="5">
        <f t="shared" si="10"/>
        <v>6</v>
      </c>
      <c r="L9" s="5">
        <f t="shared" si="3"/>
        <v>0.84903631076548813</v>
      </c>
      <c r="M9" s="5">
        <f t="shared" si="4"/>
        <v>3.07867146697276E-2</v>
      </c>
      <c r="N9" s="5">
        <f t="shared" si="5"/>
        <v>0.70496054043967626</v>
      </c>
    </row>
    <row r="10" spans="1:18" ht="17.399999999999999" x14ac:dyDescent="0.3">
      <c r="A10" s="2">
        <f t="shared" si="6"/>
        <v>27</v>
      </c>
      <c r="B10" s="2">
        <v>9541153</v>
      </c>
      <c r="D10" s="5">
        <f t="shared" si="7"/>
        <v>67</v>
      </c>
      <c r="E10" s="5">
        <f t="shared" si="8"/>
        <v>7</v>
      </c>
      <c r="F10" s="5">
        <f t="shared" si="0"/>
        <v>0.8795273467240281</v>
      </c>
      <c r="G10" s="5">
        <f>F10-F11</f>
        <v>2.2374370334220184E-2</v>
      </c>
      <c r="H10" s="5">
        <f t="shared" si="2"/>
        <v>0.66505711362233599</v>
      </c>
      <c r="J10" s="5">
        <f t="shared" si="9"/>
        <v>72</v>
      </c>
      <c r="K10" s="5">
        <f t="shared" si="10"/>
        <v>7</v>
      </c>
      <c r="L10" s="5">
        <f t="shared" si="3"/>
        <v>0.81824959609576053</v>
      </c>
      <c r="M10" s="5">
        <f t="shared" si="4"/>
        <v>3.2422374197699999E-2</v>
      </c>
      <c r="N10" s="5">
        <f t="shared" si="5"/>
        <v>0.66505711362233599</v>
      </c>
      <c r="P10" s="24" t="s">
        <v>17</v>
      </c>
      <c r="Q10" s="17">
        <f>SUMPRODUCT(M3:M5,N4:N6)*300000</f>
        <v>18244.172357869607</v>
      </c>
    </row>
    <row r="11" spans="1:18" ht="17.399999999999999" x14ac:dyDescent="0.3">
      <c r="A11" s="2">
        <f t="shared" si="6"/>
        <v>28</v>
      </c>
      <c r="B11" s="2">
        <v>9528475</v>
      </c>
      <c r="D11" s="5">
        <f t="shared" si="7"/>
        <v>68</v>
      </c>
      <c r="E11" s="5">
        <f t="shared" si="8"/>
        <v>8</v>
      </c>
      <c r="F11" s="5">
        <f t="shared" si="0"/>
        <v>0.85715297638980792</v>
      </c>
      <c r="G11" s="5">
        <f t="shared" si="1"/>
        <v>2.3823062664064865E-2</v>
      </c>
      <c r="H11" s="5">
        <f t="shared" si="2"/>
        <v>0.62741237134182648</v>
      </c>
      <c r="J11" s="5">
        <f t="shared" si="9"/>
        <v>73</v>
      </c>
      <c r="K11" s="5">
        <f t="shared" si="10"/>
        <v>8</v>
      </c>
      <c r="L11" s="5">
        <f t="shared" si="3"/>
        <v>0.78582722189806054</v>
      </c>
      <c r="M11" s="5">
        <f t="shared" si="4"/>
        <v>3.402498339519533E-2</v>
      </c>
      <c r="N11" s="5">
        <f t="shared" si="5"/>
        <v>0.62741237134182648</v>
      </c>
      <c r="P11" s="10" t="s">
        <v>18</v>
      </c>
      <c r="Q11" s="17">
        <f>5000*SUM(N4:N6)</f>
        <v>13365.05974730818</v>
      </c>
      <c r="R11" s="26"/>
    </row>
    <row r="12" spans="1:18" ht="17.399999999999999" x14ac:dyDescent="0.3">
      <c r="A12" s="2">
        <f t="shared" si="6"/>
        <v>29</v>
      </c>
      <c r="B12" s="2">
        <v>9515235</v>
      </c>
      <c r="D12" s="5">
        <f t="shared" si="7"/>
        <v>69</v>
      </c>
      <c r="E12" s="5">
        <f t="shared" si="8"/>
        <v>9</v>
      </c>
      <c r="F12" s="5">
        <f t="shared" si="0"/>
        <v>0.83332991372574305</v>
      </c>
      <c r="G12" s="5">
        <f t="shared" si="1"/>
        <v>2.5306561714024567E-2</v>
      </c>
      <c r="H12" s="5">
        <f t="shared" si="2"/>
        <v>0.59189846353002495</v>
      </c>
      <c r="J12" s="5">
        <f t="shared" si="9"/>
        <v>74</v>
      </c>
      <c r="K12" s="5">
        <f t="shared" si="10"/>
        <v>9</v>
      </c>
      <c r="L12" s="5">
        <f t="shared" si="3"/>
        <v>0.75180223850286521</v>
      </c>
      <c r="M12" s="5">
        <f t="shared" si="4"/>
        <v>3.5568261276533897E-2</v>
      </c>
      <c r="N12" s="5">
        <f t="shared" si="5"/>
        <v>0.59189846353002495</v>
      </c>
    </row>
    <row r="13" spans="1:18" ht="17.399999999999999" x14ac:dyDescent="0.3">
      <c r="A13" s="2">
        <f t="shared" si="6"/>
        <v>30</v>
      </c>
      <c r="B13" s="2">
        <v>9501381</v>
      </c>
      <c r="D13" s="5">
        <f t="shared" si="7"/>
        <v>70</v>
      </c>
      <c r="E13" s="5">
        <f t="shared" si="8"/>
        <v>10</v>
      </c>
      <c r="F13" s="5">
        <f t="shared" si="0"/>
        <v>0.80802335201171849</v>
      </c>
      <c r="G13" s="19"/>
      <c r="H13" s="5">
        <f t="shared" si="2"/>
        <v>0.55839477691511785</v>
      </c>
      <c r="J13" s="5">
        <f t="shared" si="9"/>
        <v>75</v>
      </c>
      <c r="K13" s="5">
        <f t="shared" si="10"/>
        <v>10</v>
      </c>
      <c r="L13" s="5">
        <f t="shared" si="3"/>
        <v>0.71623397722633131</v>
      </c>
      <c r="M13" s="19"/>
      <c r="N13" s="5">
        <f t="shared" si="5"/>
        <v>0.55839477691511785</v>
      </c>
      <c r="P13" s="25" t="s">
        <v>21</v>
      </c>
      <c r="Q13" s="17">
        <f>Q8+(Q7*(Q10+Q11))</f>
        <v>51502.971628655818</v>
      </c>
    </row>
    <row r="14" spans="1:18" ht="17.399999999999999" x14ac:dyDescent="0.3">
      <c r="A14" s="2">
        <f t="shared" si="6"/>
        <v>31</v>
      </c>
      <c r="B14" s="2">
        <v>9486854</v>
      </c>
      <c r="D14" s="18"/>
      <c r="E14" s="18"/>
      <c r="F14" s="18"/>
      <c r="G14" s="18"/>
      <c r="H14" s="18"/>
    </row>
    <row r="15" spans="1:18" ht="17.399999999999999" x14ac:dyDescent="0.3">
      <c r="A15" s="2">
        <f t="shared" si="6"/>
        <v>32</v>
      </c>
      <c r="B15" s="2">
        <v>9471591</v>
      </c>
      <c r="D15" s="18"/>
      <c r="E15" s="18"/>
      <c r="F15" s="18"/>
      <c r="G15" s="18"/>
      <c r="H15" s="18"/>
      <c r="P15" s="47" t="s">
        <v>10</v>
      </c>
      <c r="Q15" s="17">
        <f>Q13/Q4</f>
        <v>8243.2387428901548</v>
      </c>
    </row>
    <row r="16" spans="1:18" ht="17.399999999999999" x14ac:dyDescent="0.3">
      <c r="A16" s="2">
        <f t="shared" si="6"/>
        <v>33</v>
      </c>
      <c r="B16" s="2">
        <v>9455522</v>
      </c>
      <c r="D16" s="18"/>
      <c r="E16" s="18"/>
      <c r="F16" s="18"/>
      <c r="G16" s="18"/>
      <c r="H16" s="18"/>
    </row>
    <row r="17" spans="1:8" ht="17.399999999999999" x14ac:dyDescent="0.3">
      <c r="A17" s="2">
        <f t="shared" si="6"/>
        <v>34</v>
      </c>
      <c r="B17" s="2">
        <v>9438571</v>
      </c>
      <c r="D17" s="18"/>
      <c r="E17" s="18"/>
      <c r="F17" s="18"/>
      <c r="G17" s="18"/>
      <c r="H17" s="18"/>
    </row>
    <row r="18" spans="1:8" ht="17.399999999999999" x14ac:dyDescent="0.3">
      <c r="A18" s="2">
        <f t="shared" si="6"/>
        <v>35</v>
      </c>
      <c r="B18" s="2">
        <v>9420657</v>
      </c>
      <c r="D18" s="18"/>
      <c r="E18" s="18"/>
      <c r="F18" s="18"/>
      <c r="G18" s="18"/>
      <c r="H18" s="18"/>
    </row>
    <row r="19" spans="1:8" ht="17.399999999999999" x14ac:dyDescent="0.3">
      <c r="A19" s="2">
        <f t="shared" si="6"/>
        <v>36</v>
      </c>
      <c r="B19" s="2">
        <v>9401688</v>
      </c>
      <c r="D19" s="18"/>
      <c r="E19" s="18"/>
      <c r="F19" s="18"/>
      <c r="G19" s="18"/>
      <c r="H19" s="18"/>
    </row>
    <row r="20" spans="1:8" ht="17.399999999999999" x14ac:dyDescent="0.3">
      <c r="A20" s="2">
        <f t="shared" si="6"/>
        <v>37</v>
      </c>
      <c r="B20" s="2">
        <v>9381566</v>
      </c>
      <c r="D20" s="18"/>
      <c r="E20" s="18"/>
      <c r="F20" s="18"/>
      <c r="G20" s="18"/>
      <c r="H20" s="18"/>
    </row>
    <row r="21" spans="1:8" ht="17.399999999999999" x14ac:dyDescent="0.3">
      <c r="A21" s="2">
        <f t="shared" si="6"/>
        <v>38</v>
      </c>
      <c r="B21" s="2">
        <v>9360184</v>
      </c>
      <c r="D21" s="18"/>
      <c r="E21" s="18"/>
      <c r="F21" s="18"/>
      <c r="G21" s="18"/>
      <c r="H21" s="18"/>
    </row>
    <row r="22" spans="1:8" ht="17.399999999999999" x14ac:dyDescent="0.3">
      <c r="A22" s="2">
        <f t="shared" si="6"/>
        <v>39</v>
      </c>
      <c r="B22" s="2">
        <v>9337427</v>
      </c>
      <c r="D22" s="18"/>
      <c r="E22" s="18"/>
      <c r="F22" s="18"/>
      <c r="G22" s="18"/>
      <c r="H22" s="18"/>
    </row>
    <row r="23" spans="1:8" ht="17.399999999999999" x14ac:dyDescent="0.3">
      <c r="A23" s="2">
        <f t="shared" si="6"/>
        <v>40</v>
      </c>
      <c r="B23" s="2">
        <v>9313166</v>
      </c>
      <c r="D23" s="18"/>
      <c r="E23" s="18"/>
      <c r="F23" s="18"/>
      <c r="G23" s="18"/>
      <c r="H23" s="18"/>
    </row>
    <row r="24" spans="1:8" ht="17.399999999999999" x14ac:dyDescent="0.3">
      <c r="A24" s="2">
        <f t="shared" si="6"/>
        <v>41</v>
      </c>
      <c r="B24" s="2">
        <v>9287264</v>
      </c>
      <c r="D24" s="18"/>
      <c r="E24" s="18"/>
      <c r="F24" s="18"/>
      <c r="G24" s="18"/>
      <c r="H24" s="18"/>
    </row>
    <row r="25" spans="1:8" ht="17.399999999999999" x14ac:dyDescent="0.3">
      <c r="A25" s="2">
        <f t="shared" si="6"/>
        <v>42</v>
      </c>
      <c r="B25" s="2">
        <v>9259571</v>
      </c>
      <c r="D25" s="18"/>
      <c r="E25" s="18"/>
      <c r="F25" s="18"/>
      <c r="G25" s="18"/>
      <c r="H25" s="18"/>
    </row>
    <row r="26" spans="1:8" ht="17.399999999999999" x14ac:dyDescent="0.3">
      <c r="A26" s="2">
        <f t="shared" si="6"/>
        <v>43</v>
      </c>
      <c r="B26" s="2">
        <v>9229925</v>
      </c>
      <c r="D26" s="18"/>
      <c r="E26" s="18"/>
      <c r="F26" s="18"/>
      <c r="G26" s="18"/>
      <c r="H26" s="18"/>
    </row>
    <row r="27" spans="1:8" ht="17.399999999999999" x14ac:dyDescent="0.3">
      <c r="A27" s="2">
        <f t="shared" si="6"/>
        <v>44</v>
      </c>
      <c r="B27" s="2">
        <v>9198149</v>
      </c>
      <c r="D27" s="18"/>
      <c r="E27" s="18"/>
      <c r="F27" s="18"/>
      <c r="G27" s="18"/>
      <c r="H27" s="18"/>
    </row>
    <row r="28" spans="1:8" ht="17.399999999999999" x14ac:dyDescent="0.3">
      <c r="A28" s="2">
        <f t="shared" si="6"/>
        <v>45</v>
      </c>
      <c r="B28" s="2">
        <v>9164051</v>
      </c>
      <c r="D28" s="18"/>
      <c r="E28" s="18"/>
      <c r="F28" s="18"/>
      <c r="G28" s="18"/>
      <c r="H28" s="18"/>
    </row>
    <row r="29" spans="1:8" ht="17.399999999999999" x14ac:dyDescent="0.3">
      <c r="A29" s="2">
        <f t="shared" si="6"/>
        <v>46</v>
      </c>
      <c r="B29" s="2">
        <v>9127426</v>
      </c>
      <c r="D29" s="18"/>
      <c r="E29" s="18"/>
      <c r="F29" s="18"/>
      <c r="G29" s="18"/>
      <c r="H29" s="18"/>
    </row>
    <row r="30" spans="1:8" ht="17.399999999999999" x14ac:dyDescent="0.3">
      <c r="A30" s="2">
        <f t="shared" si="6"/>
        <v>47</v>
      </c>
      <c r="B30" s="2">
        <v>9088049</v>
      </c>
      <c r="D30" s="18"/>
      <c r="E30" s="18"/>
      <c r="F30" s="18"/>
      <c r="G30" s="18"/>
      <c r="H30" s="18"/>
    </row>
    <row r="31" spans="1:8" ht="17.399999999999999" x14ac:dyDescent="0.3">
      <c r="A31" s="2">
        <f t="shared" si="6"/>
        <v>48</v>
      </c>
      <c r="B31" s="2">
        <v>9045679</v>
      </c>
      <c r="D31" s="18"/>
      <c r="E31" s="18"/>
      <c r="F31" s="18"/>
      <c r="G31" s="18"/>
      <c r="H31" s="18"/>
    </row>
    <row r="32" spans="1:8" ht="17.399999999999999" x14ac:dyDescent="0.3">
      <c r="A32" s="2">
        <f t="shared" si="6"/>
        <v>49</v>
      </c>
      <c r="B32" s="2">
        <v>9000057</v>
      </c>
      <c r="D32" s="18"/>
      <c r="E32" s="18"/>
      <c r="F32" s="18"/>
      <c r="G32" s="18"/>
      <c r="H32" s="18"/>
    </row>
    <row r="33" spans="1:8" ht="17.399999999999999" x14ac:dyDescent="0.3">
      <c r="A33" s="2">
        <f t="shared" si="6"/>
        <v>50</v>
      </c>
      <c r="B33" s="2">
        <v>8950901</v>
      </c>
      <c r="D33" s="18"/>
      <c r="E33" s="18"/>
      <c r="F33" s="18"/>
      <c r="G33" s="18"/>
      <c r="H33" s="18"/>
    </row>
    <row r="34" spans="1:8" ht="17.399999999999999" x14ac:dyDescent="0.3">
      <c r="A34" s="2">
        <f t="shared" si="6"/>
        <v>51</v>
      </c>
      <c r="B34" s="2">
        <v>8897913</v>
      </c>
      <c r="D34" s="18"/>
      <c r="E34" s="18"/>
      <c r="F34" s="18"/>
      <c r="G34" s="18"/>
      <c r="H34" s="18"/>
    </row>
    <row r="35" spans="1:8" ht="17.399999999999999" x14ac:dyDescent="0.3">
      <c r="A35" s="2">
        <f t="shared" si="6"/>
        <v>52</v>
      </c>
      <c r="B35" s="2">
        <v>8840770</v>
      </c>
      <c r="D35" s="18"/>
      <c r="E35" s="18"/>
      <c r="F35" s="18"/>
      <c r="G35" s="18"/>
      <c r="H35" s="18"/>
    </row>
    <row r="36" spans="1:8" ht="17.399999999999999" x14ac:dyDescent="0.3">
      <c r="A36" s="2">
        <f t="shared" si="6"/>
        <v>53</v>
      </c>
      <c r="B36" s="2">
        <v>8779128</v>
      </c>
      <c r="D36" s="18"/>
      <c r="E36" s="18"/>
      <c r="F36" s="18"/>
      <c r="G36" s="18"/>
      <c r="H36" s="18"/>
    </row>
    <row r="37" spans="1:8" ht="17.399999999999999" x14ac:dyDescent="0.3">
      <c r="A37" s="2">
        <f t="shared" si="6"/>
        <v>54</v>
      </c>
      <c r="B37" s="2">
        <v>8712621</v>
      </c>
      <c r="D37" s="18"/>
      <c r="E37" s="18"/>
      <c r="F37" s="18"/>
      <c r="G37" s="18"/>
      <c r="H37" s="18"/>
    </row>
    <row r="38" spans="1:8" ht="17.399999999999999" x14ac:dyDescent="0.3">
      <c r="A38" s="2">
        <f t="shared" si="6"/>
        <v>55</v>
      </c>
      <c r="B38" s="2">
        <v>8640861</v>
      </c>
      <c r="D38" s="18"/>
      <c r="E38" s="18"/>
      <c r="F38" s="18"/>
      <c r="G38" s="18"/>
      <c r="H38" s="18"/>
    </row>
    <row r="39" spans="1:8" ht="17.399999999999999" x14ac:dyDescent="0.3">
      <c r="A39" s="2">
        <f t="shared" si="6"/>
        <v>56</v>
      </c>
      <c r="B39" s="2">
        <v>8563435</v>
      </c>
      <c r="D39" s="18"/>
      <c r="E39" s="18"/>
      <c r="F39" s="18"/>
      <c r="G39" s="18"/>
      <c r="H39" s="18"/>
    </row>
    <row r="40" spans="1:8" ht="17.399999999999999" x14ac:dyDescent="0.3">
      <c r="A40" s="2">
        <f t="shared" si="6"/>
        <v>57</v>
      </c>
      <c r="B40" s="2">
        <v>8479908</v>
      </c>
      <c r="D40" s="18"/>
      <c r="E40" s="18"/>
      <c r="F40" s="18"/>
      <c r="G40" s="18"/>
      <c r="H40" s="18"/>
    </row>
    <row r="41" spans="1:8" ht="17.399999999999999" x14ac:dyDescent="0.3">
      <c r="A41" s="2">
        <f t="shared" si="6"/>
        <v>58</v>
      </c>
      <c r="B41" s="2">
        <v>8389826</v>
      </c>
      <c r="D41" s="18"/>
      <c r="E41" s="18"/>
      <c r="F41" s="18"/>
      <c r="G41" s="18"/>
      <c r="H41" s="18"/>
    </row>
    <row r="42" spans="1:8" ht="17.399999999999999" x14ac:dyDescent="0.3">
      <c r="A42" s="2">
        <f t="shared" si="6"/>
        <v>59</v>
      </c>
      <c r="B42" s="2">
        <v>8292713</v>
      </c>
      <c r="D42" s="18"/>
      <c r="E42" s="18"/>
      <c r="F42" s="18"/>
      <c r="G42" s="18"/>
      <c r="H42" s="18"/>
    </row>
    <row r="43" spans="1:8" ht="17.399999999999999" x14ac:dyDescent="0.3">
      <c r="A43" s="2">
        <f t="shared" si="6"/>
        <v>60</v>
      </c>
      <c r="B43" s="2">
        <v>8188074</v>
      </c>
      <c r="D43" s="18"/>
      <c r="E43" s="18"/>
      <c r="F43" s="18"/>
      <c r="G43" s="18"/>
      <c r="H43" s="18"/>
    </row>
    <row r="44" spans="1:8" ht="17.399999999999999" x14ac:dyDescent="0.3">
      <c r="A44" s="2">
        <f t="shared" si="6"/>
        <v>61</v>
      </c>
      <c r="B44" s="2">
        <v>8075403</v>
      </c>
      <c r="D44" s="18"/>
      <c r="E44" s="18"/>
      <c r="F44" s="18"/>
      <c r="G44" s="18"/>
      <c r="H44" s="18"/>
    </row>
    <row r="45" spans="1:8" ht="17.399999999999999" x14ac:dyDescent="0.3">
      <c r="A45" s="2">
        <f t="shared" si="6"/>
        <v>62</v>
      </c>
      <c r="B45" s="2">
        <v>7954179</v>
      </c>
      <c r="D45" s="18"/>
      <c r="E45" s="18"/>
      <c r="F45" s="18"/>
      <c r="G45" s="18"/>
      <c r="H45" s="18"/>
    </row>
    <row r="46" spans="1:8" ht="17.399999999999999" x14ac:dyDescent="0.3">
      <c r="A46" s="2">
        <f t="shared" si="6"/>
        <v>63</v>
      </c>
      <c r="B46" s="2">
        <v>7823879</v>
      </c>
      <c r="D46" s="18"/>
      <c r="E46" s="18"/>
      <c r="F46" s="18"/>
      <c r="G46" s="18"/>
      <c r="H46" s="18"/>
    </row>
    <row r="47" spans="1:8" ht="17.399999999999999" x14ac:dyDescent="0.3">
      <c r="A47" s="2">
        <f t="shared" si="6"/>
        <v>64</v>
      </c>
      <c r="B47" s="2">
        <v>7683979</v>
      </c>
      <c r="D47" s="18"/>
      <c r="E47" s="18"/>
      <c r="F47" s="18"/>
      <c r="G47" s="18"/>
      <c r="H47" s="18"/>
    </row>
    <row r="48" spans="1:8" ht="17.399999999999999" x14ac:dyDescent="0.3">
      <c r="A48" s="2">
        <f t="shared" si="6"/>
        <v>65</v>
      </c>
      <c r="B48" s="2">
        <v>7533964</v>
      </c>
      <c r="D48" s="18"/>
      <c r="E48" s="18"/>
      <c r="F48" s="18"/>
      <c r="G48" s="18"/>
      <c r="H48" s="18"/>
    </row>
    <row r="49" spans="1:8" ht="17.399999999999999" x14ac:dyDescent="0.3">
      <c r="A49" s="2">
        <f t="shared" si="6"/>
        <v>66</v>
      </c>
      <c r="B49" s="2">
        <v>7373338</v>
      </c>
      <c r="D49" s="18"/>
      <c r="E49" s="18"/>
      <c r="F49" s="18"/>
      <c r="G49" s="18"/>
      <c r="H49" s="18"/>
    </row>
    <row r="50" spans="1:8" ht="17.399999999999999" x14ac:dyDescent="0.3">
      <c r="A50" s="2">
        <f t="shared" si="6"/>
        <v>67</v>
      </c>
      <c r="B50" s="2">
        <v>7201635</v>
      </c>
      <c r="D50" s="18"/>
      <c r="E50" s="18"/>
      <c r="F50" s="18"/>
      <c r="G50" s="18"/>
      <c r="H50" s="18"/>
    </row>
    <row r="51" spans="1:8" ht="17.399999999999999" x14ac:dyDescent="0.3">
      <c r="A51" s="2">
        <f t="shared" si="6"/>
        <v>68</v>
      </c>
      <c r="B51" s="2">
        <v>7018432</v>
      </c>
      <c r="D51" s="18"/>
      <c r="E51" s="18"/>
      <c r="F51" s="18"/>
      <c r="G51" s="18"/>
      <c r="H51" s="18"/>
    </row>
    <row r="52" spans="1:8" ht="17.399999999999999" x14ac:dyDescent="0.3">
      <c r="A52" s="2">
        <f t="shared" si="6"/>
        <v>69</v>
      </c>
      <c r="B52" s="2">
        <v>6823367</v>
      </c>
      <c r="D52" s="18"/>
      <c r="E52" s="18"/>
      <c r="F52" s="18"/>
      <c r="G52" s="18"/>
      <c r="H52" s="18"/>
    </row>
    <row r="53" spans="1:8" ht="17.399999999999999" x14ac:dyDescent="0.3">
      <c r="A53" s="2">
        <f t="shared" si="6"/>
        <v>70</v>
      </c>
      <c r="B53" s="2">
        <v>6616155</v>
      </c>
      <c r="D53" s="18"/>
      <c r="E53" s="18"/>
      <c r="F53" s="18"/>
      <c r="G53" s="18"/>
      <c r="H53" s="18"/>
    </row>
    <row r="54" spans="1:8" ht="17.399999999999999" x14ac:dyDescent="0.3">
      <c r="A54" s="2">
        <f t="shared" si="6"/>
        <v>71</v>
      </c>
      <c r="B54" s="2">
        <v>6396609</v>
      </c>
    </row>
    <row r="55" spans="1:8" ht="17.399999999999999" x14ac:dyDescent="0.3">
      <c r="A55" s="2">
        <f t="shared" si="6"/>
        <v>72</v>
      </c>
      <c r="B55" s="2">
        <v>6164663</v>
      </c>
    </row>
    <row r="56" spans="1:8" ht="17.399999999999999" x14ac:dyDescent="0.3">
      <c r="A56" s="2">
        <f t="shared" si="6"/>
        <v>73</v>
      </c>
      <c r="B56" s="2">
        <v>5920394</v>
      </c>
    </row>
    <row r="57" spans="1:8" ht="17.399999999999999" x14ac:dyDescent="0.3">
      <c r="A57" s="2">
        <f t="shared" si="6"/>
        <v>74</v>
      </c>
      <c r="B57" s="2">
        <v>5664051</v>
      </c>
    </row>
    <row r="58" spans="1:8" ht="17.399999999999999" x14ac:dyDescent="0.3">
      <c r="A58" s="2">
        <f t="shared" si="6"/>
        <v>75</v>
      </c>
      <c r="B58" s="2">
        <v>5396081</v>
      </c>
    </row>
    <row r="59" spans="1:8" ht="17.399999999999999" x14ac:dyDescent="0.3">
      <c r="A59" s="2">
        <f t="shared" si="6"/>
        <v>76</v>
      </c>
      <c r="B59" s="2">
        <v>5117152</v>
      </c>
    </row>
    <row r="60" spans="1:8" ht="17.399999999999999" x14ac:dyDescent="0.3">
      <c r="A60" s="2">
        <f t="shared" si="6"/>
        <v>77</v>
      </c>
      <c r="B60" s="2">
        <v>4828182</v>
      </c>
    </row>
    <row r="61" spans="1:8" ht="17.399999999999999" x14ac:dyDescent="0.3">
      <c r="A61" s="2">
        <f t="shared" si="6"/>
        <v>78</v>
      </c>
      <c r="B61" s="2">
        <v>4530360</v>
      </c>
    </row>
    <row r="62" spans="1:8" ht="17.399999999999999" x14ac:dyDescent="0.3">
      <c r="A62" s="2">
        <f t="shared" si="6"/>
        <v>79</v>
      </c>
      <c r="B62" s="2">
        <v>4225163</v>
      </c>
    </row>
    <row r="63" spans="1:8" ht="17.399999999999999" x14ac:dyDescent="0.3">
      <c r="A63" s="2">
        <f t="shared" si="6"/>
        <v>80</v>
      </c>
      <c r="B63" s="2">
        <v>3914365</v>
      </c>
    </row>
    <row r="64" spans="1:8" ht="17.399999999999999" x14ac:dyDescent="0.3">
      <c r="A64" s="2">
        <f t="shared" si="6"/>
        <v>81</v>
      </c>
      <c r="B64" s="2">
        <v>3600038</v>
      </c>
    </row>
    <row r="65" spans="1:2" ht="17.399999999999999" x14ac:dyDescent="0.3">
      <c r="A65" s="2">
        <f t="shared" si="6"/>
        <v>82</v>
      </c>
      <c r="B65" s="2">
        <v>3284542</v>
      </c>
    </row>
    <row r="66" spans="1:2" ht="17.399999999999999" x14ac:dyDescent="0.3">
      <c r="A66" s="2">
        <f t="shared" si="6"/>
        <v>83</v>
      </c>
      <c r="B66" s="2">
        <v>2970496</v>
      </c>
    </row>
    <row r="67" spans="1:2" ht="17.399999999999999" x14ac:dyDescent="0.3">
      <c r="A67" s="2">
        <f t="shared" si="6"/>
        <v>84</v>
      </c>
      <c r="B67" s="2">
        <v>2660734</v>
      </c>
    </row>
    <row r="68" spans="1:2" ht="17.399999999999999" x14ac:dyDescent="0.3">
      <c r="A68" s="2">
        <f t="shared" si="6"/>
        <v>85</v>
      </c>
      <c r="B68" s="2">
        <v>2358246</v>
      </c>
    </row>
    <row r="69" spans="1:2" ht="17.399999999999999" x14ac:dyDescent="0.3">
      <c r="A69" s="2">
        <f t="shared" ref="A69:A93" si="11">A68+1</f>
        <v>86</v>
      </c>
      <c r="B69" s="2">
        <v>2066090</v>
      </c>
    </row>
    <row r="70" spans="1:2" ht="17.399999999999999" x14ac:dyDescent="0.3">
      <c r="A70" s="2">
        <f t="shared" si="11"/>
        <v>87</v>
      </c>
      <c r="B70" s="2">
        <v>1787299</v>
      </c>
    </row>
    <row r="71" spans="1:2" ht="17.399999999999999" x14ac:dyDescent="0.3">
      <c r="A71" s="2">
        <f t="shared" si="11"/>
        <v>88</v>
      </c>
      <c r="B71" s="2">
        <v>1524758</v>
      </c>
    </row>
    <row r="72" spans="1:2" ht="17.399999999999999" x14ac:dyDescent="0.3">
      <c r="A72" s="2">
        <f t="shared" si="11"/>
        <v>89</v>
      </c>
      <c r="B72" s="2">
        <v>1281083</v>
      </c>
    </row>
    <row r="73" spans="1:2" ht="17.399999999999999" x14ac:dyDescent="0.3">
      <c r="A73" s="2">
        <f t="shared" si="11"/>
        <v>90</v>
      </c>
      <c r="B73" s="2">
        <v>1058491</v>
      </c>
    </row>
    <row r="74" spans="1:2" ht="17.399999999999999" x14ac:dyDescent="0.3">
      <c r="A74" s="2">
        <f t="shared" si="11"/>
        <v>91</v>
      </c>
      <c r="B74" s="2">
        <v>858676</v>
      </c>
    </row>
    <row r="75" spans="1:2" ht="17.399999999999999" x14ac:dyDescent="0.3">
      <c r="A75" s="2">
        <f t="shared" si="11"/>
        <v>92</v>
      </c>
      <c r="B75" s="2">
        <v>682707</v>
      </c>
    </row>
    <row r="76" spans="1:2" ht="17.399999999999999" x14ac:dyDescent="0.3">
      <c r="A76" s="2">
        <f t="shared" si="11"/>
        <v>93</v>
      </c>
      <c r="B76" s="2">
        <v>530959</v>
      </c>
    </row>
    <row r="77" spans="1:2" ht="17.399999999999999" x14ac:dyDescent="0.3">
      <c r="A77" s="2">
        <f t="shared" si="11"/>
        <v>94</v>
      </c>
      <c r="B77" s="2">
        <v>403072</v>
      </c>
    </row>
    <row r="78" spans="1:2" ht="17.399999999999999" x14ac:dyDescent="0.3">
      <c r="A78" s="2">
        <f t="shared" si="11"/>
        <v>95</v>
      </c>
      <c r="B78" s="2">
        <v>297981</v>
      </c>
    </row>
    <row r="79" spans="1:2" ht="17.399999999999999" x14ac:dyDescent="0.3">
      <c r="A79" s="2">
        <f t="shared" si="11"/>
        <v>96</v>
      </c>
      <c r="B79" s="2">
        <v>213977</v>
      </c>
    </row>
    <row r="80" spans="1:2" ht="17.399999999999999" x14ac:dyDescent="0.3">
      <c r="A80" s="2">
        <f t="shared" si="11"/>
        <v>97</v>
      </c>
      <c r="B80" s="2">
        <v>148832</v>
      </c>
    </row>
    <row r="81" spans="1:2" ht="17.399999999999999" x14ac:dyDescent="0.3">
      <c r="A81" s="2">
        <f t="shared" si="11"/>
        <v>98</v>
      </c>
      <c r="B81" s="2">
        <v>99965</v>
      </c>
    </row>
    <row r="82" spans="1:2" ht="17.399999999999999" x14ac:dyDescent="0.3">
      <c r="A82" s="2">
        <f t="shared" si="11"/>
        <v>99</v>
      </c>
      <c r="B82" s="2">
        <v>64617</v>
      </c>
    </row>
    <row r="83" spans="1:2" ht="17.399999999999999" x14ac:dyDescent="0.3">
      <c r="A83" s="2">
        <f t="shared" si="11"/>
        <v>100</v>
      </c>
      <c r="B83" s="2">
        <v>40049</v>
      </c>
    </row>
    <row r="84" spans="1:2" ht="17.399999999999999" x14ac:dyDescent="0.3">
      <c r="A84" s="2">
        <f t="shared" si="11"/>
        <v>101</v>
      </c>
      <c r="B84" s="2">
        <v>23705</v>
      </c>
    </row>
    <row r="85" spans="1:2" ht="17.399999999999999" x14ac:dyDescent="0.3">
      <c r="A85" s="2">
        <f t="shared" si="11"/>
        <v>102</v>
      </c>
      <c r="B85" s="2">
        <v>13339</v>
      </c>
    </row>
    <row r="86" spans="1:2" ht="17.399999999999999" x14ac:dyDescent="0.3">
      <c r="A86" s="2">
        <f t="shared" si="11"/>
        <v>103</v>
      </c>
      <c r="B86" s="2">
        <v>7101</v>
      </c>
    </row>
    <row r="87" spans="1:2" ht="17.399999999999999" x14ac:dyDescent="0.3">
      <c r="A87" s="2">
        <f t="shared" si="11"/>
        <v>104</v>
      </c>
      <c r="B87" s="2">
        <v>3558</v>
      </c>
    </row>
    <row r="88" spans="1:2" ht="17.399999999999999" x14ac:dyDescent="0.3">
      <c r="A88" s="2">
        <f t="shared" si="11"/>
        <v>105</v>
      </c>
      <c r="B88" s="2">
        <v>1668</v>
      </c>
    </row>
    <row r="89" spans="1:2" ht="17.399999999999999" x14ac:dyDescent="0.3">
      <c r="A89" s="2">
        <f t="shared" si="11"/>
        <v>106</v>
      </c>
      <c r="B89" s="2">
        <v>727</v>
      </c>
    </row>
    <row r="90" spans="1:2" ht="17.399999999999999" x14ac:dyDescent="0.3">
      <c r="A90" s="2">
        <f t="shared" si="11"/>
        <v>107</v>
      </c>
      <c r="B90" s="2">
        <v>292</v>
      </c>
    </row>
    <row r="91" spans="1:2" ht="17.399999999999999" x14ac:dyDescent="0.3">
      <c r="A91" s="2">
        <f t="shared" si="11"/>
        <v>108</v>
      </c>
      <c r="B91" s="2">
        <v>108</v>
      </c>
    </row>
    <row r="92" spans="1:2" ht="17.399999999999999" x14ac:dyDescent="0.3">
      <c r="A92" s="2">
        <f t="shared" si="11"/>
        <v>109</v>
      </c>
      <c r="B92" s="2">
        <v>36</v>
      </c>
    </row>
    <row r="93" spans="1:2" ht="17.399999999999999" x14ac:dyDescent="0.3">
      <c r="A93" s="2">
        <f t="shared" si="11"/>
        <v>110</v>
      </c>
      <c r="B93" s="2">
        <v>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4477-69E3-4DCE-B9DA-BA6621041A8D}">
  <dimension ref="B2:AC39"/>
  <sheetViews>
    <sheetView showGridLines="0" zoomScale="72" zoomScaleNormal="100" workbookViewId="0">
      <selection activeCell="P36" sqref="P36"/>
    </sheetView>
  </sheetViews>
  <sheetFormatPr baseColWidth="10" defaultRowHeight="14.4" x14ac:dyDescent="0.3"/>
  <cols>
    <col min="2" max="2" width="5.21875" style="18" bestFit="1" customWidth="1"/>
    <col min="3" max="3" width="8.5546875" style="18" bestFit="1" customWidth="1"/>
    <col min="4" max="4" width="12.88671875" style="18" bestFit="1" customWidth="1"/>
    <col min="5" max="5" width="19.44140625" style="18" bestFit="1" customWidth="1"/>
    <col min="6" max="6" width="18.33203125" style="18" bestFit="1" customWidth="1"/>
    <col min="7" max="8" width="19.44140625" style="18" bestFit="1" customWidth="1"/>
    <col min="9" max="9" width="10.77734375" style="18" bestFit="1" customWidth="1"/>
    <col min="12" max="12" width="11.109375" customWidth="1"/>
    <col min="13" max="13" width="11.44140625" bestFit="1" customWidth="1"/>
    <col min="14" max="15" width="12.5546875" bestFit="1" customWidth="1"/>
    <col min="19" max="19" width="12.21875" bestFit="1" customWidth="1"/>
    <col min="23" max="23" width="12.5546875" bestFit="1" customWidth="1"/>
  </cols>
  <sheetData>
    <row r="2" spans="2:19" ht="19.2" x14ac:dyDescent="0.3">
      <c r="B2" s="49" t="s">
        <v>37</v>
      </c>
      <c r="C2" s="49"/>
      <c r="D2" s="49"/>
      <c r="E2" s="49"/>
      <c r="F2" s="49"/>
      <c r="G2" s="49"/>
      <c r="H2" s="49"/>
      <c r="I2" s="49"/>
      <c r="M2" s="51" t="s">
        <v>39</v>
      </c>
      <c r="N2" s="51"/>
      <c r="O2" s="51"/>
      <c r="P2" s="51"/>
      <c r="Q2" s="51"/>
    </row>
    <row r="3" spans="2:19" x14ac:dyDescent="0.3">
      <c r="B3" s="30" t="s">
        <v>22</v>
      </c>
      <c r="C3" s="30" t="s">
        <v>1</v>
      </c>
      <c r="D3" s="30" t="s">
        <v>10</v>
      </c>
      <c r="E3" s="30" t="s">
        <v>23</v>
      </c>
      <c r="F3" s="30" t="s">
        <v>24</v>
      </c>
      <c r="G3" s="31" t="s">
        <v>25</v>
      </c>
      <c r="H3" s="30" t="s">
        <v>26</v>
      </c>
      <c r="I3" s="30" t="s">
        <v>27</v>
      </c>
      <c r="M3" s="28" t="s">
        <v>32</v>
      </c>
      <c r="N3" s="35" t="s">
        <v>33</v>
      </c>
      <c r="O3" s="35" t="s">
        <v>34</v>
      </c>
      <c r="P3" s="28" t="s">
        <v>35</v>
      </c>
      <c r="Q3" s="28" t="s">
        <v>36</v>
      </c>
    </row>
    <row r="4" spans="2:19" x14ac:dyDescent="0.3">
      <c r="B4" s="5">
        <v>60</v>
      </c>
      <c r="C4" s="5">
        <v>8188074</v>
      </c>
      <c r="D4" s="32">
        <f t="shared" ref="D4:D11" si="0">prima2</f>
        <v>8243.2387428901548</v>
      </c>
      <c r="E4" s="32">
        <f>D4*C4</f>
        <v>67496248826.451561</v>
      </c>
      <c r="F4" s="32">
        <f t="shared" ref="F4:F11" si="1">E4*tasa2</f>
        <v>4049774929.5870934</v>
      </c>
      <c r="G4" s="32">
        <f>240000*(C4-C5)</f>
        <v>27041040000</v>
      </c>
      <c r="H4" s="32">
        <f>E4+F4-G4</f>
        <v>44504983756.038651</v>
      </c>
      <c r="I4" s="32">
        <f>H4/C5</f>
        <v>5511.1780496946903</v>
      </c>
      <c r="M4" s="36">
        <v>1</v>
      </c>
      <c r="N4" s="37">
        <f>prima2*SUMPRODUCT('Ejercicio 2 (Prima)'!$F$3:F3,'Ejercicio 2 (Prima)'!$H$3:H3)</f>
        <v>8243.2387428901548</v>
      </c>
      <c r="O4" s="17">
        <f>240000*SUMPRODUCT('Ejercicio 2 (Prima)'!$G$3:G3,'Ejercicio 2 (Prima)'!$H$4:H4)</f>
        <v>3115.5574674019335</v>
      </c>
      <c r="P4" s="8">
        <f>'Ejercicio 2 (Prima)'!F4*(1+tasa2)^(-'Ejercicio 2 (Reserva)'!M4)</f>
        <v>0.93041473696758614</v>
      </c>
      <c r="Q4" s="17">
        <f>(N4-O4)/P4</f>
        <v>5511.1780496946922</v>
      </c>
    </row>
    <row r="5" spans="2:19" x14ac:dyDescent="0.3">
      <c r="B5" s="5">
        <f>B4+1</f>
        <v>61</v>
      </c>
      <c r="C5" s="5">
        <v>8075403</v>
      </c>
      <c r="D5" s="32">
        <f t="shared" si="0"/>
        <v>8243.2387428901548</v>
      </c>
      <c r="E5" s="32">
        <f>(D5*C5)+H4</f>
        <v>111072458630.09003</v>
      </c>
      <c r="F5" s="32">
        <f t="shared" si="1"/>
        <v>6664347517.8054018</v>
      </c>
      <c r="G5" s="32">
        <f t="shared" ref="G5:G6" si="2">240000*(C5-C6)</f>
        <v>29093760000</v>
      </c>
      <c r="H5" s="32">
        <f>E5+F5-G5</f>
        <v>88643046147.895432</v>
      </c>
      <c r="I5" s="32">
        <f>H5/C6</f>
        <v>11144.210627884466</v>
      </c>
      <c r="M5" s="36">
        <v>2</v>
      </c>
      <c r="N5" s="17">
        <f>prima2*SUMPRODUCT('Ejercicio 2 (Prima)'!$F$3:F4,'Ejercicio 2 (Prima)'!$H$3:H4)</f>
        <v>15912.869549617313</v>
      </c>
      <c r="O5" s="17">
        <f>240000*SUMPRODUCT('Ejercicio 2 (Prima)'!$G$3:G4,'Ejercicio 2 (Prima)'!$H$4:H5)</f>
        <v>6277.881455513022</v>
      </c>
      <c r="P5" s="8">
        <f>'Ejercicio 2 (Prima)'!F5*(1+tasa2)^(-'Ejercicio 2 (Reserva)'!M5)</f>
        <v>0.86457340190575049</v>
      </c>
      <c r="Q5" s="17">
        <f t="shared" ref="Q5:Q7" si="3">(N5-O5)/P5</f>
        <v>11144.210627884464</v>
      </c>
    </row>
    <row r="6" spans="2:19" x14ac:dyDescent="0.3">
      <c r="B6" s="5">
        <f t="shared" ref="B6:B12" si="4">B5+1</f>
        <v>62</v>
      </c>
      <c r="C6" s="5">
        <v>7954179</v>
      </c>
      <c r="D6" s="32">
        <f t="shared" si="0"/>
        <v>8243.2387428901548</v>
      </c>
      <c r="E6" s="32">
        <f t="shared" ref="E6:E11" si="5">(D6*C6)+H5</f>
        <v>154211242648.5787</v>
      </c>
      <c r="F6" s="32">
        <f t="shared" si="1"/>
        <v>9252674558.9147224</v>
      </c>
      <c r="G6" s="32">
        <f t="shared" si="2"/>
        <v>31272000000</v>
      </c>
      <c r="H6" s="32">
        <f t="shared" ref="H6:H7" si="6">E6+F6-G6</f>
        <v>132191917207.49344</v>
      </c>
      <c r="I6" s="32">
        <f t="shared" ref="I6:I11" si="7">H6/C7</f>
        <v>16895.956239544787</v>
      </c>
      <c r="J6" s="26"/>
      <c r="M6" s="36">
        <v>3</v>
      </c>
      <c r="N6" s="17">
        <f>prima2*SUMPRODUCT('Ejercicio 2 (Prima)'!$F$3:F5,'Ejercicio 2 (Prima)'!$H$3:H5)</f>
        <v>23039.754512279138</v>
      </c>
      <c r="O6" s="17">
        <f>240000*SUMPRODUCT('Ejercicio 2 (Prima)'!$G$3:G5,'Ejercicio 2 (Prima)'!$H$4:H6)</f>
        <v>9484.5664731357429</v>
      </c>
      <c r="P6" s="8">
        <f>'Ejercicio 2 (Prima)'!F6*(1+tasa2)^(-'Ejercicio 2 (Reserva)'!M6)</f>
        <v>0.80227409724331766</v>
      </c>
      <c r="Q6" s="17">
        <f t="shared" si="3"/>
        <v>16895.956239544787</v>
      </c>
    </row>
    <row r="7" spans="2:19" x14ac:dyDescent="0.3">
      <c r="B7" s="5">
        <f t="shared" si="4"/>
        <v>63</v>
      </c>
      <c r="C7" s="5">
        <v>7823879</v>
      </c>
      <c r="D7" s="32">
        <f t="shared" si="0"/>
        <v>8243.2387428901548</v>
      </c>
      <c r="E7" s="32">
        <f t="shared" si="5"/>
        <v>196686019699.97812</v>
      </c>
      <c r="F7" s="32">
        <f t="shared" si="1"/>
        <v>11801161181.998686</v>
      </c>
      <c r="G7" s="32">
        <f>240000*(C7-C8)</f>
        <v>33576000000</v>
      </c>
      <c r="H7" s="32">
        <f t="shared" si="6"/>
        <v>174911180881.97681</v>
      </c>
      <c r="I7" s="32">
        <f t="shared" si="7"/>
        <v>22763.099805709622</v>
      </c>
      <c r="M7" s="36">
        <f>M6+1</f>
        <v>4</v>
      </c>
      <c r="N7" s="17">
        <f>prima2*SUMPRODUCT('Ejercicio 2 (Prima)'!$F$3:F6,'Ejercicio 2 (Prima)'!$H$3:H6)</f>
        <v>29653.091433092479</v>
      </c>
      <c r="O7" s="17">
        <f>240000*SUMPRODUCT('Ejercicio 2 (Prima)'!$G$3:G6,'Ejercicio 2 (Prima)'!$H$4:H7)</f>
        <v>12732.624177167207</v>
      </c>
      <c r="P7" s="8">
        <f>'Ejercicio 2 (Prima)'!F7*(1+tasa2)^(-'Ejercicio 2 (Reserva)'!M7)</f>
        <v>0.74332878212312459</v>
      </c>
      <c r="Q7" s="17">
        <f t="shared" si="3"/>
        <v>22763.099805709629</v>
      </c>
    </row>
    <row r="8" spans="2:19" x14ac:dyDescent="0.3">
      <c r="B8" s="5">
        <f t="shared" si="4"/>
        <v>64</v>
      </c>
      <c r="C8" s="5">
        <v>7683979</v>
      </c>
      <c r="D8" s="32">
        <f t="shared" si="0"/>
        <v>8243.2387428901548</v>
      </c>
      <c r="E8" s="32">
        <f t="shared" si="5"/>
        <v>238252054274.33115</v>
      </c>
      <c r="F8" s="32">
        <f t="shared" si="1"/>
        <v>14295123256.459867</v>
      </c>
      <c r="G8" s="32">
        <f>240000*(C8-C9)+20000*C9</f>
        <v>186682880000</v>
      </c>
      <c r="H8" s="32">
        <f>E8+F8-G8</f>
        <v>65864297530.791016</v>
      </c>
      <c r="I8" s="32">
        <f t="shared" si="7"/>
        <v>8742.3164659123686</v>
      </c>
      <c r="M8" s="36">
        <f t="shared" ref="M8:M11" si="8">M7+1</f>
        <v>5</v>
      </c>
      <c r="N8" s="17">
        <f>prima2*SUMPRODUCT('Ejercicio 2 (Prima)'!$F$3:F7,'Ejercicio 2 (Prima)'!$H$3:H7)</f>
        <v>35780.528048595173</v>
      </c>
      <c r="O8" s="17">
        <f>240000*SUMPRODUCT('Ejercicio 2 (Prima)'!$G$3:G7,'Ejercicio 2 (Prima)'!$H$4:H8)</f>
        <v>16018.376645036988</v>
      </c>
      <c r="P8" s="8">
        <f>'Ejercicio 2 (Prima)'!F8*(1+tasa2)^(-'Ejercicio 2 (Reserva)'!M8)</f>
        <v>0.68756293275789271</v>
      </c>
      <c r="Q8" s="17">
        <f>((N8-O8)/P8)-(20000*'Ejercicio 2 (Prima)'!$Q$7 / 'Ejercicio 2 (Reserva)'!P8)</f>
        <v>8742.3164659123795</v>
      </c>
    </row>
    <row r="9" spans="2:19" x14ac:dyDescent="0.3">
      <c r="B9" s="5">
        <f t="shared" si="4"/>
        <v>65</v>
      </c>
      <c r="C9" s="5">
        <v>7533964</v>
      </c>
      <c r="D9" s="32">
        <f t="shared" si="0"/>
        <v>8243.2387428901548</v>
      </c>
      <c r="E9" s="32">
        <f t="shared" si="5"/>
        <v>127968561463.13071</v>
      </c>
      <c r="F9" s="32">
        <f t="shared" si="1"/>
        <v>7678113687.7878418</v>
      </c>
      <c r="G9" s="32">
        <f>300000*(C9-C10) + 5000*($C$9)</f>
        <v>85857620000</v>
      </c>
      <c r="H9" s="32">
        <f>E9+F9-G9</f>
        <v>49789055150.918549</v>
      </c>
      <c r="I9" s="32">
        <f t="shared" si="7"/>
        <v>6752.5800595223691</v>
      </c>
      <c r="M9" s="36">
        <f t="shared" si="8"/>
        <v>6</v>
      </c>
      <c r="N9" s="17">
        <f>prima2*SUMPRODUCT('Ejercicio 2 (Prima)'!$F$3:F8,'Ejercicio 2 (Prima)'!$H$3:H8)</f>
        <v>41448.273454080219</v>
      </c>
      <c r="O9" s="17">
        <f>$O$8+300000*SUMPRODUCT('Ejercicio 2 (Prima)'!$G$8:G8,'Ejercicio 2 (Prima)'!$H$9:H9)</f>
        <v>20167.154187912041</v>
      </c>
      <c r="P9" s="8">
        <f>'Ejercicio 2 (Prima)'!F9*(1+tasa2)^(-'Ejercicio 2 (Reserva)'!M9)</f>
        <v>0.63481501771044102</v>
      </c>
      <c r="Q9" s="17">
        <f>((N9-O9)/P9)-(20000*'Ejercicio 2 (Prima)'!$Q$7 / P9)-(5000*'Ejercicio 2 (Prima)'!$F$8 * SUM('Ejercicio 2 (Prima)'!$H$9:H9) / P9)</f>
        <v>6752.5800595223773</v>
      </c>
      <c r="R9" s="26"/>
    </row>
    <row r="10" spans="2:19" x14ac:dyDescent="0.3">
      <c r="B10" s="5">
        <f t="shared" si="4"/>
        <v>66</v>
      </c>
      <c r="C10" s="5">
        <v>7373338</v>
      </c>
      <c r="D10" s="32">
        <f t="shared" si="0"/>
        <v>8243.2387428901548</v>
      </c>
      <c r="E10" s="32">
        <f t="shared" si="5"/>
        <v>110569240616.94275</v>
      </c>
      <c r="F10" s="32">
        <f t="shared" si="1"/>
        <v>6634154437.0165644</v>
      </c>
      <c r="G10" s="32">
        <f>300000*(C10-C11) + 5000*($C$9)</f>
        <v>89180720000</v>
      </c>
      <c r="H10" s="32">
        <f t="shared" ref="H10:H11" si="9">E10+F10-G10</f>
        <v>28022675053.95932</v>
      </c>
      <c r="I10" s="32">
        <f t="shared" si="7"/>
        <v>3891.1545855849845</v>
      </c>
      <c r="M10" s="36">
        <f t="shared" si="8"/>
        <v>7</v>
      </c>
      <c r="N10" s="17">
        <f>prima2*SUMPRODUCT('Ejercicio 2 (Prima)'!$F$3:F9,'Ejercicio 2 (Prima)'!$H$3:H9)</f>
        <v>46681.205202639423</v>
      </c>
      <c r="O10" s="17">
        <f>$O$8+300000*SUMPRODUCT('Ejercicio 2 (Prima)'!$G$8:G9,'Ejercicio 2 (Prima)'!$H$9:H10)</f>
        <v>24351.006272552309</v>
      </c>
      <c r="P10" s="8">
        <f>'Ejercicio 2 (Prima)'!F10*(1+tasa2)^(-'Ejercicio 2 (Reserva)'!M10)</f>
        <v>0.58493591856419369</v>
      </c>
      <c r="Q10" s="17">
        <f>((N10-O10)/P10)-(20000*'Ejercicio 2 (Prima)'!$Q$7 / P10)-(5000*'Ejercicio 2 (Prima)'!$F$8 * SUM('Ejercicio 2 (Prima)'!$H$9:H10) / P10)</f>
        <v>3891.154585584989</v>
      </c>
      <c r="R10" s="26"/>
    </row>
    <row r="11" spans="2:19" x14ac:dyDescent="0.3">
      <c r="B11" s="5">
        <f t="shared" si="4"/>
        <v>67</v>
      </c>
      <c r="C11" s="5">
        <v>7201635</v>
      </c>
      <c r="D11" s="32">
        <f t="shared" si="0"/>
        <v>8243.2387428901548</v>
      </c>
      <c r="E11" s="32">
        <f t="shared" si="5"/>
        <v>87387471698.113068</v>
      </c>
      <c r="F11" s="32">
        <f t="shared" si="1"/>
        <v>5243248301.8867836</v>
      </c>
      <c r="G11" s="32">
        <f t="shared" ref="G11" si="10">300000*(C11-C12) + 5000*($C$9)</f>
        <v>92630720000</v>
      </c>
      <c r="H11" s="34">
        <f t="shared" si="9"/>
        <v>-1.52587890625E-4</v>
      </c>
      <c r="I11" s="42">
        <f t="shared" si="7"/>
        <v>-2.1741022870208046E-11</v>
      </c>
      <c r="M11" s="36">
        <f t="shared" si="8"/>
        <v>8</v>
      </c>
      <c r="N11" s="17">
        <f>prima2*SUMPRODUCT('Ejercicio 2 (Prima)'!$F$3:F10,'Ejercicio 2 (Prima)'!$H$3:H10)</f>
        <v>51502.971628655818</v>
      </c>
      <c r="O11" s="17">
        <f>$O$8+300000*SUMPRODUCT('Ejercicio 2 (Prima)'!$G$8:G10,'Ejercicio 2 (Prima)'!$H$9:H11)</f>
        <v>28562.393297154304</v>
      </c>
      <c r="P11" s="8">
        <f>'Ejercicio 2 (Prima)'!F11*(1+tasa2)^(-'Ejercicio 2 (Reserva)'!M11)</f>
        <v>0.53778838151943398</v>
      </c>
      <c r="Q11" s="46">
        <f>((N11-O11)/P11)-(20000*'Ejercicio 2 (Prima)'!$Q$7 / P11)-(5000*'Ejercicio 2 (Prima)'!$F$8 * SUM('Ejercicio 2 (Prima)'!$H$9:H11) / P11)</f>
        <v>0</v>
      </c>
      <c r="R11" s="26"/>
    </row>
    <row r="12" spans="2:19" x14ac:dyDescent="0.3">
      <c r="B12" s="5">
        <f t="shared" si="4"/>
        <v>68</v>
      </c>
      <c r="C12" s="5">
        <v>7018432</v>
      </c>
      <c r="D12" s="33"/>
      <c r="E12" s="6"/>
      <c r="F12" s="6"/>
      <c r="G12" s="6"/>
      <c r="H12" s="6"/>
      <c r="I12" s="6"/>
    </row>
    <row r="14" spans="2:19" x14ac:dyDescent="0.3">
      <c r="K14" s="26"/>
    </row>
    <row r="15" spans="2:19" ht="19.2" x14ac:dyDescent="0.3">
      <c r="B15" s="50" t="s">
        <v>38</v>
      </c>
      <c r="C15" s="50"/>
      <c r="D15" s="50"/>
      <c r="E15" s="50"/>
      <c r="F15" s="50"/>
      <c r="G15" s="50"/>
      <c r="H15" s="50"/>
      <c r="I15" s="50"/>
      <c r="K15" s="52" t="s">
        <v>45</v>
      </c>
      <c r="L15" s="52"/>
      <c r="M15" s="52"/>
      <c r="N15" s="52"/>
      <c r="O15" s="52"/>
      <c r="P15" s="52"/>
      <c r="Q15" s="52"/>
      <c r="R15" s="52"/>
      <c r="S15" s="52"/>
    </row>
    <row r="16" spans="2:19" x14ac:dyDescent="0.3">
      <c r="B16" s="28" t="s">
        <v>0</v>
      </c>
      <c r="C16" s="28" t="s">
        <v>1</v>
      </c>
      <c r="D16" s="28" t="s">
        <v>28</v>
      </c>
      <c r="E16" s="28" t="s">
        <v>29</v>
      </c>
      <c r="F16" s="28" t="s">
        <v>30</v>
      </c>
      <c r="G16" s="28" t="s">
        <v>10</v>
      </c>
      <c r="H16" s="28" t="s">
        <v>31</v>
      </c>
      <c r="I16" s="28" t="s">
        <v>27</v>
      </c>
      <c r="K16" s="30" t="s">
        <v>32</v>
      </c>
      <c r="L16" s="30" t="s">
        <v>40</v>
      </c>
      <c r="M16" s="30" t="s">
        <v>0</v>
      </c>
      <c r="N16" s="30" t="s">
        <v>1</v>
      </c>
      <c r="O16" s="30" t="s">
        <v>41</v>
      </c>
      <c r="P16" s="31" t="s">
        <v>42</v>
      </c>
      <c r="Q16" s="30" t="s">
        <v>43</v>
      </c>
      <c r="R16" s="30" t="s">
        <v>18</v>
      </c>
      <c r="S16" s="30" t="s">
        <v>44</v>
      </c>
    </row>
    <row r="17" spans="2:29" x14ac:dyDescent="0.3">
      <c r="B17" s="5">
        <v>60</v>
      </c>
      <c r="C17" s="5">
        <v>8188074</v>
      </c>
      <c r="D17" s="5">
        <f>C18/C17</f>
        <v>0.98623962118564146</v>
      </c>
      <c r="E17" s="5">
        <f>1-D17</f>
        <v>1.3760378814358543E-2</v>
      </c>
      <c r="F17" s="5">
        <f t="shared" ref="F17:F24" si="11">(1+tasa2)^(-1) * E17</f>
        <v>1.2981489447508057E-2</v>
      </c>
      <c r="G17" s="32">
        <f t="shared" ref="G17:G24" si="12">prima2</f>
        <v>8243.2387428901548</v>
      </c>
      <c r="H17" s="32">
        <f>G17-(240000*F17)</f>
        <v>5127.6812754882212</v>
      </c>
      <c r="I17" s="32">
        <f>H17*(1+tasa2) / D17</f>
        <v>5511.1780496946922</v>
      </c>
      <c r="K17" s="38">
        <v>0</v>
      </c>
      <c r="L17" s="38">
        <f t="shared" ref="L17:L25" si="13">(1+tasa2)^(-K17)</f>
        <v>1</v>
      </c>
      <c r="M17" s="38">
        <v>60</v>
      </c>
      <c r="N17" s="38">
        <v>8188074</v>
      </c>
      <c r="O17" s="38">
        <f>prima2*SUMPRODUCT(N17:$N$24,L17:$L$24) / N17 * (1+tasa2)^(K17)</f>
        <v>51502.971628655818</v>
      </c>
      <c r="P17" s="39" cm="1">
        <f t="array" ref="P17">SUMPRODUCT(N17:$N$21-N18:$N$22,L18:$L$22) / N17* 240000 * (1+tasa2)^(K17)  + ('Ejercicio 2 (Prima)'!$Q$10 * $N$22 / N17 * (1+tasa2)^(-5+K17))</f>
        <v>28562.393297154289</v>
      </c>
      <c r="Q17" s="39">
        <f>20000*(1+tasa2)^(-5+K17) * $N$22 / N17</f>
        <v>13751.258655157853</v>
      </c>
      <c r="R17" s="39">
        <f>5000*SUM($L$18:$L$20) * $N$22 / N17 * (1+tasa2)^(-5+K17)</f>
        <v>9189.3196763436717</v>
      </c>
      <c r="S17" s="40">
        <f>P17+Q17+R17-O17</f>
        <v>0</v>
      </c>
    </row>
    <row r="18" spans="2:29" x14ac:dyDescent="0.3">
      <c r="B18" s="5">
        <f>B17+1</f>
        <v>61</v>
      </c>
      <c r="C18" s="5">
        <v>8075403</v>
      </c>
      <c r="D18" s="5">
        <f t="shared" ref="D18:D24" si="14">C19/C18</f>
        <v>0.98498848911936654</v>
      </c>
      <c r="E18" s="5">
        <f t="shared" ref="E18:E24" si="15">1-D18</f>
        <v>1.5011510880633461E-2</v>
      </c>
      <c r="F18" s="5">
        <f t="shared" si="11"/>
        <v>1.4161802717578735E-2</v>
      </c>
      <c r="G18" s="32">
        <f t="shared" si="12"/>
        <v>8243.2387428901548</v>
      </c>
      <c r="H18" s="32">
        <f t="shared" ref="H18:H20" si="16">G18-(240000*F18)</f>
        <v>4844.4060906712584</v>
      </c>
      <c r="I18" s="32">
        <f t="shared" ref="I18:I24" si="17">(H18+I17)*(1+tasa2) / D18</f>
        <v>11144.210627884466</v>
      </c>
      <c r="K18" s="5">
        <f>K17+1</f>
        <v>1</v>
      </c>
      <c r="L18" s="5">
        <f t="shared" si="13"/>
        <v>0.94339622641509424</v>
      </c>
      <c r="M18" s="5">
        <v>61</v>
      </c>
      <c r="N18" s="5">
        <v>8075403</v>
      </c>
      <c r="O18" s="5">
        <f>prima2*SUMPRODUCT(N18:$N$24,L18:$L$24) / N18 * (1+tasa2)^(K18)</f>
        <v>46495.107146258306</v>
      </c>
      <c r="P18" s="32" cm="1">
        <f t="array" ref="P18">SUMPRODUCT(N18:$N$21-N19:$N$22,L19:$L$22) / N18* 240000 * (1+tasa2)^(K18)  + ('Ejercicio 2 (Prima)'!$Q$10 * $N$22 / N18 * (1+tasa2)^(-5+K18))</f>
        <v>27349.992233236604</v>
      </c>
      <c r="Q18" s="32">
        <f>(1+tasa2)^(-5+K18) * $N$22 / N18 * 20000</f>
        <v>14779.708563060865</v>
      </c>
      <c r="R18" s="32">
        <f>5000*SUM($L$18:$L$20) * $N$22 / N18 * (1+tasa2)^(-5+K18)</f>
        <v>9876.5843996555377</v>
      </c>
      <c r="S18" s="17">
        <f>P18+Q18+R18-O18</f>
        <v>5511.1780496947031</v>
      </c>
    </row>
    <row r="19" spans="2:29" x14ac:dyDescent="0.3">
      <c r="B19" s="5">
        <f t="shared" ref="B19:B25" si="18">B18+1</f>
        <v>62</v>
      </c>
      <c r="C19" s="5">
        <v>7954179</v>
      </c>
      <c r="D19" s="5">
        <f t="shared" si="14"/>
        <v>0.98361867390713742</v>
      </c>
      <c r="E19" s="5">
        <f t="shared" si="15"/>
        <v>1.638132609286258E-2</v>
      </c>
      <c r="F19" s="5">
        <f t="shared" si="11"/>
        <v>1.5454081219681679E-2</v>
      </c>
      <c r="G19" s="32">
        <f t="shared" si="12"/>
        <v>8243.2387428901548</v>
      </c>
      <c r="H19" s="32">
        <f t="shared" si="16"/>
        <v>4534.2592501665513</v>
      </c>
      <c r="I19" s="32">
        <f t="shared" si="17"/>
        <v>16895.956239544801</v>
      </c>
      <c r="K19" s="5">
        <f t="shared" ref="K19:K25" si="19">K18+1</f>
        <v>2</v>
      </c>
      <c r="L19" s="5">
        <f t="shared" si="13"/>
        <v>0.88999644001423983</v>
      </c>
      <c r="M19" s="5">
        <v>62</v>
      </c>
      <c r="N19" s="5">
        <v>7954179</v>
      </c>
      <c r="O19" s="5">
        <f>prima2*SUMPRODUCT(N19:$N$24,L19:$L$24) / N19 * (1+tasa2)^(K19)</f>
        <v>41164.928276290266</v>
      </c>
      <c r="P19" s="32" cm="1">
        <f t="array" ref="P19">SUMPRODUCT(N19:$N$21-N20:$N$22,L20:$L$22) / N19* 240000 * (1+tasa2)^(K19)  + ('Ejercicio 2 (Prima)'!$Q$10 * $N$22 / N19 * (1+tasa2)^(-5+K19))</f>
        <v>25775.153147807072</v>
      </c>
      <c r="Q19" s="32">
        <f>(1+tasa2)^(-5+K19) * $N$22 / N19 * 20000</f>
        <v>15905.252954632204</v>
      </c>
      <c r="R19" s="32">
        <f>5000*SUM($L$18:$L$20) * $N$22 / N19 * (1+tasa2)^(-5+K19)</f>
        <v>10628.732801735467</v>
      </c>
      <c r="S19" s="17">
        <f t="shared" ref="S19:S21" si="20">P19+Q19+R19-O19</f>
        <v>11144.210627884473</v>
      </c>
    </row>
    <row r="20" spans="2:29" x14ac:dyDescent="0.3">
      <c r="B20" s="5">
        <f t="shared" si="18"/>
        <v>63</v>
      </c>
      <c r="C20" s="5">
        <v>7823879</v>
      </c>
      <c r="D20" s="5">
        <f t="shared" si="14"/>
        <v>0.98211884411811579</v>
      </c>
      <c r="E20" s="5">
        <f t="shared" si="15"/>
        <v>1.7881155881884214E-2</v>
      </c>
      <c r="F20" s="5">
        <f t="shared" si="11"/>
        <v>1.6869014982909634E-2</v>
      </c>
      <c r="G20" s="32">
        <f t="shared" si="12"/>
        <v>8243.2387428901548</v>
      </c>
      <c r="H20" s="32">
        <f t="shared" si="16"/>
        <v>4194.6751469918427</v>
      </c>
      <c r="I20" s="32">
        <f t="shared" si="17"/>
        <v>22763.099805709626</v>
      </c>
      <c r="K20" s="5">
        <f t="shared" si="19"/>
        <v>3</v>
      </c>
      <c r="L20" s="5">
        <f t="shared" si="13"/>
        <v>0.8396192830323016</v>
      </c>
      <c r="M20" s="5">
        <v>63</v>
      </c>
      <c r="N20" s="5">
        <v>7823879</v>
      </c>
      <c r="O20" s="5">
        <f>prima2*SUMPRODUCT(N20:$N$24,L20:$L$24) / N20 * (1+tasa2)^(K20)</f>
        <v>35478.170383636621</v>
      </c>
      <c r="P20" s="32" cm="1">
        <f t="array" ref="P20">SUMPRODUCT(N20:$N$21-N21:$N$22,L21:$L$22) / N20* 240000 * (1+tasa2)^(K20)  + ('Ejercicio 2 (Prima)'!$Q$10 * $N$22 / N20 * (1+tasa2)^(-5+K20))</f>
        <v>23779.686879548521</v>
      </c>
      <c r="Q20" s="32">
        <f>(1+tasa2)^(-5+K20) * $N$22 / N20 * 20000</f>
        <v>17140.349791185276</v>
      </c>
      <c r="R20" s="32">
        <f>5000*SUM($L$18:$L$20) * $N$22 / N20 * (1+tasa2)^(-5+K20)</f>
        <v>11454.089952447623</v>
      </c>
      <c r="S20" s="17">
        <f t="shared" si="20"/>
        <v>16895.956239544801</v>
      </c>
    </row>
    <row r="21" spans="2:29" x14ac:dyDescent="0.3">
      <c r="B21" s="5">
        <f t="shared" si="18"/>
        <v>64</v>
      </c>
      <c r="C21" s="5">
        <v>7683979</v>
      </c>
      <c r="D21" s="5">
        <f t="shared" si="14"/>
        <v>0.98047691176667717</v>
      </c>
      <c r="E21" s="5">
        <f t="shared" si="15"/>
        <v>1.9523088233322827E-2</v>
      </c>
      <c r="F21" s="5">
        <f t="shared" si="11"/>
        <v>1.8418007767285683E-2</v>
      </c>
      <c r="G21" s="32">
        <f t="shared" si="12"/>
        <v>8243.2387428901548</v>
      </c>
      <c r="H21" s="32">
        <f>G21-(240000*F21)-(20000*(1+tasa2)^(-1)*D21)</f>
        <v>-14676.647494214583</v>
      </c>
      <c r="I21" s="32">
        <f t="shared" si="17"/>
        <v>8742.316465912385</v>
      </c>
      <c r="J21" s="26"/>
      <c r="K21" s="5">
        <f t="shared" si="19"/>
        <v>4</v>
      </c>
      <c r="L21" s="5">
        <f t="shared" si="13"/>
        <v>0.79209366323802044</v>
      </c>
      <c r="M21" s="5">
        <v>64</v>
      </c>
      <c r="N21" s="5">
        <v>7683979</v>
      </c>
      <c r="O21" s="5">
        <f>prima2*SUMPRODUCT(N21:$N$24,L21:$L$24) / N21 * (1+tasa2)^(K21)</f>
        <v>29394.637636867592</v>
      </c>
      <c r="P21" s="32" cm="1">
        <f t="array" ref="P21">SUMPRODUCT(N21:$N$21-N22:$N$22,L22:$L$22) / N21* 240000 * (1+tasa2)^(K21)  + ('Ejercicio 2 (Prima)'!$Q$10 * $N$22 / N21 * (1+tasa2)^(-5+K21))</f>
        <v>21295.783912434392</v>
      </c>
      <c r="Q21" s="32">
        <f>(1+tasa2)^(-5+K21) * $N$22 / N21 * 20000</f>
        <v>18499.564372956171</v>
      </c>
      <c r="R21" s="32">
        <f>5000*SUM($L$18:$L$20) * $N$22 / N21 * (1+tasa2)^(-5+K21)</f>
        <v>12362.38915718665</v>
      </c>
      <c r="S21" s="17">
        <f t="shared" si="20"/>
        <v>22763.099805709615</v>
      </c>
    </row>
    <row r="22" spans="2:29" x14ac:dyDescent="0.3">
      <c r="B22" s="5">
        <f t="shared" si="18"/>
        <v>65</v>
      </c>
      <c r="C22" s="5">
        <v>7533964</v>
      </c>
      <c r="D22" s="5">
        <f t="shared" si="14"/>
        <v>0.97867974946522174</v>
      </c>
      <c r="E22" s="5">
        <f t="shared" si="15"/>
        <v>2.1320250534778262E-2</v>
      </c>
      <c r="F22" s="5">
        <f>(1+tasa2)^(-1) * E22</f>
        <v>2.0113443900734208E-2</v>
      </c>
      <c r="G22" s="32">
        <f t="shared" si="12"/>
        <v>8243.2387428901548</v>
      </c>
      <c r="H22" s="32">
        <f>G22-(300000*F22)-(5000*(1+tasa2)^(-1)*$C$22/C22)</f>
        <v>-2507.7755594055789</v>
      </c>
      <c r="I22" s="32">
        <f t="shared" si="17"/>
        <v>6752.58005952238</v>
      </c>
      <c r="K22" s="5">
        <f t="shared" si="19"/>
        <v>5</v>
      </c>
      <c r="L22" s="5">
        <f>(1+tasa2)^(-K22)</f>
        <v>0.74725817286605689</v>
      </c>
      <c r="M22" s="5">
        <v>65</v>
      </c>
      <c r="N22" s="5">
        <v>7533964</v>
      </c>
      <c r="O22" s="5">
        <f>prima2*SUMPRODUCT(N22:$N$24,L22:$L$24) / N22 * (1+tasa2)^(K22)</f>
        <v>22866.915639265415</v>
      </c>
      <c r="P22" s="32" cm="1">
        <f t="array" ref="P22">SUMPRODUCT(N22:$N$24-N23:$N$25,L18:$L$20) / N22* 300000*(1+tasa2)^(K17)</f>
        <v>18244.172357869615</v>
      </c>
      <c r="Q22" s="32">
        <f>(1+tasa2)^(-5+K22) * $N$22 / N22 * 20000</f>
        <v>20000</v>
      </c>
      <c r="R22" s="32">
        <f>PV(tasa2,8-K22,-5000,0,0)</f>
        <v>13365.059747308198</v>
      </c>
      <c r="S22" s="17">
        <f>P22+R22-O22</f>
        <v>8742.3164659123977</v>
      </c>
    </row>
    <row r="23" spans="2:29" x14ac:dyDescent="0.3">
      <c r="B23" s="5">
        <f t="shared" si="18"/>
        <v>66</v>
      </c>
      <c r="C23" s="5">
        <v>7373338</v>
      </c>
      <c r="D23" s="5">
        <f t="shared" si="14"/>
        <v>0.97671298942215856</v>
      </c>
      <c r="E23" s="5">
        <f t="shared" si="15"/>
        <v>2.3287010577841438E-2</v>
      </c>
      <c r="F23" s="5">
        <f>(1+tasa2)^(-1) * E23</f>
        <v>2.1968877903623996E-2</v>
      </c>
      <c r="G23" s="32">
        <f t="shared" si="12"/>
        <v>8243.2387428901548</v>
      </c>
      <c r="H23" s="32">
        <f>G23-(300000*F23)-(5000*(1+tasa2)^(-1)*$C$22/C23)</f>
        <v>-3167.1638070785566</v>
      </c>
      <c r="I23" s="32">
        <f>(H23+I22)*(1+tasa2) / D23</f>
        <v>3891.1545855849868</v>
      </c>
      <c r="K23" s="5">
        <f t="shared" si="19"/>
        <v>6</v>
      </c>
      <c r="L23" s="5">
        <f t="shared" si="13"/>
        <v>0.70496054043967626</v>
      </c>
      <c r="M23" s="5">
        <v>66</v>
      </c>
      <c r="N23" s="5">
        <v>7373338</v>
      </c>
      <c r="O23" s="5">
        <f>prima2*SUMPRODUCT(N23:$N$24,L23:$L$24) / N23 * (1+tasa2)^(K23)</f>
        <v>15838.784360898451</v>
      </c>
      <c r="P23" s="32" cm="1">
        <f t="array" ref="P23">SUMPRODUCT(N23:$N$24-N24:$N$25,L19:$L$20) / N23* 300000*(1+tasa2)^(K18)</f>
        <v>13224.701487877526</v>
      </c>
      <c r="Q23" s="32">
        <v>0</v>
      </c>
      <c r="R23" s="32">
        <f>PV(tasa2,8-K23,-5000,0,0) * $N$22/N23</f>
        <v>9366.6629325433241</v>
      </c>
      <c r="S23" s="17">
        <f>P23+R23-O23</f>
        <v>6752.5800595223991</v>
      </c>
    </row>
    <row r="24" spans="2:29" x14ac:dyDescent="0.3">
      <c r="B24" s="5">
        <f t="shared" si="18"/>
        <v>67</v>
      </c>
      <c r="C24" s="5">
        <v>7201635</v>
      </c>
      <c r="D24" s="5">
        <f t="shared" si="14"/>
        <v>0.97456091568095304</v>
      </c>
      <c r="E24" s="5">
        <f t="shared" si="15"/>
        <v>2.5439084319046956E-2</v>
      </c>
      <c r="F24" s="5">
        <f t="shared" si="11"/>
        <v>2.3999136150044297E-2</v>
      </c>
      <c r="G24" s="32">
        <f t="shared" si="12"/>
        <v>8243.2387428901548</v>
      </c>
      <c r="H24" s="32">
        <f>G24-(300000*F24)-(5000*(1+tasa2)^(-1)*$C$22/C24)</f>
        <v>-3891.1545855849936</v>
      </c>
      <c r="I24" s="43">
        <f t="shared" si="17"/>
        <v>-7.4192210694624852E-12</v>
      </c>
      <c r="K24" s="5">
        <f>K23+1</f>
        <v>7</v>
      </c>
      <c r="L24" s="5">
        <f t="shared" si="13"/>
        <v>0.66505711362233599</v>
      </c>
      <c r="M24" s="5">
        <v>67</v>
      </c>
      <c r="N24" s="5">
        <v>7201635</v>
      </c>
      <c r="O24" s="5">
        <f>prima2*SUMPRODUCT(N24:$N$24,L24:$L$24) / N24 * (1+tasa2)^(K24)</f>
        <v>8243.2387428901529</v>
      </c>
      <c r="P24" s="32" cm="1">
        <f t="array" ref="P24">SUMPRODUCT(N24:$N$24-N25:$N$25,L20:$L$20) / N24* 300000*(1+tasa2)^(K19)</f>
        <v>7199.740845013298</v>
      </c>
      <c r="Q24" s="32">
        <v>0</v>
      </c>
      <c r="R24" s="32">
        <f>PV(tasa2,8-K24,-5000,0,0) * $N$22/N24</f>
        <v>4934.6524834618649</v>
      </c>
      <c r="S24" s="17">
        <f>P24+R24-O24</f>
        <v>3891.154585585009</v>
      </c>
    </row>
    <row r="25" spans="2:29" x14ac:dyDescent="0.3">
      <c r="B25" s="5">
        <f t="shared" si="18"/>
        <v>68</v>
      </c>
      <c r="C25" s="5">
        <v>7018432</v>
      </c>
      <c r="D25" s="6"/>
      <c r="E25" s="6"/>
      <c r="F25" s="6"/>
      <c r="G25" s="6"/>
      <c r="H25" s="6"/>
      <c r="I25" s="6"/>
      <c r="K25" s="5">
        <f t="shared" si="19"/>
        <v>8</v>
      </c>
      <c r="L25" s="5">
        <f t="shared" si="13"/>
        <v>0.62741237134182648</v>
      </c>
      <c r="M25" s="5">
        <v>68</v>
      </c>
      <c r="N25" s="5">
        <v>7018432</v>
      </c>
      <c r="O25" s="33">
        <v>0</v>
      </c>
      <c r="P25" s="33">
        <v>0</v>
      </c>
      <c r="Q25" s="33">
        <v>0</v>
      </c>
      <c r="R25" s="33">
        <v>0</v>
      </c>
      <c r="S25" s="45">
        <v>0</v>
      </c>
      <c r="AC25" s="26"/>
    </row>
    <row r="26" spans="2:29" x14ac:dyDescent="0.3">
      <c r="AC26" s="26"/>
    </row>
    <row r="27" spans="2:29" x14ac:dyDescent="0.3">
      <c r="AC27" s="26"/>
    </row>
    <row r="28" spans="2:29" x14ac:dyDescent="0.3">
      <c r="T28" s="26"/>
    </row>
    <row r="29" spans="2:29" ht="19.2" x14ac:dyDescent="0.3">
      <c r="D29" s="53" t="s">
        <v>50</v>
      </c>
      <c r="E29" s="53"/>
      <c r="F29" s="53"/>
      <c r="G29" s="53"/>
      <c r="H29" s="53"/>
      <c r="T29" s="26"/>
    </row>
    <row r="30" spans="2:29" x14ac:dyDescent="0.3">
      <c r="D30" s="28" t="s">
        <v>0</v>
      </c>
      <c r="E30" s="28" t="s">
        <v>1</v>
      </c>
      <c r="F30" s="28" t="s">
        <v>28</v>
      </c>
      <c r="G30" s="28" t="s">
        <v>29</v>
      </c>
      <c r="H30" s="5" t="s">
        <v>27</v>
      </c>
      <c r="T30" s="26"/>
    </row>
    <row r="31" spans="2:29" x14ac:dyDescent="0.3">
      <c r="D31" s="5">
        <v>60</v>
      </c>
      <c r="E31" s="5">
        <v>8188074</v>
      </c>
      <c r="F31" s="5">
        <f t="shared" ref="F31:F38" si="21">E32/E31</f>
        <v>0.98623962118564146</v>
      </c>
      <c r="G31" s="5">
        <f>1-F31</f>
        <v>1.3760378814358543E-2</v>
      </c>
      <c r="H31" s="32">
        <f>(1+tasa2)^(-1)*(240000*G32+F32*H32)-prima2</f>
        <v>5511.1780496946976</v>
      </c>
    </row>
    <row r="32" spans="2:29" x14ac:dyDescent="0.3">
      <c r="D32" s="5">
        <f>D31+1</f>
        <v>61</v>
      </c>
      <c r="E32" s="5">
        <v>8075403</v>
      </c>
      <c r="F32" s="5">
        <f t="shared" si="21"/>
        <v>0.98498848911936654</v>
      </c>
      <c r="G32" s="5">
        <f t="shared" ref="G32:G38" si="22">1-F32</f>
        <v>1.5011510880633461E-2</v>
      </c>
      <c r="H32" s="32">
        <f>(1+tasa2)^(-1)*(240000*G33+F33*H33)-prima2</f>
        <v>11144.210627884471</v>
      </c>
    </row>
    <row r="33" spans="4:8" x14ac:dyDescent="0.3">
      <c r="D33" s="5">
        <f t="shared" ref="D33:D39" si="23">D32+1</f>
        <v>62</v>
      </c>
      <c r="E33" s="5">
        <v>7954179</v>
      </c>
      <c r="F33" s="5">
        <f t="shared" si="21"/>
        <v>0.98361867390713742</v>
      </c>
      <c r="G33" s="5">
        <f t="shared" si="22"/>
        <v>1.638132609286258E-2</v>
      </c>
      <c r="H33" s="32">
        <f>(1+tasa2)^(-1)*(240000*G34+F34*H34)-prima2</f>
        <v>16895.956239544808</v>
      </c>
    </row>
    <row r="34" spans="4:8" x14ac:dyDescent="0.3">
      <c r="D34" s="5">
        <f t="shared" si="23"/>
        <v>63</v>
      </c>
      <c r="E34" s="5">
        <v>7823879</v>
      </c>
      <c r="F34" s="5">
        <f t="shared" si="21"/>
        <v>0.98211884411811579</v>
      </c>
      <c r="G34" s="5">
        <f t="shared" si="22"/>
        <v>1.7881155881884214E-2</v>
      </c>
      <c r="H34" s="32">
        <f>(1+tasa2)^(-1)*(240000*G35+F35*H35)-prima2+20000*(1+tasa2)^(-1)*F35</f>
        <v>22763.099805709633</v>
      </c>
    </row>
    <row r="35" spans="4:8" x14ac:dyDescent="0.3">
      <c r="D35" s="5">
        <f t="shared" si="23"/>
        <v>64</v>
      </c>
      <c r="E35" s="5">
        <v>7683979</v>
      </c>
      <c r="F35" s="5">
        <f t="shared" si="21"/>
        <v>0.98047691176667717</v>
      </c>
      <c r="G35" s="5">
        <f t="shared" si="22"/>
        <v>1.9523088233322827E-2</v>
      </c>
      <c r="H35" s="32">
        <f>(1+tasa2)^(-1) * (300000*G36+ F36*H36)  - prima2 + 5000*(1+tasa2)^(-1)*$E$36/E36</f>
        <v>8742.3164659123904</v>
      </c>
    </row>
    <row r="36" spans="4:8" x14ac:dyDescent="0.3">
      <c r="D36" s="5">
        <f t="shared" si="23"/>
        <v>65</v>
      </c>
      <c r="E36" s="5">
        <v>7533964</v>
      </c>
      <c r="F36" s="5">
        <f t="shared" si="21"/>
        <v>0.97867974946522174</v>
      </c>
      <c r="G36" s="5">
        <f t="shared" si="22"/>
        <v>2.1320250534778262E-2</v>
      </c>
      <c r="H36" s="32">
        <f>(1+tasa2)^(-1) * (300000*G37+ F37*H37)  - prima2 + 5000*(1+tasa2)^(-1)*$E$36/E37</f>
        <v>6752.5800595223855</v>
      </c>
    </row>
    <row r="37" spans="4:8" x14ac:dyDescent="0.3">
      <c r="D37" s="5">
        <f t="shared" si="23"/>
        <v>66</v>
      </c>
      <c r="E37" s="5">
        <v>7373338</v>
      </c>
      <c r="F37" s="5">
        <f t="shared" si="21"/>
        <v>0.97671298942215856</v>
      </c>
      <c r="G37" s="5">
        <f t="shared" si="22"/>
        <v>2.3287010577841438E-2</v>
      </c>
      <c r="H37" s="32">
        <f>(1+tasa2)^(-1) * (300000*G38+ F38*H38)  - prima2 + 5000*(1+tasa2)^(-1)*$E$36/E38</f>
        <v>3891.1545855849936</v>
      </c>
    </row>
    <row r="38" spans="4:8" x14ac:dyDescent="0.3">
      <c r="D38" s="5">
        <f t="shared" si="23"/>
        <v>67</v>
      </c>
      <c r="E38" s="5">
        <v>7201635</v>
      </c>
      <c r="F38" s="5">
        <f t="shared" si="21"/>
        <v>0.97456091568095304</v>
      </c>
      <c r="G38" s="5">
        <f t="shared" si="22"/>
        <v>2.5439084319046956E-2</v>
      </c>
      <c r="H38" s="44">
        <v>0</v>
      </c>
    </row>
    <row r="39" spans="4:8" x14ac:dyDescent="0.3">
      <c r="D39" s="5">
        <f t="shared" si="23"/>
        <v>68</v>
      </c>
      <c r="E39" s="5">
        <v>7018432</v>
      </c>
      <c r="F39" s="6"/>
      <c r="G39" s="6"/>
      <c r="H39" s="6"/>
    </row>
  </sheetData>
  <mergeCells count="5">
    <mergeCell ref="B2:I2"/>
    <mergeCell ref="B15:I15"/>
    <mergeCell ref="M2:Q2"/>
    <mergeCell ref="K15:S15"/>
    <mergeCell ref="D29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5</vt:i4>
      </vt:variant>
    </vt:vector>
  </HeadingPairs>
  <TitlesOfParts>
    <vt:vector size="9" baseType="lpstr">
      <vt:lpstr>Ejercicio 1 (Prima)</vt:lpstr>
      <vt:lpstr>Ejercicio 1 (Reserva)</vt:lpstr>
      <vt:lpstr>Ejercicio 2 (Prima)</vt:lpstr>
      <vt:lpstr>Ejercicio 2 (Reserva)</vt:lpstr>
      <vt:lpstr>pension</vt:lpstr>
      <vt:lpstr>prima1</vt:lpstr>
      <vt:lpstr>prima2</vt:lpstr>
      <vt:lpstr>tasa1</vt:lpstr>
      <vt:lpstr>tasa2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LEYVA DIAZ</dc:creator>
  <cp:lastModifiedBy>EDUARDO LEYVA DIAZ</cp:lastModifiedBy>
  <dcterms:created xsi:type="dcterms:W3CDTF">2024-10-15T03:58:35Z</dcterms:created>
  <dcterms:modified xsi:type="dcterms:W3CDTF">2025-03-17T03:24:13Z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17d4a41c-62df-4873-b05b-8df5f0079b6d</vt:lpwstr>
  </property>
</Properties>
</file>