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347e66abe850c18/Documents/Burning_Man_Compass_of_4_winds/7_2_2023_Power_Fuel_Consumption_ReAnalysis/"/>
    </mc:Choice>
  </mc:AlternateContent>
  <xr:revisionPtr revIDLastSave="514" documentId="13_ncr:1_{F15814FC-1E71-44F1-B655-84CC1F5BC95C}" xr6:coauthVersionLast="47" xr6:coauthVersionMax="47" xr10:uidLastSave="{05BAF3B5-2581-41D8-B80A-191BD615CF91}"/>
  <bookViews>
    <workbookView xWindow="-108" yWindow="-108" windowWidth="23256" windowHeight="12576" activeTab="1" xr2:uid="{00000000-000D-0000-FFFF-FFFF00000000}"/>
  </bookViews>
  <sheets>
    <sheet name="LED_BREAKDOWN" sheetId="1" r:id="rId1"/>
    <sheet name="Totems_AMP_Analysis" sheetId="6" r:id="rId2"/>
    <sheet name="Signs_AMP_Analysis" sheetId="5" r:id="rId3"/>
    <sheet name="Power_Brick_Required" sheetId="7" r:id="rId4"/>
    <sheet name="Power_Analysi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G16" i="5"/>
  <c r="G13" i="5"/>
  <c r="G14" i="5"/>
  <c r="G15" i="5"/>
  <c r="G12" i="5"/>
  <c r="G11" i="5"/>
  <c r="F11" i="5"/>
  <c r="E11" i="5"/>
  <c r="F7" i="5"/>
  <c r="B14" i="6"/>
  <c r="B13" i="6"/>
  <c r="B7" i="5"/>
  <c r="B12" i="6"/>
  <c r="B8" i="6"/>
  <c r="B11" i="6" s="1"/>
  <c r="C2" i="6"/>
  <c r="D2" i="6" s="1"/>
  <c r="E2" i="6" s="1"/>
  <c r="F2" i="6" s="1"/>
  <c r="F3" i="6" s="1"/>
  <c r="B2" i="7" s="1"/>
  <c r="B10" i="5"/>
  <c r="B14" i="5" s="1"/>
  <c r="B15" i="5" s="1"/>
  <c r="B16" i="5" s="1"/>
  <c r="D3" i="5"/>
  <c r="D4" i="5"/>
  <c r="D5" i="5"/>
  <c r="D2" i="5"/>
  <c r="E27" i="4"/>
  <c r="F27" i="4"/>
  <c r="G27" i="4"/>
  <c r="H27" i="4"/>
  <c r="I27" i="4"/>
  <c r="I26" i="4"/>
  <c r="H26" i="4"/>
  <c r="G26" i="4"/>
  <c r="F26" i="4"/>
  <c r="E26" i="4"/>
  <c r="D26" i="4"/>
  <c r="I25" i="4"/>
  <c r="H25" i="4"/>
  <c r="G25" i="4"/>
  <c r="F25" i="4"/>
  <c r="E25" i="4"/>
  <c r="D25" i="4"/>
  <c r="D27" i="4"/>
  <c r="B69" i="4"/>
  <c r="E69" i="4"/>
  <c r="B62" i="4"/>
  <c r="B61" i="4"/>
  <c r="B60" i="4"/>
  <c r="B59" i="4"/>
  <c r="B44" i="4"/>
  <c r="B43" i="4"/>
  <c r="B42" i="4"/>
  <c r="B41" i="4"/>
  <c r="E3" i="6" l="1"/>
  <c r="D3" i="6"/>
  <c r="G2" i="6"/>
  <c r="C3" i="6"/>
  <c r="G3" i="6" s="1"/>
  <c r="E2" i="5"/>
  <c r="F2" i="5" s="1"/>
  <c r="E4" i="5"/>
  <c r="F4" i="5" s="1"/>
  <c r="H4" i="5" s="1"/>
  <c r="I4" i="5" s="1"/>
  <c r="E5" i="5"/>
  <c r="F5" i="5" s="1"/>
  <c r="H5" i="5" s="1"/>
  <c r="I5" i="5" s="1"/>
  <c r="E3" i="5"/>
  <c r="F3" i="5" s="1"/>
  <c r="H3" i="5" s="1"/>
  <c r="I3" i="5" s="1"/>
  <c r="F35" i="1"/>
  <c r="F34" i="1"/>
  <c r="E34" i="1"/>
  <c r="D34" i="1"/>
  <c r="C34" i="1"/>
  <c r="B34" i="1"/>
  <c r="A34" i="1"/>
  <c r="D14" i="1"/>
  <c r="B20" i="4"/>
  <c r="C20" i="4" s="1"/>
  <c r="D20" i="4" s="1"/>
  <c r="E20" i="4" s="1"/>
  <c r="F20" i="4" s="1"/>
  <c r="D31" i="1"/>
  <c r="C31" i="1"/>
  <c r="C28" i="1"/>
  <c r="B31" i="1"/>
  <c r="A31" i="1"/>
  <c r="C21" i="4"/>
  <c r="D21" i="4" s="1"/>
  <c r="B15" i="4"/>
  <c r="C15" i="4" s="1"/>
  <c r="B28" i="1"/>
  <c r="E62" i="4"/>
  <c r="E61" i="4"/>
  <c r="E60" i="4"/>
  <c r="E59" i="4"/>
  <c r="C16" i="4"/>
  <c r="D16" i="4" s="1"/>
  <c r="E16" i="4" s="1"/>
  <c r="F16" i="4" s="1"/>
  <c r="H2" i="5" l="1"/>
  <c r="I2" i="5" s="1"/>
  <c r="B3" i="7" s="1"/>
  <c r="B4" i="7" s="1"/>
  <c r="G9" i="5"/>
  <c r="J3" i="5"/>
  <c r="J5" i="5"/>
  <c r="J4" i="5"/>
  <c r="J2" i="5"/>
  <c r="G20" i="4"/>
  <c r="H20" i="4" s="1"/>
  <c r="E21" i="4"/>
  <c r="F21" i="4" s="1"/>
  <c r="G21" i="4"/>
  <c r="H21" i="4" s="1"/>
  <c r="G15" i="4"/>
  <c r="H15" i="4" s="1"/>
  <c r="B22" i="4"/>
  <c r="B17" i="4"/>
  <c r="G16" i="4"/>
  <c r="H16" i="4" s="1"/>
  <c r="G2" i="5" l="1"/>
  <c r="D4" i="6"/>
  <c r="G3" i="5"/>
  <c r="G4" i="5"/>
  <c r="G5" i="5"/>
  <c r="K5" i="5"/>
  <c r="L5" i="5"/>
  <c r="K3" i="5"/>
  <c r="L3" i="5"/>
  <c r="K2" i="5"/>
  <c r="L2" i="5"/>
  <c r="K4" i="5"/>
  <c r="L4" i="5"/>
  <c r="H22" i="4"/>
  <c r="G22" i="4"/>
  <c r="C22" i="4"/>
  <c r="H17" i="4"/>
  <c r="G17" i="4"/>
  <c r="D15" i="4"/>
  <c r="E15" i="4" s="1"/>
  <c r="F15" i="4" s="1"/>
  <c r="C17" i="4"/>
  <c r="D22" i="4" l="1"/>
  <c r="D17" i="4"/>
  <c r="B31" i="4" l="1"/>
  <c r="B32" i="4" s="1"/>
  <c r="B67" i="4" s="1"/>
  <c r="E67" i="4" s="1"/>
  <c r="E22" i="4"/>
  <c r="F22" i="4"/>
  <c r="D31" i="4" s="1"/>
  <c r="D32" i="4" s="1"/>
  <c r="E17" i="4"/>
  <c r="F17" i="4"/>
  <c r="C31" i="4" l="1"/>
  <c r="C32" i="4" s="1"/>
  <c r="B68" i="4" s="1"/>
  <c r="E68" i="4" s="1"/>
  <c r="D28" i="1"/>
  <c r="A28" i="1"/>
  <c r="D2" i="1"/>
  <c r="D9" i="1" s="1"/>
  <c r="B13" i="1"/>
  <c r="C10" i="1"/>
  <c r="D20" i="1" s="1"/>
  <c r="E20" i="1" s="1"/>
  <c r="F20" i="1" s="1"/>
  <c r="G20" i="1" s="1"/>
  <c r="H20" i="1" s="1"/>
  <c r="C11" i="1"/>
  <c r="C9" i="1"/>
  <c r="D3" i="1"/>
  <c r="E3" i="1" s="1"/>
  <c r="D4" i="1"/>
  <c r="E4" i="1" s="1"/>
  <c r="D5" i="1"/>
  <c r="E5" i="1" s="1"/>
  <c r="E2" i="1"/>
  <c r="F9" i="1" l="1"/>
  <c r="E9" i="1"/>
  <c r="E11" i="1"/>
  <c r="G10" i="1"/>
  <c r="G13" i="1" s="1"/>
  <c r="G14" i="1" s="1"/>
  <c r="G15" i="1" s="1"/>
  <c r="G16" i="1" s="1"/>
  <c r="D19" i="1"/>
  <c r="E19" i="1" s="1"/>
  <c r="F19" i="1" s="1"/>
  <c r="G19" i="1" s="1"/>
  <c r="H19" i="1" s="1"/>
  <c r="G11" i="1"/>
  <c r="D11" i="1"/>
  <c r="D10" i="1"/>
  <c r="D13" i="1" s="1"/>
  <c r="D15" i="1" s="1"/>
  <c r="E10" i="1"/>
  <c r="E13" i="1" s="1"/>
  <c r="E14" i="1" s="1"/>
  <c r="E15" i="1" s="1"/>
  <c r="E16" i="1" s="1"/>
  <c r="F11" i="1"/>
  <c r="D22" i="1"/>
  <c r="E22" i="1" s="1"/>
  <c r="F22" i="1" s="1"/>
  <c r="G22" i="1" s="1"/>
  <c r="H22" i="1" s="1"/>
  <c r="F10" i="1"/>
  <c r="F13" i="1" s="1"/>
  <c r="F14" i="1" s="1"/>
  <c r="F15" i="1" s="1"/>
  <c r="F16" i="1" s="1"/>
  <c r="D21" i="1"/>
  <c r="E21" i="1" s="1"/>
  <c r="F21" i="1" s="1"/>
  <c r="G21" i="1" s="1"/>
  <c r="H21" i="1" s="1"/>
  <c r="G9" i="1"/>
  <c r="B25" i="1" l="1"/>
  <c r="D16" i="1"/>
  <c r="F25" i="1"/>
  <c r="A25" i="1"/>
  <c r="C25" i="1" s="1"/>
  <c r="D25" i="1" s="1"/>
</calcChain>
</file>

<file path=xl/sharedStrings.xml><?xml version="1.0" encoding="utf-8"?>
<sst xmlns="http://schemas.openxmlformats.org/spreadsheetml/2006/main" count="221" uniqueCount="177">
  <si>
    <t>LETTERS</t>
  </si>
  <si>
    <t>Number of Letters</t>
  </si>
  <si>
    <t>Height</t>
  </si>
  <si>
    <t>Width (TOTAL)</t>
  </si>
  <si>
    <t>Area</t>
  </si>
  <si>
    <t>Yes</t>
  </si>
  <si>
    <t>No</t>
  </si>
  <si>
    <t>Maybe</t>
  </si>
  <si>
    <t>Wait</t>
  </si>
  <si>
    <t>LetterWidth</t>
  </si>
  <si>
    <t>LEDs</t>
  </si>
  <si>
    <t>Width (mm)</t>
  </si>
  <si>
    <t>Width (inch)</t>
  </si>
  <si>
    <t>numStripYes</t>
  </si>
  <si>
    <t>numStripNo</t>
  </si>
  <si>
    <t>numStripMaybe</t>
  </si>
  <si>
    <t>numStripWait</t>
  </si>
  <si>
    <t>30/M</t>
  </si>
  <si>
    <t>60/M</t>
  </si>
  <si>
    <t>144/M</t>
  </si>
  <si>
    <t>mm to in conv</t>
  </si>
  <si>
    <t>Number of Strips</t>
  </si>
  <si>
    <t>Chosen LED</t>
  </si>
  <si>
    <t>WS2812B</t>
  </si>
  <si>
    <t>Length(in)</t>
  </si>
  <si>
    <t>Length(ft)</t>
  </si>
  <si>
    <t>Num of reels (ft)</t>
  </si>
  <si>
    <t>insignia</t>
  </si>
  <si>
    <t>WIDTH</t>
  </si>
  <si>
    <t>LENGTH</t>
  </si>
  <si>
    <t>numStrip</t>
  </si>
  <si>
    <t>numStripRound</t>
  </si>
  <si>
    <t>Num of Reels</t>
  </si>
  <si>
    <t>RED BEAR</t>
  </si>
  <si>
    <t>BLUE WOLF</t>
  </si>
  <si>
    <t>WHITE BISON</t>
  </si>
  <si>
    <t>YELLOW EAGLE</t>
  </si>
  <si>
    <t>TOTAL REELS LETTERS</t>
  </si>
  <si>
    <t>TOTAL REELS INSIGNIA</t>
  </si>
  <si>
    <t>TOTAL REELS</t>
  </si>
  <si>
    <t>Safety Factor</t>
  </si>
  <si>
    <t>Total Strips</t>
  </si>
  <si>
    <t>Total Ft</t>
  </si>
  <si>
    <t>Total M</t>
  </si>
  <si>
    <t>Total LED</t>
  </si>
  <si>
    <t>Inisignia Strips</t>
  </si>
  <si>
    <t>Inisgina FT</t>
  </si>
  <si>
    <t>Insignia M</t>
  </si>
  <si>
    <t>Insignia LED</t>
  </si>
  <si>
    <t>Totem ratio</t>
  </si>
  <si>
    <t>Yes Ratio</t>
  </si>
  <si>
    <t>No Ratio</t>
  </si>
  <si>
    <t>Maybe Ratio</t>
  </si>
  <si>
    <t>Wait Ratio</t>
  </si>
  <si>
    <t>Signs ratio</t>
  </si>
  <si>
    <t>Insignia Load</t>
  </si>
  <si>
    <t>Compass of the Four Winds Power Calculations</t>
  </si>
  <si>
    <t>BY:</t>
  </si>
  <si>
    <t>Eduardo Ortega</t>
  </si>
  <si>
    <t>DATE:</t>
  </si>
  <si>
    <t>Part Nunber of LED Used in Strip</t>
  </si>
  <si>
    <t xml:space="preserve">Voltage Vcc for LED </t>
  </si>
  <si>
    <t>Volts</t>
  </si>
  <si>
    <t>Drive Current for LED's (Amps/LED)</t>
  </si>
  <si>
    <t>Amps/LED</t>
  </si>
  <si>
    <t>LEDs / Meter</t>
  </si>
  <si>
    <t xml:space="preserve">Realistic LED Brightness Operating Factor </t>
  </si>
  <si>
    <t>NOTE: EACH COLOR WILL ONLY UTILIZE 1/3 OF THE AMPAGE</t>
  </si>
  <si>
    <t xml:space="preserve">Realistic COLOR Operating Factor </t>
  </si>
  <si>
    <t>ALL</t>
  </si>
  <si>
    <t>Meters Used</t>
  </si>
  <si>
    <t>Amps Used WHITE</t>
  </si>
  <si>
    <t>Max Power WHITE 
(Watts, Worst Case)</t>
  </si>
  <si>
    <t>Power at 
REALISTIC BRIGHTNESS</t>
  </si>
  <si>
    <t>Power at 
REALISTIC COLOR &amp; BRIGHTNESS</t>
  </si>
  <si>
    <t>Amps Used at 
REALISTIC COLOR &amp; BRIGHTNESS</t>
  </si>
  <si>
    <t>Watts Used at REALISTIC &amp; BRIGHTNESS</t>
  </si>
  <si>
    <t>Totem (ALL 4)</t>
  </si>
  <si>
    <t>Compass</t>
  </si>
  <si>
    <t>TOTALS</t>
  </si>
  <si>
    <t>Just insignias</t>
  </si>
  <si>
    <t>Totem (insignias all)</t>
  </si>
  <si>
    <t>AC TO DC POWER SUPPIES SELECTED</t>
  </si>
  <si>
    <t>Totem Ins. (Single)</t>
  </si>
  <si>
    <t>Totem Ins. (Total)</t>
  </si>
  <si>
    <t>AC TO DC CONVERSION EFFICIENCY</t>
  </si>
  <si>
    <t>White Amp</t>
  </si>
  <si>
    <t>White Power</t>
  </si>
  <si>
    <t>Factor for Oversizing Generator</t>
  </si>
  <si>
    <t>Real Amp</t>
  </si>
  <si>
    <t>Generator Performance Factor</t>
  </si>
  <si>
    <t>Real Power</t>
  </si>
  <si>
    <t>Power to Select Generator Needed</t>
  </si>
  <si>
    <t>Oversized factor Generator Needed @ MAX WHITE</t>
  </si>
  <si>
    <t>Oversized Factor Generator Needed @ Realistic Load</t>
  </si>
  <si>
    <t>Oversized Factor Generator Needed @ Realistic Load w/ alpha</t>
  </si>
  <si>
    <t>% of full load</t>
  </si>
  <si>
    <t>Generator Selected</t>
  </si>
  <si>
    <t>3800-Watt Dual Fuel Generator%</t>
  </si>
  <si>
    <t>Generator Single Phase 120V Output Amps</t>
  </si>
  <si>
    <t>Amps</t>
  </si>
  <si>
    <t>Watts</t>
  </si>
  <si>
    <t>Full LOAD</t>
  </si>
  <si>
    <t>3/4 LOAD</t>
  </si>
  <si>
    <t>1/2 LOAD</t>
  </si>
  <si>
    <t>1/4 LOAD</t>
  </si>
  <si>
    <t>Gallons of Fuel / Hour</t>
  </si>
  <si>
    <t>NOTE 1: 1/2 LOAD for POWER GEN IS USED AS BASE EFFICIENCY  
AND IS INFERRED TO HAVE LINEAR APPROXIMATIONS FROM KUBOTA GL1100 Datasheet</t>
  </si>
  <si>
    <t>Note 2: In order to prevent wet Stacking one should
run the Generator beween 30% and 60% of load for long periods</t>
  </si>
  <si>
    <t>Load</t>
  </si>
  <si>
    <t>Fuel Consumption (Gallon/hour)</t>
  </si>
  <si>
    <t>FUEL CONS | M</t>
  </si>
  <si>
    <t>FUEL CONS | B</t>
  </si>
  <si>
    <t>Gallons/Hour</t>
  </si>
  <si>
    <t>Hours/day</t>
  </si>
  <si>
    <t>Number of Days</t>
  </si>
  <si>
    <t>Number of gallons needed</t>
  </si>
  <si>
    <t>Cases: Fuel Needed (general)</t>
  </si>
  <si>
    <t>Rate of Fuel Consumed</t>
  </si>
  <si>
    <t>Conversation</t>
  </si>
  <si>
    <t>Duration</t>
  </si>
  <si>
    <t>Fuel Used</t>
  </si>
  <si>
    <t>4/4 LOAD for 9 days</t>
  </si>
  <si>
    <t>3/4 LOAD for 9 days</t>
  </si>
  <si>
    <t>2/4 LOADfor 9 days</t>
  </si>
  <si>
    <t>1/4 LOAD for 9 days</t>
  </si>
  <si>
    <t>NOTE: Realistically, we will run it during the night for 12 hours every day (9 days)</t>
  </si>
  <si>
    <t>Cases: Fuel Needed for LED</t>
  </si>
  <si>
    <t>MAX Load (always on)</t>
  </si>
  <si>
    <t>Realistic Load (always on)</t>
  </si>
  <si>
    <t>Realistic Load (α=0.01)</t>
  </si>
  <si>
    <t>NO</t>
  </si>
  <si>
    <t>YES</t>
  </si>
  <si>
    <t>WAIT</t>
  </si>
  <si>
    <t>MAYBE</t>
  </si>
  <si>
    <t>SIGN</t>
  </si>
  <si>
    <t>W</t>
  </si>
  <si>
    <t>NumLetter</t>
  </si>
  <si>
    <t>LetterW</t>
  </si>
  <si>
    <t>LEDstrW</t>
  </si>
  <si>
    <t>NumLEDperStr</t>
  </si>
  <si>
    <t>NumLED</t>
  </si>
  <si>
    <t>Total_Strips</t>
  </si>
  <si>
    <t>Ampage</t>
  </si>
  <si>
    <t>MAXampLED</t>
  </si>
  <si>
    <t>NumPowerSupply</t>
  </si>
  <si>
    <t>PowerSupplyWattage</t>
  </si>
  <si>
    <t>PowerSupplyVoltage</t>
  </si>
  <si>
    <t>NumStripPerDaisyChain</t>
  </si>
  <si>
    <t>MAXampStr</t>
  </si>
  <si>
    <t>Totem</t>
  </si>
  <si>
    <t>Width</t>
  </si>
  <si>
    <t>x1</t>
  </si>
  <si>
    <t>All (x4)</t>
  </si>
  <si>
    <t>Total</t>
  </si>
  <si>
    <t>Totems</t>
  </si>
  <si>
    <t>Signs</t>
  </si>
  <si>
    <t>Number of Power Suplies</t>
  </si>
  <si>
    <t>NumLEDperDaisyChain</t>
  </si>
  <si>
    <t>NumDaisyChain</t>
  </si>
  <si>
    <t>Color</t>
  </si>
  <si>
    <t>White</t>
  </si>
  <si>
    <t>Yellow</t>
  </si>
  <si>
    <t>Blue</t>
  </si>
  <si>
    <t>Red</t>
  </si>
  <si>
    <t>AmpsPerDaisyChain</t>
  </si>
  <si>
    <t>LEDstrPossibleAddOn</t>
  </si>
  <si>
    <t>Number of Extra LED STR</t>
  </si>
  <si>
    <t>MAXampDC</t>
  </si>
  <si>
    <t>Plus one more</t>
  </si>
  <si>
    <t>All LED</t>
  </si>
  <si>
    <t>ALL LED</t>
  </si>
  <si>
    <t>Perc</t>
  </si>
  <si>
    <t>All strips</t>
  </si>
  <si>
    <t>Totem Strips</t>
  </si>
  <si>
    <t>Str</t>
  </si>
  <si>
    <t>TOTEMS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</si>
</sst>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5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left"/>
    </xf>
    <xf numFmtId="0" fontId="2" fillId="0" borderId="0" xfId="2" applyAlignment="1">
      <alignment horizontal="center"/>
    </xf>
    <xf numFmtId="0" fontId="4" fillId="0" borderId="0" xfId="2" applyFont="1" applyAlignment="1">
      <alignment wrapText="1"/>
    </xf>
    <xf numFmtId="14" fontId="2" fillId="0" borderId="0" xfId="2" applyNumberFormat="1" applyAlignment="1">
      <alignment horizontal="left"/>
    </xf>
    <xf numFmtId="0" fontId="2" fillId="3" borderId="0" xfId="2" applyFill="1" applyAlignment="1">
      <alignment wrapText="1"/>
    </xf>
    <xf numFmtId="0" fontId="4" fillId="4" borderId="1" xfId="2" applyFont="1" applyFill="1" applyBorder="1" applyAlignment="1">
      <alignment horizontal="right"/>
    </xf>
    <xf numFmtId="0" fontId="4" fillId="3" borderId="0" xfId="2" applyFont="1" applyFill="1" applyAlignment="1">
      <alignment wrapText="1"/>
    </xf>
    <xf numFmtId="0" fontId="2" fillId="4" borderId="1" xfId="2" applyFill="1" applyBorder="1"/>
    <xf numFmtId="0" fontId="4" fillId="0" borderId="0" xfId="2" applyFont="1"/>
    <xf numFmtId="0" fontId="2" fillId="0" borderId="0" xfId="2" applyAlignment="1">
      <alignment wrapText="1"/>
    </xf>
    <xf numFmtId="0" fontId="2" fillId="0" borderId="2" xfId="2" applyBorder="1"/>
    <xf numFmtId="0" fontId="6" fillId="0" borderId="0" xfId="2" applyFont="1"/>
    <xf numFmtId="0" fontId="5" fillId="0" borderId="0" xfId="2" applyFont="1"/>
    <xf numFmtId="0" fontId="2" fillId="3" borderId="4" xfId="2" applyFill="1" applyBorder="1" applyAlignment="1">
      <alignment wrapText="1"/>
    </xf>
    <xf numFmtId="0" fontId="7" fillId="3" borderId="4" xfId="2" applyFont="1" applyFill="1" applyBorder="1" applyAlignment="1">
      <alignment wrapText="1"/>
    </xf>
    <xf numFmtId="0" fontId="4" fillId="5" borderId="4" xfId="2" applyFont="1" applyFill="1" applyBorder="1" applyAlignment="1">
      <alignment wrapText="1"/>
    </xf>
    <xf numFmtId="0" fontId="2" fillId="6" borderId="4" xfId="2" applyFill="1" applyBorder="1"/>
    <xf numFmtId="0" fontId="2" fillId="6" borderId="5" xfId="2" applyFill="1" applyBorder="1"/>
    <xf numFmtId="0" fontId="2" fillId="5" borderId="4" xfId="2" applyFill="1" applyBorder="1"/>
    <xf numFmtId="0" fontId="4" fillId="7" borderId="6" xfId="2" applyFont="1" applyFill="1" applyBorder="1" applyAlignment="1">
      <alignment wrapText="1"/>
    </xf>
    <xf numFmtId="0" fontId="6" fillId="8" borderId="6" xfId="2" applyFont="1" applyFill="1" applyBorder="1" applyAlignment="1">
      <alignment horizontal="right"/>
    </xf>
    <xf numFmtId="0" fontId="6" fillId="8" borderId="7" xfId="2" applyFont="1" applyFill="1" applyBorder="1" applyAlignment="1">
      <alignment horizontal="right"/>
    </xf>
    <xf numFmtId="0" fontId="6" fillId="8" borderId="6" xfId="2" applyFont="1" applyFill="1" applyBorder="1"/>
    <xf numFmtId="0" fontId="2" fillId="7" borderId="6" xfId="2" applyFill="1" applyBorder="1"/>
    <xf numFmtId="0" fontId="8" fillId="0" borderId="8" xfId="2" applyFont="1" applyBorder="1" applyAlignment="1">
      <alignment wrapText="1"/>
    </xf>
    <xf numFmtId="0" fontId="6" fillId="9" borderId="8" xfId="2" applyFont="1" applyFill="1" applyBorder="1"/>
    <xf numFmtId="0" fontId="8" fillId="0" borderId="0" xfId="2" applyFont="1" applyAlignment="1">
      <alignment wrapText="1"/>
    </xf>
    <xf numFmtId="9" fontId="2" fillId="4" borderId="1" xfId="2" applyNumberFormat="1" applyFill="1" applyBorder="1"/>
    <xf numFmtId="0" fontId="8" fillId="0" borderId="0" xfId="2" applyFont="1"/>
    <xf numFmtId="0" fontId="6" fillId="0" borderId="0" xfId="2" applyFont="1" applyAlignment="1">
      <alignment wrapText="1"/>
    </xf>
    <xf numFmtId="0" fontId="8" fillId="3" borderId="0" xfId="2" applyFont="1" applyFill="1" applyAlignment="1">
      <alignment wrapText="1"/>
    </xf>
    <xf numFmtId="0" fontId="8" fillId="3" borderId="6" xfId="2" applyFont="1" applyFill="1" applyBorder="1" applyAlignment="1">
      <alignment wrapText="1"/>
    </xf>
    <xf numFmtId="0" fontId="7" fillId="3" borderId="6" xfId="2" applyFont="1" applyFill="1" applyBorder="1" applyAlignment="1">
      <alignment wrapText="1"/>
    </xf>
    <xf numFmtId="0" fontId="8" fillId="0" borderId="9" xfId="2" applyFont="1" applyBorder="1"/>
    <xf numFmtId="0" fontId="8" fillId="10" borderId="9" xfId="2" applyFont="1" applyFill="1" applyBorder="1"/>
    <xf numFmtId="0" fontId="8" fillId="0" borderId="10" xfId="2" applyFont="1" applyBorder="1"/>
    <xf numFmtId="0" fontId="8" fillId="10" borderId="10" xfId="2" applyFont="1" applyFill="1" applyBorder="1"/>
    <xf numFmtId="0" fontId="8" fillId="10" borderId="11" xfId="2" applyFont="1" applyFill="1" applyBorder="1"/>
    <xf numFmtId="0" fontId="5" fillId="0" borderId="0" xfId="2" applyFont="1" applyAlignment="1">
      <alignment wrapText="1"/>
    </xf>
    <xf numFmtId="9" fontId="4" fillId="4" borderId="1" xfId="2" applyNumberFormat="1" applyFont="1" applyFill="1" applyBorder="1"/>
    <xf numFmtId="1" fontId="2" fillId="4" borderId="1" xfId="2" applyNumberFormat="1" applyFill="1" applyBorder="1"/>
    <xf numFmtId="1" fontId="2" fillId="9" borderId="1" xfId="2" applyNumberFormat="1" applyFill="1" applyBorder="1"/>
    <xf numFmtId="0" fontId="4" fillId="3" borderId="12" xfId="2" applyFont="1" applyFill="1" applyBorder="1"/>
    <xf numFmtId="0" fontId="9" fillId="11" borderId="0" xfId="2" applyFont="1" applyFill="1"/>
    <xf numFmtId="0" fontId="8" fillId="12" borderId="0" xfId="2" applyFont="1" applyFill="1"/>
    <xf numFmtId="0" fontId="6" fillId="13" borderId="0" xfId="2" applyFont="1" applyFill="1"/>
    <xf numFmtId="0" fontId="10" fillId="14" borderId="0" xfId="2" applyFont="1" applyFill="1" applyAlignment="1">
      <alignment wrapText="1"/>
    </xf>
    <xf numFmtId="0" fontId="5" fillId="15" borderId="0" xfId="2" applyFont="1" applyFill="1"/>
    <xf numFmtId="0" fontId="2" fillId="16" borderId="0" xfId="2" applyFill="1"/>
    <xf numFmtId="0" fontId="2" fillId="17" borderId="0" xfId="2" applyFill="1"/>
    <xf numFmtId="0" fontId="10" fillId="15" borderId="0" xfId="2" applyFont="1" applyFill="1" applyAlignment="1">
      <alignment wrapText="1"/>
    </xf>
    <xf numFmtId="0" fontId="2" fillId="3" borderId="0" xfId="2" applyFill="1"/>
    <xf numFmtId="0" fontId="2" fillId="4" borderId="0" xfId="2" applyFill="1"/>
    <xf numFmtId="0" fontId="4" fillId="17" borderId="0" xfId="2" applyFont="1" applyFill="1"/>
    <xf numFmtId="0" fontId="0" fillId="0" borderId="0" xfId="0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0" fontId="3" fillId="0" borderId="0" xfId="2" applyFont="1" applyAlignment="1">
      <alignment horizontal="center"/>
    </xf>
    <xf numFmtId="0" fontId="1" fillId="2" borderId="3" xfId="1" applyBorder="1" applyAlignment="1">
      <alignment horizontal="center" wrapText="1"/>
    </xf>
    <xf numFmtId="0" fontId="1" fillId="2" borderId="0" xfId="1" applyBorder="1" applyAlignment="1">
      <alignment horizontal="center" wrapText="1"/>
    </xf>
    <xf numFmtId="0" fontId="4" fillId="0" borderId="0" xfId="2" applyFont="1" applyAlignment="1">
      <alignment horizontal="center" wrapText="1"/>
    </xf>
  </cellXfs>
  <cellStyles count="3">
    <cellStyle name="Bad" xfId="1" builtinId="27"/>
    <cellStyle name="Normal" xfId="0" builtinId="0"/>
    <cellStyle name="Normal 2" xfId="2" xr:uid="{8EFFBED9-5933-49F7-98E0-8F90452850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Consumption (Gallon/hour)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Power_Analysis!$B$40</c:f>
              <c:strCache>
                <c:ptCount val="1"/>
                <c:pt idx="0">
                  <c:v>Fuel Consumption (Gallon/hour)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61128535284382"/>
                  <c:y val="-4.7249033087349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Power_Analysis!$A$41:$A$44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Power_Analysis!$B$41:$B$44</c:f>
              <c:numCache>
                <c:formatCode>General</c:formatCode>
                <c:ptCount val="4"/>
                <c:pt idx="0">
                  <c:v>0.53</c:v>
                </c:pt>
                <c:pt idx="1">
                  <c:v>0.43</c:v>
                </c:pt>
                <c:pt idx="2">
                  <c:v>0.36</c:v>
                </c:pt>
                <c:pt idx="3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A-4315-8BBD-01ACCD4F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31007"/>
        <c:axId val="2093141103"/>
      </c:scatterChart>
      <c:valAx>
        <c:axId val="13632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41103"/>
        <c:crosses val="autoZero"/>
        <c:crossBetween val="midCat"/>
      </c:valAx>
      <c:valAx>
        <c:axId val="2093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3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19877</xdr:colOff>
      <xdr:row>44</xdr:row>
      <xdr:rowOff>66262</xdr:rowOff>
    </xdr:from>
    <xdr:to>
      <xdr:col>2</xdr:col>
      <xdr:colOff>1020417</xdr:colOff>
      <xdr:row>53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0C073-3F0D-4653-BCF2-4788E88DE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13" workbookViewId="0">
      <selection activeCell="C38" sqref="C38"/>
    </sheetView>
  </sheetViews>
  <sheetFormatPr defaultRowHeight="14.4"/>
  <cols>
    <col min="1" max="1" width="19.33203125" bestFit="1" customWidth="1"/>
    <col min="2" max="2" width="19.88671875" bestFit="1" customWidth="1"/>
    <col min="3" max="3" width="16" customWidth="1"/>
    <col min="4" max="4" width="12.6640625" bestFit="1" customWidth="1"/>
    <col min="5" max="5" width="13.5546875" bestFit="1" customWidth="1"/>
    <col min="6" max="6" width="13.88671875" bestFit="1" customWidth="1"/>
    <col min="7" max="7" width="12.109375" bestFit="1" customWidth="1"/>
    <col min="8" max="8" width="19.33203125" bestFit="1" customWidth="1"/>
    <col min="9" max="9" width="19.88671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>
        <v>3</v>
      </c>
      <c r="C2">
        <v>8</v>
      </c>
      <c r="D2">
        <f>$B$6*B2</f>
        <v>18</v>
      </c>
      <c r="E2">
        <f>C2*D2</f>
        <v>144</v>
      </c>
    </row>
    <row r="3" spans="1:7">
      <c r="A3" t="s">
        <v>6</v>
      </c>
      <c r="B3">
        <v>2</v>
      </c>
      <c r="C3">
        <v>8</v>
      </c>
      <c r="D3">
        <f>$B$6*B3</f>
        <v>12</v>
      </c>
      <c r="E3">
        <f t="shared" ref="E3:E5" si="0">C3*D3</f>
        <v>96</v>
      </c>
    </row>
    <row r="4" spans="1:7">
      <c r="A4" t="s">
        <v>7</v>
      </c>
      <c r="B4">
        <v>5</v>
      </c>
      <c r="C4">
        <v>8</v>
      </c>
      <c r="D4">
        <f>$B$6*B4</f>
        <v>30</v>
      </c>
      <c r="E4">
        <f t="shared" si="0"/>
        <v>240</v>
      </c>
    </row>
    <row r="5" spans="1:7">
      <c r="A5" t="s">
        <v>8</v>
      </c>
      <c r="B5">
        <v>4</v>
      </c>
      <c r="C5">
        <v>8</v>
      </c>
      <c r="D5">
        <f>$B$6*B5</f>
        <v>24</v>
      </c>
      <c r="E5">
        <f t="shared" si="0"/>
        <v>192</v>
      </c>
    </row>
    <row r="6" spans="1:7">
      <c r="A6" t="s">
        <v>9</v>
      </c>
      <c r="B6">
        <v>6</v>
      </c>
    </row>
    <row r="8" spans="1:7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</row>
    <row r="9" spans="1:7">
      <c r="A9" t="s">
        <v>17</v>
      </c>
      <c r="B9">
        <v>10</v>
      </c>
      <c r="C9">
        <f>B9*$B$12</f>
        <v>0.39370099999999997</v>
      </c>
      <c r="D9">
        <f>$D$2/$C9</f>
        <v>45.719975311213332</v>
      </c>
      <c r="E9">
        <f>$D$3/$C9</f>
        <v>30.479983540808892</v>
      </c>
      <c r="F9">
        <f>$D$4/$C9</f>
        <v>76.19995885202222</v>
      </c>
      <c r="G9">
        <f>$D$5/$C9</f>
        <v>60.959967081617783</v>
      </c>
    </row>
    <row r="10" spans="1:7">
      <c r="A10" t="s">
        <v>18</v>
      </c>
      <c r="B10">
        <v>10</v>
      </c>
      <c r="C10">
        <f t="shared" ref="C10:C11" si="1">B10*$B$12</f>
        <v>0.39370099999999997</v>
      </c>
      <c r="D10">
        <f t="shared" ref="D10:D11" si="2">$D$2/C10</f>
        <v>45.719975311213332</v>
      </c>
      <c r="E10">
        <f t="shared" ref="E10:E11" si="3">$D$3/$C10</f>
        <v>30.479983540808892</v>
      </c>
      <c r="F10">
        <f t="shared" ref="F10:F11" si="4">$D$4/$C10</f>
        <v>76.19995885202222</v>
      </c>
      <c r="G10">
        <f t="shared" ref="G10:G11" si="5">$D$5/$C10</f>
        <v>60.959967081617783</v>
      </c>
    </row>
    <row r="11" spans="1:7">
      <c r="A11" t="s">
        <v>19</v>
      </c>
      <c r="B11">
        <v>12</v>
      </c>
      <c r="C11">
        <f t="shared" si="1"/>
        <v>0.47244120000000001</v>
      </c>
      <c r="D11">
        <f t="shared" si="2"/>
        <v>38.09997942601111</v>
      </c>
      <c r="E11">
        <f t="shared" si="3"/>
        <v>25.399986284007408</v>
      </c>
      <c r="F11">
        <f t="shared" si="4"/>
        <v>63.499965710018515</v>
      </c>
      <c r="G11">
        <f t="shared" si="5"/>
        <v>50.799972568014816</v>
      </c>
    </row>
    <row r="12" spans="1:7">
      <c r="A12" t="s">
        <v>20</v>
      </c>
      <c r="B12">
        <v>3.9370099999999998E-2</v>
      </c>
      <c r="D12" s="60" t="s">
        <v>21</v>
      </c>
      <c r="E12" s="60"/>
      <c r="F12" s="60"/>
      <c r="G12" s="60"/>
    </row>
    <row r="13" spans="1:7">
      <c r="A13" t="s">
        <v>22</v>
      </c>
      <c r="B13" t="str">
        <f>A10</f>
        <v>60/M</v>
      </c>
      <c r="C13" t="s">
        <v>23</v>
      </c>
      <c r="D13">
        <f>ROUNDUP(D10, 0)</f>
        <v>46</v>
      </c>
      <c r="E13">
        <f t="shared" ref="E13:G13" si="6">ROUNDUP(E10, 0)</f>
        <v>31</v>
      </c>
      <c r="F13">
        <f t="shared" si="6"/>
        <v>77</v>
      </c>
      <c r="G13">
        <f t="shared" si="6"/>
        <v>61</v>
      </c>
    </row>
    <row r="14" spans="1:7">
      <c r="C14" t="s">
        <v>24</v>
      </c>
      <c r="D14">
        <f>D13*C2</f>
        <v>368</v>
      </c>
      <c r="E14">
        <f>E13*C3</f>
        <v>248</v>
      </c>
      <c r="F14">
        <f>F13*C4</f>
        <v>616</v>
      </c>
      <c r="G14">
        <f>G13*C5</f>
        <v>488</v>
      </c>
    </row>
    <row r="15" spans="1:7">
      <c r="C15" t="s">
        <v>25</v>
      </c>
      <c r="D15">
        <f>D14/12</f>
        <v>30.666666666666668</v>
      </c>
      <c r="E15">
        <f t="shared" ref="E15:G15" si="7">E14/12</f>
        <v>20.666666666666668</v>
      </c>
      <c r="F15">
        <f t="shared" si="7"/>
        <v>51.333333333333336</v>
      </c>
      <c r="G15">
        <f t="shared" si="7"/>
        <v>40.666666666666664</v>
      </c>
    </row>
    <row r="16" spans="1:7">
      <c r="C16" t="s">
        <v>26</v>
      </c>
      <c r="D16">
        <f>D15/16.4</f>
        <v>1.8699186991869921</v>
      </c>
      <c r="E16">
        <f>E15/16.4</f>
        <v>1.2601626016260163</v>
      </c>
      <c r="F16">
        <f>F15/16.4</f>
        <v>3.1300813008130084</v>
      </c>
      <c r="G16">
        <f>G15/16.4</f>
        <v>2.4796747967479678</v>
      </c>
    </row>
    <row r="18" spans="1:8">
      <c r="A18" t="s">
        <v>27</v>
      </c>
      <c r="B18" t="s">
        <v>28</v>
      </c>
      <c r="C18" t="s">
        <v>29</v>
      </c>
      <c r="D18" t="s">
        <v>30</v>
      </c>
      <c r="E18" t="s">
        <v>31</v>
      </c>
      <c r="F18" t="s">
        <v>24</v>
      </c>
      <c r="G18" t="s">
        <v>25</v>
      </c>
      <c r="H18" t="s">
        <v>32</v>
      </c>
    </row>
    <row r="19" spans="1:8">
      <c r="A19" t="s">
        <v>33</v>
      </c>
      <c r="B19">
        <v>12</v>
      </c>
      <c r="C19">
        <v>12</v>
      </c>
      <c r="D19">
        <f>B19/$C$10</f>
        <v>30.479983540808892</v>
      </c>
      <c r="E19">
        <f>ROUNDUP(D19, 0)</f>
        <v>31</v>
      </c>
      <c r="F19">
        <f>E19*C19</f>
        <v>372</v>
      </c>
      <c r="G19">
        <f>F19/12</f>
        <v>31</v>
      </c>
      <c r="H19">
        <f>G19/16.4</f>
        <v>1.8902439024390245</v>
      </c>
    </row>
    <row r="20" spans="1:8">
      <c r="A20" t="s">
        <v>34</v>
      </c>
      <c r="B20">
        <v>12</v>
      </c>
      <c r="C20">
        <v>12</v>
      </c>
      <c r="D20">
        <f t="shared" ref="D20:D22" si="8">B20/$C$10</f>
        <v>30.479983540808892</v>
      </c>
      <c r="E20">
        <f t="shared" ref="E20:E22" si="9">ROUNDUP(D20, 0)</f>
        <v>31</v>
      </c>
      <c r="F20">
        <f t="shared" ref="F20:F22" si="10">E20*C20</f>
        <v>372</v>
      </c>
      <c r="G20">
        <f t="shared" ref="G20:G22" si="11">F20/12</f>
        <v>31</v>
      </c>
      <c r="H20">
        <f t="shared" ref="H20:H22" si="12">G20/16.4</f>
        <v>1.8902439024390245</v>
      </c>
    </row>
    <row r="21" spans="1:8">
      <c r="A21" t="s">
        <v>35</v>
      </c>
      <c r="B21">
        <v>12</v>
      </c>
      <c r="C21">
        <v>12</v>
      </c>
      <c r="D21">
        <f t="shared" si="8"/>
        <v>30.479983540808892</v>
      </c>
      <c r="E21">
        <f t="shared" si="9"/>
        <v>31</v>
      </c>
      <c r="F21">
        <f t="shared" si="10"/>
        <v>372</v>
      </c>
      <c r="G21">
        <f t="shared" si="11"/>
        <v>31</v>
      </c>
      <c r="H21">
        <f t="shared" si="12"/>
        <v>1.8902439024390245</v>
      </c>
    </row>
    <row r="22" spans="1:8">
      <c r="A22" t="s">
        <v>36</v>
      </c>
      <c r="B22">
        <v>12</v>
      </c>
      <c r="C22">
        <v>12</v>
      </c>
      <c r="D22">
        <f t="shared" si="8"/>
        <v>30.479983540808892</v>
      </c>
      <c r="E22">
        <f t="shared" si="9"/>
        <v>31</v>
      </c>
      <c r="F22">
        <f t="shared" si="10"/>
        <v>372</v>
      </c>
      <c r="G22">
        <f t="shared" si="11"/>
        <v>31</v>
      </c>
      <c r="H22">
        <f t="shared" si="12"/>
        <v>1.8902439024390245</v>
      </c>
    </row>
    <row r="24" spans="1:8">
      <c r="A24" t="s">
        <v>37</v>
      </c>
      <c r="B24" t="s">
        <v>38</v>
      </c>
      <c r="C24" t="s">
        <v>39</v>
      </c>
      <c r="D24" t="s">
        <v>40</v>
      </c>
      <c r="F24" t="s">
        <v>41</v>
      </c>
    </row>
    <row r="25" spans="1:8">
      <c r="A25">
        <f>ROUNDUP(SUM(D16:G16), 0)</f>
        <v>9</v>
      </c>
      <c r="B25">
        <f>ROUNDUP(SUM(H19:H22), 0)</f>
        <v>8</v>
      </c>
      <c r="C25">
        <f>A25+B25</f>
        <v>17</v>
      </c>
      <c r="D25">
        <f>ROUNDUP(C25*(1.2), 0)</f>
        <v>21</v>
      </c>
      <c r="F25">
        <f>SUM(D13:G13)+SUM(E19:E22)</f>
        <v>339</v>
      </c>
    </row>
    <row r="27" spans="1:8">
      <c r="A27" t="s">
        <v>41</v>
      </c>
      <c r="B27" t="s">
        <v>42</v>
      </c>
      <c r="C27" t="s">
        <v>43</v>
      </c>
      <c r="D27" t="s">
        <v>44</v>
      </c>
    </row>
    <row r="28" spans="1:8">
      <c r="A28">
        <f>SUM(D13:G13)+SUM(E19:E22)</f>
        <v>339</v>
      </c>
      <c r="B28">
        <f>SUM(G19:G22)+SUM(D15:G15)</f>
        <v>267.33333333333337</v>
      </c>
      <c r="C28">
        <f>0.3048*B28</f>
        <v>81.483200000000011</v>
      </c>
      <c r="D28">
        <f>C28*60</f>
        <v>4888.9920000000002</v>
      </c>
    </row>
    <row r="30" spans="1:8">
      <c r="A30" t="s">
        <v>45</v>
      </c>
      <c r="B30" t="s">
        <v>46</v>
      </c>
      <c r="C30" t="s">
        <v>47</v>
      </c>
      <c r="D30" t="s">
        <v>48</v>
      </c>
    </row>
    <row r="31" spans="1:8">
      <c r="A31">
        <f>SUM(E19:E22)</f>
        <v>124</v>
      </c>
      <c r="B31">
        <f>SUM(G19:G22)</f>
        <v>124</v>
      </c>
      <c r="C31">
        <f>0.3048*B31</f>
        <v>37.795200000000001</v>
      </c>
      <c r="D31">
        <f>C31*60</f>
        <v>2267.712</v>
      </c>
    </row>
    <row r="33" spans="1:7">
      <c r="A33" t="s">
        <v>49</v>
      </c>
      <c r="B33" t="s">
        <v>50</v>
      </c>
      <c r="C33" t="s">
        <v>51</v>
      </c>
      <c r="D33" t="s">
        <v>52</v>
      </c>
      <c r="E33" t="s">
        <v>53</v>
      </c>
    </row>
    <row r="34" spans="1:7">
      <c r="A34">
        <f>E19/B28</f>
        <v>0.11596009975062342</v>
      </c>
      <c r="B34">
        <f>D15/B28</f>
        <v>0.11471321695760597</v>
      </c>
      <c r="C34">
        <f>E15/B28</f>
        <v>7.7306733167082281E-2</v>
      </c>
      <c r="D34">
        <f>F15/B28</f>
        <v>0.19201995012468825</v>
      </c>
      <c r="E34">
        <f>G15/B28</f>
        <v>0.15211970074812964</v>
      </c>
      <c r="F34">
        <f>SUM(B34:E34)</f>
        <v>0.53615960099750615</v>
      </c>
      <c r="G34" t="s">
        <v>54</v>
      </c>
    </row>
    <row r="35" spans="1:7">
      <c r="F35">
        <f>4*A34</f>
        <v>0.46384039900249369</v>
      </c>
      <c r="G35" t="s">
        <v>55</v>
      </c>
    </row>
  </sheetData>
  <mergeCells count="1">
    <mergeCell ref="D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1975-C4B4-4BE4-93BE-ADE7AA5C8E1A}">
  <dimension ref="A1:H14"/>
  <sheetViews>
    <sheetView tabSelected="1" workbookViewId="0">
      <selection activeCell="K6" sqref="K6"/>
    </sheetView>
  </sheetViews>
  <sheetFormatPr defaultRowHeight="14.4"/>
  <cols>
    <col min="1" max="1" width="20.33203125" bestFit="1" customWidth="1"/>
    <col min="2" max="2" width="6" bestFit="1" customWidth="1"/>
    <col min="3" max="3" width="10.6640625" bestFit="1" customWidth="1"/>
    <col min="4" max="4" width="8" bestFit="1" customWidth="1"/>
    <col min="5" max="5" width="7.5546875" bestFit="1" customWidth="1"/>
    <col min="6" max="6" width="15.44140625" bestFit="1" customWidth="1"/>
    <col min="7" max="7" width="13.88671875" bestFit="1" customWidth="1"/>
  </cols>
  <sheetData>
    <row r="1" spans="1:8">
      <c r="A1" t="s">
        <v>150</v>
      </c>
      <c r="B1" s="58" t="s">
        <v>151</v>
      </c>
      <c r="C1" t="s">
        <v>142</v>
      </c>
      <c r="D1" t="s">
        <v>141</v>
      </c>
      <c r="E1" t="s">
        <v>143</v>
      </c>
      <c r="F1" t="s">
        <v>145</v>
      </c>
      <c r="G1" t="s">
        <v>159</v>
      </c>
    </row>
    <row r="2" spans="1:8">
      <c r="A2" t="s">
        <v>152</v>
      </c>
      <c r="B2">
        <v>12</v>
      </c>
      <c r="C2">
        <f>ROUNDUP(B2/$B$5, 0)</f>
        <v>21</v>
      </c>
      <c r="D2">
        <f>C2*$B$6</f>
        <v>399</v>
      </c>
      <c r="E2">
        <f>ROUNDUP(D2*$B$7, 0)</f>
        <v>20</v>
      </c>
      <c r="F2">
        <f>ROUNDUP(E2/($B$9/$B$10), 0)</f>
        <v>2</v>
      </c>
      <c r="G2">
        <f>C2/$B$11</f>
        <v>2.1</v>
      </c>
      <c r="H2">
        <f>(G2-2)*B11</f>
        <v>1.0000000000000009</v>
      </c>
    </row>
    <row r="3" spans="1:8">
      <c r="A3" t="s">
        <v>153</v>
      </c>
      <c r="C3">
        <f>C2*4</f>
        <v>84</v>
      </c>
      <c r="D3">
        <f t="shared" ref="D3:F3" si="0">D2*4</f>
        <v>1596</v>
      </c>
      <c r="E3">
        <f t="shared" si="0"/>
        <v>80</v>
      </c>
      <c r="F3">
        <f t="shared" si="0"/>
        <v>8</v>
      </c>
      <c r="G3">
        <f>C3/$B$11</f>
        <v>8.4</v>
      </c>
    </row>
    <row r="4" spans="1:8">
      <c r="A4" t="s">
        <v>138</v>
      </c>
      <c r="B4">
        <v>6</v>
      </c>
      <c r="D4">
        <f>D3/Signs_AMP_Analysis!G9</f>
        <v>0.46020761245674741</v>
      </c>
    </row>
    <row r="5" spans="1:8">
      <c r="A5" t="s">
        <v>139</v>
      </c>
      <c r="B5">
        <v>0.59</v>
      </c>
    </row>
    <row r="6" spans="1:8">
      <c r="A6" t="s">
        <v>140</v>
      </c>
      <c r="B6">
        <v>19</v>
      </c>
    </row>
    <row r="7" spans="1:8">
      <c r="A7" t="s">
        <v>144</v>
      </c>
      <c r="B7">
        <v>0.05</v>
      </c>
    </row>
    <row r="8" spans="1:8">
      <c r="A8" t="s">
        <v>149</v>
      </c>
      <c r="B8">
        <f>B6*B7</f>
        <v>0.95000000000000007</v>
      </c>
    </row>
    <row r="9" spans="1:8">
      <c r="A9" t="s">
        <v>146</v>
      </c>
      <c r="B9">
        <v>50</v>
      </c>
    </row>
    <row r="10" spans="1:8">
      <c r="A10" t="s">
        <v>147</v>
      </c>
      <c r="B10">
        <v>5</v>
      </c>
    </row>
    <row r="11" spans="1:8">
      <c r="A11" t="s">
        <v>148</v>
      </c>
      <c r="B11">
        <f>EVEN((B9/B10)/B8-2)</f>
        <v>10</v>
      </c>
    </row>
    <row r="12" spans="1:8">
      <c r="A12" t="s">
        <v>158</v>
      </c>
      <c r="B12">
        <f>B11*B6</f>
        <v>190</v>
      </c>
    </row>
    <row r="13" spans="1:8">
      <c r="A13" t="s">
        <v>168</v>
      </c>
      <c r="B13">
        <f>B12*B7</f>
        <v>9.5</v>
      </c>
    </row>
    <row r="14" spans="1:8">
      <c r="A14" t="s">
        <v>169</v>
      </c>
      <c r="B14">
        <f>B13+B8</f>
        <v>10.45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0468-89A0-4F75-B117-BBB808262779}">
  <dimension ref="A1:L16"/>
  <sheetViews>
    <sheetView workbookViewId="0">
      <selection activeCell="K14" sqref="K14"/>
    </sheetView>
  </sheetViews>
  <sheetFormatPr defaultRowHeight="14.4"/>
  <cols>
    <col min="1" max="1" width="20.33203125" bestFit="1" customWidth="1"/>
    <col min="2" max="2" width="6.44140625" bestFit="1" customWidth="1"/>
    <col min="3" max="3" width="9.77734375" bestFit="1" customWidth="1"/>
    <col min="5" max="5" width="13.5546875" bestFit="1" customWidth="1"/>
    <col min="6" max="6" width="14.44140625" bestFit="1" customWidth="1"/>
    <col min="7" max="7" width="14.44140625" customWidth="1"/>
    <col min="9" max="9" width="15.44140625" bestFit="1" customWidth="1"/>
    <col min="10" max="10" width="13.88671875" bestFit="1" customWidth="1"/>
    <col min="11" max="11" width="21.77734375" bestFit="1" customWidth="1"/>
  </cols>
  <sheetData>
    <row r="1" spans="1:12">
      <c r="A1" t="s">
        <v>135</v>
      </c>
      <c r="B1" t="s">
        <v>160</v>
      </c>
      <c r="C1" t="s">
        <v>137</v>
      </c>
      <c r="D1" s="58" t="s">
        <v>136</v>
      </c>
      <c r="E1" t="s">
        <v>142</v>
      </c>
      <c r="F1" t="s">
        <v>141</v>
      </c>
      <c r="G1" t="s">
        <v>172</v>
      </c>
      <c r="H1" t="s">
        <v>143</v>
      </c>
      <c r="I1" t="s">
        <v>145</v>
      </c>
      <c r="J1" t="s">
        <v>159</v>
      </c>
      <c r="K1" t="s">
        <v>167</v>
      </c>
    </row>
    <row r="2" spans="1:12">
      <c r="A2" t="s">
        <v>131</v>
      </c>
      <c r="B2" t="s">
        <v>163</v>
      </c>
      <c r="C2">
        <v>2</v>
      </c>
      <c r="D2">
        <f>C2*$B$6</f>
        <v>12</v>
      </c>
      <c r="E2">
        <f>ROUNDUP(D2/$B$7, 0)</f>
        <v>21</v>
      </c>
      <c r="F2">
        <f>E2*$B$8</f>
        <v>273</v>
      </c>
      <c r="G2">
        <f>F2/$G$9</f>
        <v>7.8719723183391002E-2</v>
      </c>
      <c r="H2">
        <f>ROUNDUP(F2*$B$9, 0)</f>
        <v>14</v>
      </c>
      <c r="I2">
        <f>ROUNDUP(H2/($B$11/$B$12), 0)</f>
        <v>2</v>
      </c>
      <c r="J2">
        <f>E2/$B$13</f>
        <v>1.4</v>
      </c>
      <c r="K2" s="59">
        <f>(J2-1)*B13</f>
        <v>5.9999999999999982</v>
      </c>
      <c r="L2" s="59">
        <f>ROUNDDOWN(J2, 0)</f>
        <v>1</v>
      </c>
    </row>
    <row r="3" spans="1:12">
      <c r="A3" t="s">
        <v>132</v>
      </c>
      <c r="B3" t="s">
        <v>164</v>
      </c>
      <c r="C3">
        <v>3</v>
      </c>
      <c r="D3">
        <f>C3*$B$6</f>
        <v>18</v>
      </c>
      <c r="E3">
        <f>ROUNDUP(D3/$B$7, 0)</f>
        <v>31</v>
      </c>
      <c r="F3">
        <f>E3*$B$8</f>
        <v>403</v>
      </c>
      <c r="G3">
        <f t="shared" ref="G3:G5" si="0">F3/$G$9</f>
        <v>0.11620530565167243</v>
      </c>
      <c r="H3">
        <f>ROUNDUP(F3*$B$9, 0)</f>
        <v>21</v>
      </c>
      <c r="I3">
        <f>ROUNDUP(H3/($B$11/$B$12), 0)</f>
        <v>3</v>
      </c>
      <c r="J3">
        <f>E3/$B$13</f>
        <v>2.0666666666666669</v>
      </c>
      <c r="K3" s="59">
        <f>(J3-2)*B13</f>
        <v>1.0000000000000031</v>
      </c>
      <c r="L3" s="59">
        <f t="shared" ref="L3:L5" si="1">ROUNDDOWN(J3, 0)</f>
        <v>2</v>
      </c>
    </row>
    <row r="4" spans="1:12">
      <c r="A4" t="s">
        <v>133</v>
      </c>
      <c r="B4" t="s">
        <v>162</v>
      </c>
      <c r="C4">
        <v>4</v>
      </c>
      <c r="D4">
        <f>C4*$B$6</f>
        <v>24</v>
      </c>
      <c r="E4">
        <f>ROUNDUP(D4/$B$7, 0)</f>
        <v>41</v>
      </c>
      <c r="F4">
        <f>E4*$B$8</f>
        <v>533</v>
      </c>
      <c r="G4">
        <f t="shared" si="0"/>
        <v>0.15369088811995385</v>
      </c>
      <c r="H4">
        <f>ROUNDUP(F4*$B$9, 0)</f>
        <v>27</v>
      </c>
      <c r="I4">
        <f>ROUNDUP(H4/($B$11/$B$12), 0)</f>
        <v>3</v>
      </c>
      <c r="J4">
        <f>E4/$B$13</f>
        <v>2.7333333333333334</v>
      </c>
      <c r="K4" s="59">
        <f>(J4-2)*B13</f>
        <v>11</v>
      </c>
      <c r="L4" s="59">
        <f t="shared" si="1"/>
        <v>2</v>
      </c>
    </row>
    <row r="5" spans="1:12">
      <c r="A5" t="s">
        <v>134</v>
      </c>
      <c r="B5" t="s">
        <v>161</v>
      </c>
      <c r="C5">
        <v>5</v>
      </c>
      <c r="D5">
        <f>C5*$B$6</f>
        <v>30</v>
      </c>
      <c r="E5">
        <f>ROUNDUP(D5/$B$7, 0)</f>
        <v>51</v>
      </c>
      <c r="F5">
        <f>E5*$B$8</f>
        <v>663</v>
      </c>
      <c r="G5">
        <f t="shared" si="0"/>
        <v>0.19117647058823528</v>
      </c>
      <c r="H5">
        <f>ROUNDUP(F5*$B$9, 0)</f>
        <v>34</v>
      </c>
      <c r="I5">
        <f>ROUNDUP(H5/($B$11/$B$12), 0)</f>
        <v>4</v>
      </c>
      <c r="J5">
        <f>E5/$B$13</f>
        <v>3.4</v>
      </c>
      <c r="K5" s="59">
        <f>(J5-3)*B13</f>
        <v>5.9999999999999982</v>
      </c>
      <c r="L5" s="59">
        <f t="shared" si="1"/>
        <v>3</v>
      </c>
    </row>
    <row r="6" spans="1:12">
      <c r="A6" t="s">
        <v>138</v>
      </c>
      <c r="B6">
        <v>6</v>
      </c>
    </row>
    <row r="7" spans="1:12">
      <c r="A7" t="s">
        <v>139</v>
      </c>
      <c r="B7">
        <f>0.59</f>
        <v>0.59</v>
      </c>
      <c r="E7" t="s">
        <v>171</v>
      </c>
      <c r="F7">
        <f>SUM(F2:F5)</f>
        <v>1872</v>
      </c>
    </row>
    <row r="8" spans="1:12">
      <c r="A8" t="s">
        <v>140</v>
      </c>
      <c r="B8">
        <v>13</v>
      </c>
    </row>
    <row r="9" spans="1:12">
      <c r="A9" t="s">
        <v>144</v>
      </c>
      <c r="B9">
        <v>0.05</v>
      </c>
      <c r="F9" t="s">
        <v>170</v>
      </c>
      <c r="G9">
        <f>F7+Totems_AMP_Analysis!D3</f>
        <v>3468</v>
      </c>
    </row>
    <row r="10" spans="1:12">
      <c r="A10" t="s">
        <v>149</v>
      </c>
      <c r="B10">
        <f>B8*B9</f>
        <v>0.65</v>
      </c>
      <c r="E10" t="s">
        <v>173</v>
      </c>
      <c r="F10" t="s">
        <v>174</v>
      </c>
      <c r="G10" t="s">
        <v>175</v>
      </c>
    </row>
    <row r="11" spans="1:12">
      <c r="A11" t="s">
        <v>146</v>
      </c>
      <c r="B11">
        <v>50</v>
      </c>
      <c r="E11">
        <f>SUM(E2:E5)</f>
        <v>144</v>
      </c>
      <c r="F11">
        <f>Totems_AMP_Analysis!C3</f>
        <v>84</v>
      </c>
      <c r="G11">
        <f>SUM(E11:F11)</f>
        <v>228</v>
      </c>
    </row>
    <row r="12" spans="1:12">
      <c r="A12" t="s">
        <v>147</v>
      </c>
      <c r="B12">
        <v>5</v>
      </c>
      <c r="F12" t="s">
        <v>131</v>
      </c>
      <c r="G12">
        <f>E2/$G$11</f>
        <v>9.2105263157894732E-2</v>
      </c>
    </row>
    <row r="13" spans="1:12">
      <c r="A13" t="s">
        <v>148</v>
      </c>
      <c r="B13">
        <v>15</v>
      </c>
      <c r="F13" t="s">
        <v>132</v>
      </c>
      <c r="G13">
        <f t="shared" ref="G13:G15" si="2">E3/$G$11</f>
        <v>0.13596491228070176</v>
      </c>
    </row>
    <row r="14" spans="1:12">
      <c r="A14" t="s">
        <v>158</v>
      </c>
      <c r="B14">
        <f>B13*B8</f>
        <v>195</v>
      </c>
      <c r="F14" t="s">
        <v>133</v>
      </c>
      <c r="G14">
        <f t="shared" si="2"/>
        <v>0.17982456140350878</v>
      </c>
    </row>
    <row r="15" spans="1:12">
      <c r="A15" t="s">
        <v>165</v>
      </c>
      <c r="B15">
        <f>B14*B9</f>
        <v>9.75</v>
      </c>
      <c r="F15" t="s">
        <v>134</v>
      </c>
      <c r="G15">
        <f t="shared" si="2"/>
        <v>0.22368421052631579</v>
      </c>
    </row>
    <row r="16" spans="1:12">
      <c r="A16" t="s">
        <v>166</v>
      </c>
      <c r="B16">
        <f>((B11/B12)-B15)/B10</f>
        <v>0.38461538461538458</v>
      </c>
      <c r="F16" t="s">
        <v>176</v>
      </c>
      <c r="G16">
        <f>F11/G11</f>
        <v>0.36842105263157893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DBA9-D20B-4F7A-BFB5-F6DA856ED3EF}">
  <dimension ref="A1:B4"/>
  <sheetViews>
    <sheetView workbookViewId="0">
      <selection activeCell="B2" sqref="B2"/>
    </sheetView>
  </sheetViews>
  <sheetFormatPr defaultRowHeight="14.4"/>
  <cols>
    <col min="1" max="1" width="13.109375" bestFit="1" customWidth="1"/>
  </cols>
  <sheetData>
    <row r="1" spans="1:2">
      <c r="B1" t="s">
        <v>157</v>
      </c>
    </row>
    <row r="2" spans="1:2">
      <c r="A2" t="s">
        <v>155</v>
      </c>
      <c r="B2">
        <f>Totems_AMP_Analysis!F3</f>
        <v>8</v>
      </c>
    </row>
    <row r="3" spans="1:2">
      <c r="A3" t="s">
        <v>156</v>
      </c>
      <c r="B3">
        <f>SUM(Signs_AMP_Analysis!I2:'Signs_AMP_Analysis'!I5)</f>
        <v>12</v>
      </c>
    </row>
    <row r="4" spans="1:2">
      <c r="A4" t="s">
        <v>154</v>
      </c>
      <c r="B4">
        <f>SUM(B2:B3)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C89F-1469-40DF-B721-E2C29A8A918B}">
  <dimension ref="A1:I163"/>
  <sheetViews>
    <sheetView topLeftCell="A12" zoomScale="90" zoomScaleNormal="115" workbookViewId="0">
      <selection activeCell="J22" sqref="J22"/>
    </sheetView>
  </sheetViews>
  <sheetFormatPr defaultColWidth="14.44140625" defaultRowHeight="15" customHeight="1"/>
  <cols>
    <col min="1" max="1" width="24.6640625" style="13" customWidth="1"/>
    <col min="2" max="2" width="28.44140625" style="2" bestFit="1" customWidth="1"/>
    <col min="3" max="3" width="22" style="2" customWidth="1"/>
    <col min="4" max="4" width="22.6640625" style="2" customWidth="1"/>
    <col min="5" max="5" width="25.33203125" style="2" customWidth="1"/>
    <col min="6" max="6" width="28.33203125" style="2" customWidth="1"/>
    <col min="7" max="7" width="29.6640625" style="2" customWidth="1"/>
    <col min="8" max="8" width="26.6640625" style="2" customWidth="1"/>
    <col min="9" max="9" width="25.44140625" style="2" customWidth="1"/>
    <col min="10" max="10" width="17.6640625" style="2" customWidth="1"/>
    <col min="11" max="11" width="23.109375" style="2" customWidth="1"/>
    <col min="12" max="12" width="18.44140625" style="2" customWidth="1"/>
    <col min="13" max="13" width="21.5546875" style="2" customWidth="1"/>
    <col min="14" max="14" width="17.5546875" style="2" customWidth="1"/>
    <col min="15" max="15" width="19.44140625" style="2" customWidth="1"/>
    <col min="16" max="26" width="8.6640625" style="2" customWidth="1"/>
    <col min="27" max="16384" width="14.44140625" style="2"/>
  </cols>
  <sheetData>
    <row r="1" spans="1:8" ht="22.95" customHeight="1">
      <c r="A1" s="61" t="s">
        <v>56</v>
      </c>
      <c r="B1" s="61"/>
      <c r="C1" s="61"/>
      <c r="D1" s="61"/>
      <c r="E1" s="61"/>
      <c r="F1" s="61"/>
      <c r="G1" s="61"/>
      <c r="H1" s="1"/>
    </row>
    <row r="2" spans="1:8" ht="15" customHeight="1">
      <c r="A2" s="3" t="s">
        <v>57</v>
      </c>
      <c r="B2" s="4" t="s">
        <v>58</v>
      </c>
      <c r="C2" s="5"/>
      <c r="D2" s="5"/>
      <c r="E2" s="5"/>
      <c r="F2" s="5"/>
      <c r="G2" s="5"/>
    </row>
    <row r="3" spans="1:8" ht="15" customHeight="1">
      <c r="A3" s="6" t="s">
        <v>59</v>
      </c>
      <c r="B3" s="7">
        <v>43216</v>
      </c>
    </row>
    <row r="4" spans="1:8" ht="15" customHeight="1" thickBot="1">
      <c r="A4" s="6"/>
    </row>
    <row r="5" spans="1:8" ht="31.2" customHeight="1" thickTop="1" thickBot="1">
      <c r="A5" s="8" t="s">
        <v>60</v>
      </c>
      <c r="B5" s="9" t="s">
        <v>23</v>
      </c>
    </row>
    <row r="6" spans="1:8" ht="15" customHeight="1" thickTop="1" thickBot="1">
      <c r="A6" s="10" t="s">
        <v>61</v>
      </c>
      <c r="B6" s="11">
        <v>5</v>
      </c>
      <c r="C6" s="12" t="s">
        <v>62</v>
      </c>
    </row>
    <row r="7" spans="1:8" ht="36.450000000000003" customHeight="1" thickTop="1" thickBot="1">
      <c r="A7" s="10" t="s">
        <v>63</v>
      </c>
      <c r="B7" s="11">
        <v>0.05</v>
      </c>
      <c r="C7" s="12" t="s">
        <v>64</v>
      </c>
    </row>
    <row r="8" spans="1:8" ht="15" customHeight="1" thickTop="1" thickBot="1">
      <c r="A8" s="8" t="s">
        <v>65</v>
      </c>
      <c r="B8" s="11">
        <v>60</v>
      </c>
    </row>
    <row r="9" spans="1:8" ht="15" customHeight="1" thickTop="1" thickBot="1">
      <c r="B9" s="14"/>
    </row>
    <row r="10" spans="1:8" ht="44.7" customHeight="1" thickTop="1" thickBot="1">
      <c r="A10" s="10" t="s">
        <v>66</v>
      </c>
      <c r="B10" s="11">
        <v>0.3</v>
      </c>
      <c r="C10" s="62" t="s">
        <v>67</v>
      </c>
      <c r="D10" s="63"/>
    </row>
    <row r="11" spans="1:8" ht="30" thickTop="1" thickBot="1">
      <c r="A11" s="10" t="s">
        <v>68</v>
      </c>
      <c r="B11" s="11">
        <v>1</v>
      </c>
      <c r="C11" s="15"/>
    </row>
    <row r="12" spans="1:8" thickTop="1">
      <c r="A12" s="6"/>
      <c r="C12" s="15"/>
    </row>
    <row r="13" spans="1:8" ht="14.4">
      <c r="B13" s="16"/>
      <c r="C13" s="15"/>
    </row>
    <row r="14" spans="1:8" s="13" customFormat="1" ht="33.450000000000003" customHeight="1">
      <c r="A14" s="17" t="s">
        <v>69</v>
      </c>
      <c r="B14" s="18" t="s">
        <v>70</v>
      </c>
      <c r="C14" s="18" t="s">
        <v>71</v>
      </c>
      <c r="D14" s="18" t="s">
        <v>72</v>
      </c>
      <c r="E14" s="18" t="s">
        <v>73</v>
      </c>
      <c r="F14" s="18" t="s">
        <v>74</v>
      </c>
      <c r="G14" s="18" t="s">
        <v>75</v>
      </c>
      <c r="H14" s="18" t="s">
        <v>76</v>
      </c>
    </row>
    <row r="15" spans="1:8" ht="14.4">
      <c r="A15" s="19" t="s">
        <v>77</v>
      </c>
      <c r="B15" s="20">
        <f>LED_BREAKDOWN!C28</f>
        <v>81.483200000000011</v>
      </c>
      <c r="C15" s="20">
        <f>B15*B7*B8</f>
        <v>244.44960000000006</v>
      </c>
      <c r="D15" s="21">
        <f>C15*B6</f>
        <v>1222.2480000000003</v>
      </c>
      <c r="E15" s="20">
        <f>D15*B10</f>
        <v>366.67440000000005</v>
      </c>
      <c r="F15" s="22">
        <f>E15*B11</f>
        <v>366.67440000000005</v>
      </c>
      <c r="G15" s="22">
        <f>B15*B7*B8*B10*B11</f>
        <v>73.334880000000013</v>
      </c>
      <c r="H15" s="22">
        <f>G15*B6</f>
        <v>366.67440000000005</v>
      </c>
    </row>
    <row r="16" spans="1:8" thickBot="1">
      <c r="A16" s="23" t="s">
        <v>78</v>
      </c>
      <c r="B16" s="24">
        <v>0.5</v>
      </c>
      <c r="C16" s="24">
        <f>B16*B7*B8</f>
        <v>1.5</v>
      </c>
      <c r="D16" s="25">
        <f>C16*B6</f>
        <v>7.5</v>
      </c>
      <c r="E16" s="26">
        <f>D16*B10</f>
        <v>2.25</v>
      </c>
      <c r="F16" s="27">
        <f>E16*B11</f>
        <v>2.25</v>
      </c>
      <c r="G16" s="27">
        <f>B16*B7*B8*B10*B11</f>
        <v>0.44999999999999996</v>
      </c>
      <c r="H16" s="27">
        <f>G16*B6</f>
        <v>2.25</v>
      </c>
    </row>
    <row r="17" spans="1:9" ht="15.6" thickTop="1" thickBot="1">
      <c r="A17" s="28" t="s">
        <v>79</v>
      </c>
      <c r="B17" s="29">
        <f>B15+B16</f>
        <v>81.983200000000011</v>
      </c>
      <c r="C17" s="29">
        <f t="shared" ref="C17:H17" si="0">C15+C16</f>
        <v>245.94960000000006</v>
      </c>
      <c r="D17" s="29">
        <f t="shared" si="0"/>
        <v>1229.7480000000003</v>
      </c>
      <c r="E17" s="29">
        <f t="shared" si="0"/>
        <v>368.92440000000005</v>
      </c>
      <c r="F17" s="29">
        <f t="shared" si="0"/>
        <v>368.92440000000005</v>
      </c>
      <c r="G17" s="29">
        <f t="shared" si="0"/>
        <v>73.784880000000015</v>
      </c>
      <c r="H17" s="29">
        <f t="shared" si="0"/>
        <v>368.92440000000005</v>
      </c>
    </row>
    <row r="18" spans="1:9" thickTop="1">
      <c r="A18" s="30"/>
      <c r="B18" s="15"/>
      <c r="C18" s="15"/>
      <c r="D18" s="15"/>
      <c r="E18" s="15"/>
      <c r="F18" s="15"/>
    </row>
    <row r="19" spans="1:9" ht="43.2">
      <c r="A19" s="17" t="s">
        <v>80</v>
      </c>
      <c r="B19" s="18" t="s">
        <v>70</v>
      </c>
      <c r="C19" s="18" t="s">
        <v>71</v>
      </c>
      <c r="D19" s="18" t="s">
        <v>72</v>
      </c>
      <c r="E19" s="18" t="s">
        <v>73</v>
      </c>
      <c r="F19" s="18" t="s">
        <v>74</v>
      </c>
      <c r="G19" s="18" t="s">
        <v>75</v>
      </c>
      <c r="H19" s="18" t="s">
        <v>76</v>
      </c>
    </row>
    <row r="20" spans="1:9" ht="14.4">
      <c r="A20" s="19" t="s">
        <v>81</v>
      </c>
      <c r="B20" s="20">
        <f>LED_BREAKDOWN!C31</f>
        <v>37.795200000000001</v>
      </c>
      <c r="C20" s="20">
        <f>B20*B7*B8</f>
        <v>113.38560000000001</v>
      </c>
      <c r="D20" s="21">
        <f>C20*B6</f>
        <v>566.92800000000011</v>
      </c>
      <c r="E20" s="20">
        <f>D20*B10</f>
        <v>170.07840000000002</v>
      </c>
      <c r="F20" s="22">
        <f>E20*B11</f>
        <v>170.07840000000002</v>
      </c>
      <c r="G20" s="22">
        <f>B20*B7*B8*B10*B11</f>
        <v>34.015680000000003</v>
      </c>
      <c r="H20" s="22">
        <f>G20*B6</f>
        <v>170.07840000000002</v>
      </c>
    </row>
    <row r="21" spans="1:9" thickBot="1">
      <c r="A21" s="23" t="s">
        <v>78</v>
      </c>
      <c r="B21" s="24">
        <v>0.5</v>
      </c>
      <c r="C21" s="24">
        <f>B21*B12*B13</f>
        <v>0</v>
      </c>
      <c r="D21" s="25">
        <f>C21*B11</f>
        <v>0</v>
      </c>
      <c r="E21" s="26">
        <f>D21*B15</f>
        <v>0</v>
      </c>
      <c r="F21" s="27">
        <f>E21*B16</f>
        <v>0</v>
      </c>
      <c r="G21" s="27">
        <f>B21*B12*B13*B15*B16</f>
        <v>0</v>
      </c>
      <c r="H21" s="27">
        <f>G21*B11</f>
        <v>0</v>
      </c>
    </row>
    <row r="22" spans="1:9" ht="15.6" thickTop="1" thickBot="1">
      <c r="A22" s="28" t="s">
        <v>79</v>
      </c>
      <c r="B22" s="29">
        <f>B20+B21</f>
        <v>38.295200000000001</v>
      </c>
      <c r="C22" s="29">
        <f t="shared" ref="C22:H22" si="1">C20+C21</f>
        <v>113.38560000000001</v>
      </c>
      <c r="D22" s="29">
        <f t="shared" si="1"/>
        <v>566.92800000000011</v>
      </c>
      <c r="E22" s="29">
        <f t="shared" si="1"/>
        <v>170.07840000000002</v>
      </c>
      <c r="F22" s="29">
        <f t="shared" si="1"/>
        <v>170.07840000000002</v>
      </c>
      <c r="G22" s="29">
        <f t="shared" si="1"/>
        <v>34.015680000000003</v>
      </c>
      <c r="H22" s="29">
        <f t="shared" si="1"/>
        <v>170.07840000000002</v>
      </c>
    </row>
    <row r="23" spans="1:9" ht="15.6" thickTop="1" thickBot="1">
      <c r="A23" s="30"/>
      <c r="B23" s="15"/>
      <c r="C23" s="15"/>
      <c r="D23" s="15"/>
      <c r="E23" s="15"/>
      <c r="F23" s="15"/>
    </row>
    <row r="24" spans="1:9" ht="30" thickTop="1" thickBot="1">
      <c r="A24" s="10" t="s">
        <v>82</v>
      </c>
      <c r="B24" s="11"/>
      <c r="C24" s="15"/>
      <c r="D24" s="12" t="s">
        <v>83</v>
      </c>
      <c r="E24" t="s">
        <v>5</v>
      </c>
      <c r="F24" t="s">
        <v>6</v>
      </c>
      <c r="G24" t="s">
        <v>7</v>
      </c>
      <c r="H24" t="s">
        <v>8</v>
      </c>
      <c r="I24" s="12" t="s">
        <v>84</v>
      </c>
    </row>
    <row r="25" spans="1:9" ht="30" thickTop="1" thickBot="1">
      <c r="A25" s="10" t="s">
        <v>85</v>
      </c>
      <c r="B25" s="31">
        <v>0.9</v>
      </c>
      <c r="C25" s="32" t="s">
        <v>86</v>
      </c>
      <c r="D25" s="32">
        <f>$C$17*LED_BREAKDOWN!A34</f>
        <v>28.520340149625937</v>
      </c>
      <c r="E25" s="32">
        <f>$C$17*LED_BREAKDOWN!B34</f>
        <v>28.213669825436412</v>
      </c>
      <c r="F25" s="32">
        <f>$C$17*LED_BREAKDOWN!C34</f>
        <v>19.013560099750624</v>
      </c>
      <c r="G25" s="32">
        <f>$C$17*LED_BREAKDOWN!D34</f>
        <v>47.227229925187039</v>
      </c>
      <c r="H25" s="32">
        <f>$C$17*LED_BREAKDOWN!E34</f>
        <v>37.413779551122197</v>
      </c>
      <c r="I25" s="32">
        <f>$C$17*LED_BREAKDOWN!F34</f>
        <v>131.86823940149628</v>
      </c>
    </row>
    <row r="26" spans="1:9" ht="15.6" thickTop="1" thickBot="1">
      <c r="A26" s="33"/>
      <c r="B26" s="15"/>
      <c r="C26" s="32" t="s">
        <v>87</v>
      </c>
      <c r="D26" s="15">
        <f>$D$17*LED_BREAKDOWN!A34</f>
        <v>142.60170074812967</v>
      </c>
      <c r="E26" s="15">
        <f>$D$17*LED_BREAKDOWN!B34</f>
        <v>141.06834912718207</v>
      </c>
      <c r="F26" s="15">
        <f>$D$17*LED_BREAKDOWN!C34</f>
        <v>95.067800498753115</v>
      </c>
      <c r="G26" s="15">
        <f>$D$17*LED_BREAKDOWN!D34</f>
        <v>236.13614962593519</v>
      </c>
      <c r="H26" s="15">
        <f>$D$17*LED_BREAKDOWN!E34</f>
        <v>187.06889775561098</v>
      </c>
      <c r="I26" s="15">
        <f>$D$17*LED_BREAKDOWN!F34</f>
        <v>659.34119700748136</v>
      </c>
    </row>
    <row r="27" spans="1:9" ht="30" thickTop="1" thickBot="1">
      <c r="A27" s="34" t="s">
        <v>88</v>
      </c>
      <c r="B27" s="31">
        <v>0.5</v>
      </c>
      <c r="C27" s="32" t="s">
        <v>89</v>
      </c>
      <c r="D27" s="15">
        <f>$C$17*$B$10*LED_BREAKDOWN!A34</f>
        <v>8.5561020448877816</v>
      </c>
      <c r="E27" s="15">
        <f>$C$17*$B$10*LED_BREAKDOWN!B34</f>
        <v>8.4641009476309232</v>
      </c>
      <c r="F27" s="15">
        <f>$C$17*$B$10*LED_BREAKDOWN!C34</f>
        <v>5.7040680299251871</v>
      </c>
      <c r="G27" s="15">
        <f>$C$17*$B$10*LED_BREAKDOWN!D34</f>
        <v>14.16816897755611</v>
      </c>
      <c r="H27" s="15">
        <f>$C$17*$B$10*LED_BREAKDOWN!E34</f>
        <v>11.224133865336658</v>
      </c>
      <c r="I27" s="15">
        <f>$C$17*$B$10*LED_BREAKDOWN!F34</f>
        <v>39.560471820448882</v>
      </c>
    </row>
    <row r="28" spans="1:9" ht="30" thickTop="1" thickBot="1">
      <c r="A28" s="34" t="s">
        <v>90</v>
      </c>
      <c r="B28" s="31">
        <v>1</v>
      </c>
      <c r="C28" s="32" t="s">
        <v>91</v>
      </c>
    </row>
    <row r="29" spans="1:9" thickTop="1">
      <c r="A29" s="30"/>
      <c r="C29" s="15"/>
    </row>
    <row r="30" spans="1:9" s="13" customFormat="1" ht="43.8" thickBot="1">
      <c r="A30" s="35" t="s">
        <v>92</v>
      </c>
      <c r="B30" s="36" t="s">
        <v>93</v>
      </c>
      <c r="C30" s="36" t="s">
        <v>94</v>
      </c>
      <c r="D30" s="36" t="s">
        <v>95</v>
      </c>
    </row>
    <row r="31" spans="1:9" ht="15.6" thickTop="1" thickBot="1">
      <c r="A31" s="37" t="s">
        <v>79</v>
      </c>
      <c r="B31" s="38">
        <f>(D17+(D17*B27))+(D17*(1/(100-(B25*100))))*B28</f>
        <v>1967.5968000000003</v>
      </c>
      <c r="C31" s="38">
        <f>(F17+(F17*B27))+(F17*(1/(100-(B25*100))))*B28</f>
        <v>590.27904000000001</v>
      </c>
      <c r="D31" s="38">
        <f>(F22+(F22*B27))+(F22*(1/(100-(B25*100))))*B28</f>
        <v>272.12544000000003</v>
      </c>
    </row>
    <row r="32" spans="1:9" thickBot="1">
      <c r="A32" s="39" t="s">
        <v>96</v>
      </c>
      <c r="B32" s="40">
        <f>B31/D35</f>
        <v>0.51778863157894739</v>
      </c>
      <c r="C32" s="41">
        <f>C31/D35</f>
        <v>0.1553365894736842</v>
      </c>
      <c r="D32" s="41">
        <f>D31/D35</f>
        <v>7.1611957894736844E-2</v>
      </c>
    </row>
    <row r="33" spans="1:5" thickBot="1">
      <c r="A33" s="42"/>
      <c r="B33" s="12"/>
    </row>
    <row r="34" spans="1:5" ht="15.6" thickTop="1" thickBot="1">
      <c r="A34" s="34" t="s">
        <v>97</v>
      </c>
      <c r="B34" s="43" t="s">
        <v>98</v>
      </c>
    </row>
    <row r="35" spans="1:5" ht="30" thickTop="1" thickBot="1">
      <c r="A35" s="34" t="s">
        <v>99</v>
      </c>
      <c r="B35" s="44">
        <v>31</v>
      </c>
      <c r="C35" s="12" t="s">
        <v>100</v>
      </c>
      <c r="D35" s="45">
        <v>3800</v>
      </c>
      <c r="E35" s="12" t="s">
        <v>101</v>
      </c>
    </row>
    <row r="36" spans="1:5" ht="15.6" thickTop="1" thickBot="1">
      <c r="A36" s="42"/>
      <c r="B36" s="46" t="s">
        <v>102</v>
      </c>
      <c r="C36" s="46" t="s">
        <v>103</v>
      </c>
      <c r="D36" s="46" t="s">
        <v>104</v>
      </c>
      <c r="E36" s="46" t="s">
        <v>105</v>
      </c>
    </row>
    <row r="37" spans="1:5" ht="15.6" thickTop="1" thickBot="1">
      <c r="A37" s="34" t="s">
        <v>106</v>
      </c>
      <c r="B37" s="11">
        <v>0.53</v>
      </c>
      <c r="C37" s="11">
        <v>0.43</v>
      </c>
      <c r="D37" s="11">
        <v>0.36</v>
      </c>
      <c r="E37" s="11">
        <v>0.28999999999999998</v>
      </c>
    </row>
    <row r="38" spans="1:5" ht="101.4" thickTop="1">
      <c r="A38" s="30" t="s">
        <v>107</v>
      </c>
      <c r="B38" s="15"/>
    </row>
    <row r="39" spans="1:5" ht="72">
      <c r="A39" s="30" t="s">
        <v>108</v>
      </c>
      <c r="B39" s="15"/>
    </row>
    <row r="40" spans="1:5" ht="14.4">
      <c r="A40" s="47" t="s">
        <v>109</v>
      </c>
      <c r="B40" s="47" t="s">
        <v>110</v>
      </c>
    </row>
    <row r="41" spans="1:5" ht="14.4">
      <c r="A41" s="48">
        <v>1</v>
      </c>
      <c r="B41" s="49">
        <f>B37</f>
        <v>0.53</v>
      </c>
    </row>
    <row r="42" spans="1:5" ht="14.4">
      <c r="A42" s="48">
        <v>0.75</v>
      </c>
      <c r="B42" s="49">
        <f>C37</f>
        <v>0.43</v>
      </c>
    </row>
    <row r="43" spans="1:5" ht="14.4">
      <c r="A43" s="48">
        <v>0.5</v>
      </c>
      <c r="B43" s="49">
        <f>D37</f>
        <v>0.36</v>
      </c>
    </row>
    <row r="44" spans="1:5" ht="14.4">
      <c r="A44" s="48">
        <v>0.25</v>
      </c>
      <c r="B44" s="49">
        <f>E37</f>
        <v>0.28999999999999998</v>
      </c>
    </row>
    <row r="55" spans="1:5" ht="15" customHeight="1">
      <c r="A55" s="47" t="s">
        <v>111</v>
      </c>
      <c r="B55" s="47" t="s">
        <v>112</v>
      </c>
    </row>
    <row r="56" spans="1:5" ht="15" customHeight="1">
      <c r="A56" s="55">
        <v>0.316</v>
      </c>
      <c r="B56" s="56">
        <v>0.20499999999999999</v>
      </c>
    </row>
    <row r="57" spans="1:5" s="13" customFormat="1" ht="28.95" customHeight="1">
      <c r="B57" s="2" t="s">
        <v>113</v>
      </c>
      <c r="C57" s="2" t="s">
        <v>114</v>
      </c>
      <c r="D57" s="2" t="s">
        <v>115</v>
      </c>
      <c r="E57" s="2" t="s">
        <v>116</v>
      </c>
    </row>
    <row r="58" spans="1:5" ht="14.4">
      <c r="A58" s="50" t="s">
        <v>117</v>
      </c>
      <c r="B58" s="51" t="s">
        <v>118</v>
      </c>
      <c r="C58" s="51" t="s">
        <v>119</v>
      </c>
      <c r="D58" s="51" t="s">
        <v>120</v>
      </c>
      <c r="E58" s="51" t="s">
        <v>121</v>
      </c>
    </row>
    <row r="59" spans="1:5" ht="14.4">
      <c r="A59" s="54" t="s">
        <v>122</v>
      </c>
      <c r="B59" s="52">
        <f>B37</f>
        <v>0.53</v>
      </c>
      <c r="C59" s="52">
        <v>24</v>
      </c>
      <c r="D59" s="52">
        <v>9</v>
      </c>
      <c r="E59" s="52">
        <f>B59*C59*D59</f>
        <v>114.48</v>
      </c>
    </row>
    <row r="60" spans="1:5" ht="14.4">
      <c r="A60" s="54" t="s">
        <v>123</v>
      </c>
      <c r="B60" s="53">
        <f>C37</f>
        <v>0.43</v>
      </c>
      <c r="C60" s="53">
        <v>24</v>
      </c>
      <c r="D60" s="53">
        <v>9</v>
      </c>
      <c r="E60" s="53">
        <f>B60*C60*D60</f>
        <v>92.88</v>
      </c>
    </row>
    <row r="61" spans="1:5" ht="14.4">
      <c r="A61" s="54" t="s">
        <v>124</v>
      </c>
      <c r="B61" s="52">
        <f>D37</f>
        <v>0.36</v>
      </c>
      <c r="C61" s="52">
        <v>24</v>
      </c>
      <c r="D61" s="52">
        <v>9</v>
      </c>
      <c r="E61" s="52">
        <f>B61*C61*D61</f>
        <v>77.760000000000005</v>
      </c>
    </row>
    <row r="62" spans="1:5" ht="14.4">
      <c r="A62" s="54" t="s">
        <v>125</v>
      </c>
      <c r="B62" s="53">
        <f>E37</f>
        <v>0.28999999999999998</v>
      </c>
      <c r="C62" s="53">
        <v>24</v>
      </c>
      <c r="D62" s="53">
        <v>9</v>
      </c>
      <c r="E62" s="53">
        <f>B62*C62*D62</f>
        <v>62.639999999999993</v>
      </c>
    </row>
    <row r="63" spans="1:5" ht="14.4"/>
    <row r="64" spans="1:5" ht="14.4">
      <c r="A64" s="64" t="s">
        <v>126</v>
      </c>
      <c r="B64" s="64"/>
      <c r="C64" s="64"/>
    </row>
    <row r="65" spans="1:8" ht="14.4">
      <c r="B65" s="2" t="s">
        <v>113</v>
      </c>
      <c r="C65" s="2" t="s">
        <v>114</v>
      </c>
      <c r="D65" s="2" t="s">
        <v>115</v>
      </c>
      <c r="E65" s="2" t="s">
        <v>116</v>
      </c>
    </row>
    <row r="66" spans="1:8" ht="14.4">
      <c r="A66" s="50" t="s">
        <v>127</v>
      </c>
      <c r="B66" s="51" t="s">
        <v>118</v>
      </c>
      <c r="C66" s="51" t="s">
        <v>119</v>
      </c>
      <c r="D66" s="51" t="s">
        <v>120</v>
      </c>
      <c r="E66" s="51" t="s">
        <v>121</v>
      </c>
    </row>
    <row r="67" spans="1:8" ht="14.4">
      <c r="A67" s="54" t="s">
        <v>128</v>
      </c>
      <c r="B67" s="52">
        <f>(A56*B32)+B56</f>
        <v>0.36862120757894734</v>
      </c>
      <c r="C67" s="52">
        <v>12</v>
      </c>
      <c r="D67" s="52">
        <v>8</v>
      </c>
      <c r="E67" s="52">
        <f>B67*C67*D67</f>
        <v>35.387635927578941</v>
      </c>
    </row>
    <row r="68" spans="1:8" ht="14.4">
      <c r="A68" s="54" t="s">
        <v>129</v>
      </c>
      <c r="B68" s="57">
        <f>(A56*C32)+B56</f>
        <v>0.2540863622736842</v>
      </c>
      <c r="C68" s="53">
        <v>12</v>
      </c>
      <c r="D68" s="53">
        <v>8</v>
      </c>
      <c r="E68" s="53">
        <f>B68*C68*D68</f>
        <v>24.392290778273683</v>
      </c>
    </row>
    <row r="69" spans="1:8" ht="14.4">
      <c r="A69" s="54" t="s">
        <v>130</v>
      </c>
      <c r="B69" s="57">
        <f>(A56*D32)+B56</f>
        <v>0.22762937869473682</v>
      </c>
      <c r="C69" s="53">
        <v>12</v>
      </c>
      <c r="D69" s="53">
        <v>8</v>
      </c>
      <c r="E69" s="53">
        <f>B69*C69*D69</f>
        <v>21.852420354694736</v>
      </c>
    </row>
    <row r="70" spans="1:8" ht="14.4"/>
    <row r="71" spans="1:8" ht="14.4"/>
    <row r="72" spans="1:8" ht="14.4"/>
    <row r="73" spans="1:8" ht="14.4"/>
    <row r="74" spans="1:8" ht="14.4"/>
    <row r="75" spans="1:8" ht="14.4"/>
    <row r="76" spans="1:8" ht="14.4"/>
    <row r="77" spans="1:8" ht="14.4"/>
    <row r="78" spans="1:8" ht="14.4"/>
    <row r="79" spans="1:8" ht="14.4"/>
    <row r="80" spans="1:8" s="13" customFormat="1" ht="14.4">
      <c r="B80" s="2"/>
      <c r="C80" s="2"/>
      <c r="D80" s="2"/>
      <c r="E80" s="2"/>
      <c r="F80" s="2"/>
      <c r="G80" s="2"/>
      <c r="H80" s="2"/>
    </row>
    <row r="81" spans="2:8" s="13" customFormat="1" ht="14.4">
      <c r="B81" s="2"/>
      <c r="C81" s="2"/>
      <c r="D81" s="2"/>
      <c r="E81" s="2"/>
      <c r="F81" s="2"/>
      <c r="G81" s="2"/>
      <c r="H81" s="2"/>
    </row>
    <row r="82" spans="2:8" s="13" customFormat="1" ht="14.4">
      <c r="B82" s="2"/>
      <c r="C82" s="2"/>
      <c r="D82" s="2"/>
      <c r="E82" s="2"/>
      <c r="F82" s="2"/>
      <c r="G82" s="2"/>
      <c r="H82" s="2"/>
    </row>
    <row r="83" spans="2:8" s="13" customFormat="1" ht="14.4">
      <c r="B83" s="2"/>
      <c r="C83" s="2"/>
      <c r="D83" s="2"/>
      <c r="E83" s="2"/>
      <c r="F83" s="2"/>
      <c r="G83" s="2"/>
      <c r="H83" s="2"/>
    </row>
    <row r="84" spans="2:8" s="13" customFormat="1" ht="14.4">
      <c r="B84" s="2"/>
      <c r="C84" s="2"/>
      <c r="D84" s="2"/>
      <c r="E84" s="2"/>
      <c r="F84" s="2"/>
      <c r="G84" s="2"/>
      <c r="H84" s="2"/>
    </row>
    <row r="85" spans="2:8" s="13" customFormat="1" ht="14.4">
      <c r="B85" s="2"/>
      <c r="C85" s="2"/>
      <c r="D85" s="2"/>
      <c r="E85" s="2"/>
      <c r="F85" s="2"/>
      <c r="G85" s="2"/>
      <c r="H85" s="2"/>
    </row>
    <row r="86" spans="2:8" s="13" customFormat="1" ht="14.4">
      <c r="B86" s="2"/>
      <c r="C86" s="2"/>
      <c r="D86" s="2"/>
      <c r="E86" s="2"/>
      <c r="F86" s="2"/>
      <c r="G86" s="2"/>
      <c r="H86" s="2"/>
    </row>
    <row r="87" spans="2:8" s="13" customFormat="1" ht="14.4">
      <c r="B87" s="2"/>
      <c r="C87" s="2"/>
      <c r="D87" s="2"/>
      <c r="E87" s="2"/>
      <c r="F87" s="2"/>
      <c r="G87" s="2"/>
      <c r="H87" s="2"/>
    </row>
    <row r="120" spans="2:8" s="13" customFormat="1" ht="14.4">
      <c r="B120" s="2"/>
      <c r="C120" s="2"/>
      <c r="D120" s="2"/>
      <c r="E120" s="2"/>
      <c r="F120" s="2"/>
      <c r="G120" s="2"/>
      <c r="H120" s="2"/>
    </row>
    <row r="121" spans="2:8" s="13" customFormat="1" ht="14.4">
      <c r="B121" s="2"/>
      <c r="C121" s="2"/>
      <c r="D121" s="2"/>
      <c r="E121" s="2"/>
      <c r="F121" s="2"/>
      <c r="G121" s="2"/>
      <c r="H121" s="2"/>
    </row>
    <row r="122" spans="2:8" s="13" customFormat="1" ht="14.4">
      <c r="B122" s="2"/>
      <c r="C122" s="2"/>
      <c r="D122" s="2"/>
      <c r="E122" s="2"/>
      <c r="F122" s="2"/>
      <c r="G122" s="2"/>
      <c r="H122" s="2"/>
    </row>
    <row r="123" spans="2:8" s="13" customFormat="1" ht="14.4">
      <c r="B123" s="2"/>
      <c r="C123" s="2"/>
      <c r="D123" s="2"/>
      <c r="E123" s="2"/>
      <c r="F123" s="2"/>
      <c r="G123" s="2"/>
      <c r="H123" s="2"/>
    </row>
    <row r="124" spans="2:8" s="13" customFormat="1" ht="14.4">
      <c r="B124" s="2"/>
      <c r="C124" s="2"/>
      <c r="D124" s="2"/>
      <c r="E124" s="2"/>
      <c r="F124" s="2"/>
      <c r="G124" s="2"/>
      <c r="H124" s="2"/>
    </row>
    <row r="125" spans="2:8" s="13" customFormat="1" ht="14.4">
      <c r="B125" s="2"/>
      <c r="C125" s="2"/>
      <c r="D125" s="2"/>
      <c r="E125" s="2"/>
      <c r="F125" s="2"/>
      <c r="G125" s="2"/>
      <c r="H125" s="2"/>
    </row>
    <row r="126" spans="2:8" s="13" customFormat="1" ht="14.4">
      <c r="B126" s="2"/>
      <c r="C126" s="2"/>
      <c r="D126" s="2"/>
      <c r="E126" s="2"/>
      <c r="F126" s="2"/>
      <c r="G126" s="2"/>
      <c r="H126" s="2"/>
    </row>
    <row r="127" spans="2:8" s="13" customFormat="1" ht="14.4">
      <c r="B127" s="2"/>
      <c r="C127" s="2"/>
      <c r="D127" s="2"/>
      <c r="E127" s="2"/>
      <c r="F127" s="2"/>
      <c r="G127" s="2"/>
      <c r="H127" s="2"/>
    </row>
    <row r="128" spans="2:8" s="13" customFormat="1" ht="14.4">
      <c r="B128" s="2"/>
      <c r="C128" s="2"/>
      <c r="D128" s="2"/>
      <c r="E128" s="2"/>
      <c r="F128" s="2"/>
      <c r="G128" s="2"/>
      <c r="H128" s="2"/>
    </row>
    <row r="130" spans="2:8" s="13" customFormat="1" ht="14.4">
      <c r="B130" s="2"/>
      <c r="C130" s="2"/>
      <c r="D130" s="2"/>
      <c r="E130" s="2"/>
      <c r="F130" s="2"/>
      <c r="G130" s="2"/>
      <c r="H130" s="2"/>
    </row>
    <row r="131" spans="2:8" s="13" customFormat="1" ht="14.4">
      <c r="B131" s="2"/>
      <c r="C131" s="2"/>
      <c r="D131" s="2"/>
      <c r="E131" s="2"/>
      <c r="F131" s="2"/>
      <c r="G131" s="2"/>
      <c r="H131" s="2"/>
    </row>
    <row r="132" spans="2:8" s="13" customFormat="1" ht="14.4">
      <c r="B132" s="2"/>
      <c r="C132" s="2"/>
      <c r="D132" s="2"/>
      <c r="E132" s="2"/>
      <c r="F132" s="2"/>
      <c r="G132" s="2"/>
      <c r="H132" s="2"/>
    </row>
    <row r="133" spans="2:8" s="13" customFormat="1" ht="14.4">
      <c r="B133" s="2"/>
      <c r="C133" s="2"/>
      <c r="D133" s="2"/>
      <c r="E133" s="2"/>
      <c r="F133" s="2"/>
      <c r="G133" s="2"/>
      <c r="H133" s="2"/>
    </row>
    <row r="134" spans="2:8" s="13" customFormat="1" ht="14.4">
      <c r="B134" s="2"/>
      <c r="C134" s="2"/>
      <c r="D134" s="2"/>
      <c r="E134" s="2"/>
      <c r="F134" s="2"/>
      <c r="G134" s="2"/>
      <c r="H134" s="2"/>
    </row>
    <row r="135" spans="2:8" s="13" customFormat="1" ht="14.4">
      <c r="B135" s="2"/>
      <c r="C135" s="2"/>
      <c r="D135" s="2"/>
      <c r="E135" s="2"/>
      <c r="F135" s="2"/>
      <c r="G135" s="2"/>
      <c r="H135" s="2"/>
    </row>
    <row r="136" spans="2:8" s="13" customFormat="1" ht="14.4">
      <c r="B136" s="2"/>
      <c r="C136" s="2"/>
      <c r="D136" s="2"/>
      <c r="E136" s="2"/>
      <c r="F136" s="2"/>
      <c r="G136" s="2"/>
      <c r="H136" s="2"/>
    </row>
    <row r="137" spans="2:8" s="13" customFormat="1" ht="14.4">
      <c r="B137" s="2"/>
      <c r="C137" s="2"/>
      <c r="D137" s="2"/>
      <c r="E137" s="2"/>
      <c r="F137" s="2"/>
      <c r="G137" s="2"/>
      <c r="H137" s="2"/>
    </row>
    <row r="138" spans="2:8" s="13" customFormat="1" ht="14.4">
      <c r="B138" s="2"/>
      <c r="C138" s="2"/>
      <c r="D138" s="2"/>
      <c r="E138" s="2"/>
      <c r="F138" s="2"/>
      <c r="G138" s="2"/>
      <c r="H138" s="2"/>
    </row>
    <row r="139" spans="2:8" s="13" customFormat="1" ht="14.4">
      <c r="B139" s="2"/>
      <c r="C139" s="2"/>
      <c r="D139" s="2"/>
      <c r="E139" s="2"/>
      <c r="F139" s="2"/>
      <c r="G139" s="2"/>
      <c r="H139" s="2"/>
    </row>
    <row r="140" spans="2:8" s="13" customFormat="1" ht="14.4">
      <c r="B140" s="2"/>
      <c r="C140" s="2"/>
      <c r="D140" s="2"/>
      <c r="E140" s="2"/>
      <c r="F140" s="2"/>
      <c r="G140" s="2"/>
      <c r="H140" s="2"/>
    </row>
    <row r="141" spans="2:8" s="13" customFormat="1" ht="14.4">
      <c r="B141" s="2"/>
      <c r="C141" s="2"/>
      <c r="D141" s="2"/>
      <c r="E141" s="2"/>
      <c r="F141" s="2"/>
      <c r="G141" s="2"/>
      <c r="H141" s="2"/>
    </row>
    <row r="142" spans="2:8" s="13" customFormat="1" ht="14.4">
      <c r="B142" s="2"/>
      <c r="C142" s="2"/>
      <c r="D142" s="2"/>
      <c r="E142" s="2"/>
      <c r="F142" s="2"/>
      <c r="G142" s="2"/>
      <c r="H142" s="2"/>
    </row>
    <row r="143" spans="2:8" s="13" customFormat="1" ht="14.4">
      <c r="B143" s="2"/>
      <c r="C143" s="2"/>
      <c r="D143" s="2"/>
      <c r="E143" s="2"/>
      <c r="F143" s="2"/>
      <c r="G143" s="2"/>
      <c r="H143" s="2"/>
    </row>
    <row r="144" spans="2:8" s="13" customFormat="1" ht="14.4">
      <c r="B144" s="2"/>
      <c r="C144" s="2"/>
      <c r="D144" s="2"/>
      <c r="E144" s="2"/>
      <c r="F144" s="2"/>
      <c r="G144" s="2"/>
      <c r="H144" s="2"/>
    </row>
    <row r="145" spans="2:8" s="13" customFormat="1" ht="14.4">
      <c r="B145" s="2"/>
      <c r="C145" s="2"/>
      <c r="D145" s="2"/>
      <c r="E145" s="2"/>
      <c r="F145" s="2"/>
      <c r="G145" s="2"/>
      <c r="H145" s="2"/>
    </row>
    <row r="146" spans="2:8" s="13" customFormat="1" ht="14.4">
      <c r="B146" s="2"/>
      <c r="C146" s="2"/>
      <c r="D146" s="2"/>
      <c r="E146" s="2"/>
      <c r="F146" s="2"/>
      <c r="G146" s="2"/>
      <c r="H146" s="2"/>
    </row>
    <row r="147" spans="2:8" s="13" customFormat="1" ht="14.4">
      <c r="B147" s="2"/>
      <c r="C147" s="2"/>
      <c r="D147" s="2"/>
      <c r="E147" s="2"/>
      <c r="F147" s="2"/>
      <c r="G147" s="2"/>
      <c r="H147" s="2"/>
    </row>
    <row r="148" spans="2:8" s="13" customFormat="1" ht="14.4">
      <c r="B148" s="2"/>
      <c r="C148" s="2"/>
      <c r="D148" s="2"/>
      <c r="E148" s="2"/>
      <c r="F148" s="2"/>
      <c r="G148" s="2"/>
      <c r="H148" s="2"/>
    </row>
    <row r="149" spans="2:8" s="13" customFormat="1" ht="14.4">
      <c r="B149" s="2"/>
      <c r="C149" s="2"/>
      <c r="D149" s="2"/>
      <c r="E149" s="2"/>
      <c r="F149" s="2"/>
      <c r="G149" s="2"/>
      <c r="H149" s="2"/>
    </row>
    <row r="150" spans="2:8" s="13" customFormat="1" ht="14.4">
      <c r="B150" s="2"/>
      <c r="C150" s="2"/>
      <c r="D150" s="2"/>
      <c r="E150" s="2"/>
      <c r="F150" s="2"/>
      <c r="G150" s="2"/>
      <c r="H150" s="2"/>
    </row>
    <row r="151" spans="2:8" s="13" customFormat="1" ht="14.4">
      <c r="B151" s="2"/>
      <c r="C151" s="2"/>
      <c r="D151" s="2"/>
      <c r="E151" s="2"/>
      <c r="F151" s="2"/>
      <c r="G151" s="2"/>
      <c r="H151" s="2"/>
    </row>
    <row r="152" spans="2:8" s="13" customFormat="1" ht="14.4">
      <c r="B152" s="2"/>
      <c r="C152" s="2"/>
      <c r="D152" s="2"/>
      <c r="E152" s="2"/>
      <c r="F152" s="2"/>
      <c r="G152" s="2"/>
      <c r="H152" s="2"/>
    </row>
    <row r="153" spans="2:8" s="13" customFormat="1" ht="14.4">
      <c r="B153" s="2"/>
      <c r="C153" s="2"/>
      <c r="D153" s="2"/>
      <c r="E153" s="2"/>
      <c r="F153" s="2"/>
      <c r="G153" s="2"/>
      <c r="H153" s="2"/>
    </row>
    <row r="154" spans="2:8" s="13" customFormat="1" ht="14.4">
      <c r="B154" s="2"/>
      <c r="C154" s="2"/>
      <c r="D154" s="2"/>
      <c r="E154" s="2"/>
      <c r="F154" s="2"/>
      <c r="G154" s="2"/>
      <c r="H154" s="2"/>
    </row>
    <row r="155" spans="2:8" s="13" customFormat="1" ht="14.4">
      <c r="B155" s="2"/>
      <c r="C155" s="2"/>
      <c r="D155" s="2"/>
      <c r="E155" s="2"/>
      <c r="F155" s="2"/>
      <c r="G155" s="2"/>
      <c r="H155" s="2"/>
    </row>
    <row r="156" spans="2:8" s="13" customFormat="1" ht="14.4">
      <c r="B156" s="2"/>
      <c r="C156" s="2"/>
      <c r="D156" s="2"/>
      <c r="E156" s="2"/>
      <c r="F156" s="2"/>
      <c r="G156" s="2"/>
      <c r="H156" s="2"/>
    </row>
    <row r="157" spans="2:8" s="13" customFormat="1" ht="14.4">
      <c r="B157" s="2"/>
      <c r="C157" s="2"/>
      <c r="D157" s="2"/>
      <c r="E157" s="2"/>
      <c r="F157" s="2"/>
      <c r="G157" s="2"/>
      <c r="H157" s="2"/>
    </row>
    <row r="158" spans="2:8" s="13" customFormat="1" ht="14.4">
      <c r="B158" s="2"/>
      <c r="C158" s="2"/>
      <c r="D158" s="2"/>
      <c r="E158" s="2"/>
      <c r="F158" s="2"/>
      <c r="G158" s="2"/>
      <c r="H158" s="2"/>
    </row>
    <row r="159" spans="2:8" s="13" customFormat="1" ht="14.4">
      <c r="B159" s="2"/>
      <c r="C159" s="2"/>
      <c r="D159" s="2"/>
      <c r="E159" s="2"/>
      <c r="F159" s="2"/>
      <c r="G159" s="2"/>
      <c r="H159" s="2"/>
    </row>
    <row r="160" spans="2:8" s="13" customFormat="1" ht="14.4">
      <c r="B160" s="2"/>
      <c r="C160" s="2"/>
      <c r="D160" s="2"/>
      <c r="E160" s="2"/>
      <c r="F160" s="2"/>
      <c r="G160" s="2"/>
      <c r="H160" s="2"/>
    </row>
    <row r="161" spans="2:8" s="13" customFormat="1" ht="14.4">
      <c r="B161" s="2"/>
      <c r="C161" s="2"/>
      <c r="D161" s="2"/>
      <c r="E161" s="2"/>
      <c r="F161" s="2"/>
      <c r="G161" s="2"/>
      <c r="H161" s="2"/>
    </row>
    <row r="162" spans="2:8" s="13" customFormat="1" ht="14.4">
      <c r="B162" s="2"/>
      <c r="C162" s="2"/>
      <c r="D162" s="2"/>
      <c r="E162" s="2"/>
      <c r="F162" s="2"/>
      <c r="G162" s="2"/>
      <c r="H162" s="2"/>
    </row>
    <row r="163" spans="2:8" s="13" customFormat="1" ht="14.4">
      <c r="B163" s="2"/>
      <c r="C163" s="2"/>
      <c r="D163" s="2"/>
      <c r="E163" s="2"/>
      <c r="F163" s="2"/>
      <c r="G163" s="2"/>
      <c r="H163" s="2"/>
    </row>
  </sheetData>
  <mergeCells count="3">
    <mergeCell ref="A1:G1"/>
    <mergeCell ref="C10:D10"/>
    <mergeCell ref="A64:C6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LED_BREAKDOWN</vt:lpstr>
      <vt:lpstr>Totems_AMP_Analysis</vt:lpstr>
      <vt:lpstr>Signs_AMP_Analysis</vt:lpstr>
      <vt:lpstr>Power_Brick_Required</vt:lpstr>
      <vt:lpstr>Power_Analysis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Ortega</dc:creator>
  <cp:keywords/>
  <dc:description/>
  <cp:lastModifiedBy>Eduardo Ortega</cp:lastModifiedBy>
  <cp:revision/>
  <dcterms:created xsi:type="dcterms:W3CDTF">2015-06-05T18:17:20Z</dcterms:created>
  <dcterms:modified xsi:type="dcterms:W3CDTF">2023-07-25T03:42:34Z</dcterms:modified>
  <cp:category/>
  <cp:contentStatus/>
</cp:coreProperties>
</file>