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_python\roe\data\"/>
    </mc:Choice>
  </mc:AlternateContent>
  <xr:revisionPtr revIDLastSave="0" documentId="13_ncr:1_{9C070AEB-6A7A-446A-BB81-6D159E9F4EFC}" xr6:coauthVersionLast="47" xr6:coauthVersionMax="47" xr10:uidLastSave="{00000000-0000-0000-0000-000000000000}"/>
  <bookViews>
    <workbookView xWindow="19090" yWindow="-110" windowWidth="38620" windowHeight="21220" tabRatio="875" activeTab="1" xr2:uid="{F8B8FC3D-6C52-42AC-AD05-4B2F08F20CD4}"/>
  </bookViews>
  <sheets>
    <sheet name="README" sheetId="32" r:id="rId1"/>
    <sheet name="2024" sheetId="31" r:id="rId2"/>
    <sheet name="Lincs" sheetId="15" r:id="rId3"/>
  </sheets>
  <definedNames>
    <definedName name="_xlnm._FilterDatabase" localSheetId="1" hidden="1">'2024'!$A$1:$W$190</definedName>
    <definedName name="candidate">Lincs!$F$67</definedName>
    <definedName name="gia">#REF!</definedName>
    <definedName name="gias">#REF!</definedName>
    <definedName name="lincs_cost">Lincs!$F$61</definedName>
    <definedName name="LincsData">Lincs!$B$35:$H$50</definedName>
    <definedName name="LincsData2">Lincs!$B$36:$H$50</definedName>
    <definedName name="school">Lincs!$F$66</definedName>
    <definedName name="typical_cost">'2024'!$AL$8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8" i="31" l="1"/>
  <c r="AA59" i="31"/>
  <c r="Z51" i="31"/>
  <c r="AF4" i="31" l="1"/>
  <c r="AF3" i="31"/>
  <c r="AF2" i="31"/>
  <c r="Z25" i="31"/>
  <c r="Z40" i="31"/>
  <c r="Z33" i="31"/>
  <c r="Z26" i="31"/>
  <c r="Z31" i="31"/>
  <c r="Z42" i="31"/>
  <c r="Z47" i="31"/>
  <c r="Z53" i="31"/>
  <c r="Z57" i="31"/>
  <c r="Z46" i="31"/>
  <c r="Z30" i="31"/>
  <c r="Z56" i="31"/>
  <c r="Z27" i="31"/>
  <c r="Z32" i="31"/>
  <c r="Z43" i="31"/>
  <c r="Z48" i="31"/>
  <c r="Z52" i="31"/>
  <c r="Z58" i="31"/>
  <c r="Z24" i="31"/>
  <c r="Z23" i="31"/>
  <c r="Z21" i="31"/>
  <c r="Z22" i="31"/>
  <c r="Z28" i="31"/>
  <c r="Z35" i="31"/>
  <c r="Z45" i="31"/>
  <c r="Z49" i="31"/>
  <c r="Z29" i="31"/>
  <c r="E48" i="15"/>
  <c r="F48" i="15"/>
  <c r="AF6" i="31" l="1"/>
  <c r="Q107" i="31"/>
  <c r="Q99" i="31"/>
  <c r="Q95" i="31"/>
  <c r="Q53" i="31"/>
  <c r="Q46" i="31"/>
  <c r="Q25" i="31"/>
  <c r="Q164" i="31"/>
  <c r="Q138" i="31"/>
  <c r="Q110" i="31"/>
  <c r="Q106" i="31"/>
  <c r="Q100" i="31"/>
  <c r="Q56" i="31"/>
  <c r="Q44" i="31"/>
  <c r="Q43" i="31"/>
  <c r="Q27" i="31"/>
  <c r="Q20" i="31"/>
  <c r="Q9" i="31"/>
  <c r="Q6" i="31"/>
  <c r="Q5" i="31"/>
  <c r="P164" i="31"/>
  <c r="P138" i="31"/>
  <c r="P110" i="31"/>
  <c r="P106" i="31"/>
  <c r="P100" i="31"/>
  <c r="P56" i="31"/>
  <c r="P44" i="31"/>
  <c r="P43" i="31"/>
  <c r="P27" i="31"/>
  <c r="P20" i="31"/>
  <c r="P9" i="31"/>
  <c r="P6" i="31"/>
  <c r="P5" i="31"/>
  <c r="AK2" i="31"/>
  <c r="AK4" i="31"/>
  <c r="AJ2" i="31"/>
  <c r="AI2" i="31"/>
  <c r="AI3" i="31"/>
  <c r="AI4" i="31"/>
  <c r="AI5" i="31"/>
  <c r="Q135" i="31"/>
  <c r="Q117" i="31"/>
  <c r="Q116" i="31"/>
  <c r="Q111" i="31"/>
  <c r="Q91" i="31"/>
  <c r="Q90" i="31"/>
  <c r="Q64" i="31"/>
  <c r="Q58" i="31"/>
  <c r="Q23" i="31"/>
  <c r="Q21" i="31"/>
  <c r="Q17" i="31"/>
  <c r="Q16" i="31"/>
  <c r="Q15" i="31"/>
  <c r="P23" i="31"/>
  <c r="P17" i="31"/>
  <c r="P16" i="31"/>
  <c r="I35" i="15"/>
  <c r="E47" i="15"/>
  <c r="H47" i="15" s="1"/>
  <c r="E46" i="15"/>
  <c r="H46" i="15" s="1"/>
  <c r="E45" i="15"/>
  <c r="H45" i="15" s="1"/>
  <c r="E44" i="15"/>
  <c r="H44" i="15" s="1"/>
  <c r="E43" i="15"/>
  <c r="H43" i="15" s="1"/>
  <c r="E42" i="15"/>
  <c r="P90" i="31" s="1"/>
  <c r="E41" i="15"/>
  <c r="H41" i="15" s="1"/>
  <c r="E40" i="15"/>
  <c r="H40" i="15" s="1"/>
  <c r="E39" i="15"/>
  <c r="H39" i="15" s="1"/>
  <c r="I38" i="15"/>
  <c r="J38" i="15" s="1"/>
  <c r="I37" i="15"/>
  <c r="J37" i="15" s="1"/>
  <c r="I36" i="15"/>
  <c r="J36" i="15" s="1"/>
  <c r="H42" i="15"/>
  <c r="F58" i="15"/>
  <c r="E58" i="15"/>
  <c r="H38" i="15"/>
  <c r="P148" i="31"/>
  <c r="P119" i="31"/>
  <c r="P71" i="31"/>
  <c r="P50" i="31"/>
  <c r="P162" i="31"/>
  <c r="P94" i="31"/>
  <c r="P93" i="31"/>
  <c r="P78" i="31"/>
  <c r="P48" i="31"/>
  <c r="Q162" i="31"/>
  <c r="Q94" i="31"/>
  <c r="Q93" i="31"/>
  <c r="Q78" i="31"/>
  <c r="Q48" i="31"/>
  <c r="Q130" i="31"/>
  <c r="P130" i="31"/>
  <c r="Q125" i="31"/>
  <c r="P125" i="31"/>
  <c r="Q109" i="31"/>
  <c r="P109" i="31"/>
  <c r="Q97" i="31"/>
  <c r="P97" i="31"/>
  <c r="Q84" i="31"/>
  <c r="P84" i="31"/>
  <c r="Q76" i="31"/>
  <c r="P76" i="31"/>
  <c r="Q38" i="31"/>
  <c r="P38" i="31"/>
  <c r="P107" i="31"/>
  <c r="P99" i="31"/>
  <c r="P95" i="31"/>
  <c r="P53" i="31"/>
  <c r="P46" i="31"/>
  <c r="P25" i="31"/>
  <c r="Q126" i="31"/>
  <c r="Q67" i="31"/>
  <c r="Q66" i="31"/>
  <c r="Q63" i="31"/>
  <c r="Q62" i="31"/>
  <c r="Q61" i="31"/>
  <c r="Q60" i="31"/>
  <c r="Q12" i="31"/>
  <c r="P126" i="31"/>
  <c r="P67" i="31"/>
  <c r="P66" i="31"/>
  <c r="U66" i="31" s="1"/>
  <c r="P63" i="31"/>
  <c r="P62" i="31"/>
  <c r="P61" i="31"/>
  <c r="P60" i="31"/>
  <c r="P12" i="31"/>
  <c r="P8" i="31"/>
  <c r="P156" i="31"/>
  <c r="P155" i="31"/>
  <c r="P115" i="31"/>
  <c r="P114" i="31"/>
  <c r="P65" i="31"/>
  <c r="P32" i="31"/>
  <c r="P31" i="31"/>
  <c r="Q158" i="31"/>
  <c r="Q157" i="31"/>
  <c r="Q153" i="31"/>
  <c r="Q147" i="31"/>
  <c r="Q146" i="31"/>
  <c r="Q142" i="31"/>
  <c r="Q139" i="31"/>
  <c r="Q137" i="31"/>
  <c r="Q134" i="31"/>
  <c r="Q108" i="31"/>
  <c r="Q105" i="31"/>
  <c r="Q104" i="31"/>
  <c r="Q89" i="31"/>
  <c r="Q82" i="31"/>
  <c r="Q75" i="31"/>
  <c r="Q74" i="31"/>
  <c r="Q55" i="31"/>
  <c r="Q52" i="31"/>
  <c r="Q47" i="31"/>
  <c r="Q37" i="31"/>
  <c r="Q36" i="31"/>
  <c r="Q35" i="31"/>
  <c r="Q34" i="31"/>
  <c r="Q24" i="31"/>
  <c r="Q8" i="31"/>
  <c r="Z14" i="31"/>
  <c r="Z5" i="31"/>
  <c r="Z6" i="31"/>
  <c r="Z7" i="31"/>
  <c r="Z34" i="31"/>
  <c r="Z2" i="31"/>
  <c r="Z36" i="31"/>
  <c r="Z17" i="31"/>
  <c r="Z37" i="31"/>
  <c r="Z38" i="31"/>
  <c r="Z18" i="31"/>
  <c r="Z19" i="31"/>
  <c r="Z39" i="31"/>
  <c r="Z3" i="31"/>
  <c r="Z8" i="31"/>
  <c r="Z41" i="31"/>
  <c r="Z44" i="31"/>
  <c r="Z20" i="31"/>
  <c r="Z9" i="31"/>
  <c r="Z15" i="31"/>
  <c r="Z50" i="31"/>
  <c r="Z10" i="31"/>
  <c r="Z4" i="31"/>
  <c r="Z54" i="31"/>
  <c r="Z55" i="31"/>
  <c r="Z11" i="31"/>
  <c r="Z12" i="31"/>
  <c r="Z16" i="31"/>
  <c r="Z13" i="31"/>
  <c r="M166" i="31"/>
  <c r="Q86" i="31"/>
  <c r="U86" i="31" s="1"/>
  <c r="T163" i="31"/>
  <c r="Q161" i="31"/>
  <c r="P161" i="31"/>
  <c r="Q160" i="31"/>
  <c r="P160" i="31"/>
  <c r="P158" i="31"/>
  <c r="P157" i="31"/>
  <c r="Q154" i="31"/>
  <c r="P154" i="31"/>
  <c r="P153" i="31"/>
  <c r="U149" i="31"/>
  <c r="P147" i="31"/>
  <c r="P146" i="31"/>
  <c r="Q145" i="31"/>
  <c r="P145" i="31"/>
  <c r="U144" i="31"/>
  <c r="U143" i="31"/>
  <c r="P142" i="31"/>
  <c r="T141" i="31"/>
  <c r="T140" i="31"/>
  <c r="P139" i="31"/>
  <c r="P137" i="31"/>
  <c r="U136" i="31"/>
  <c r="T136" i="31"/>
  <c r="P134" i="31"/>
  <c r="U133" i="31"/>
  <c r="T133" i="31"/>
  <c r="U132" i="31"/>
  <c r="T132" i="31"/>
  <c r="U131" i="31"/>
  <c r="T131" i="31"/>
  <c r="P129" i="31"/>
  <c r="U128" i="31"/>
  <c r="Q124" i="31"/>
  <c r="U4" i="31" s="1"/>
  <c r="P4" i="31" s="1"/>
  <c r="Q123" i="31"/>
  <c r="P123" i="31"/>
  <c r="T121" i="31"/>
  <c r="U120" i="31"/>
  <c r="Q113" i="31"/>
  <c r="U113" i="31" s="1"/>
  <c r="U112" i="31"/>
  <c r="P108" i="31"/>
  <c r="P105" i="31"/>
  <c r="P104" i="31"/>
  <c r="Q101" i="31"/>
  <c r="P101" i="31"/>
  <c r="Q98" i="31"/>
  <c r="U98" i="31" s="1"/>
  <c r="U96" i="31"/>
  <c r="P89" i="31"/>
  <c r="U88" i="31"/>
  <c r="T88" i="31"/>
  <c r="U87" i="31"/>
  <c r="T86" i="31"/>
  <c r="Q85" i="31"/>
  <c r="U85" i="31" s="1"/>
  <c r="U83" i="31"/>
  <c r="T83" i="31"/>
  <c r="P82" i="31"/>
  <c r="P81" i="31"/>
  <c r="T79" i="31"/>
  <c r="U77" i="31"/>
  <c r="T77" i="31"/>
  <c r="P75" i="31"/>
  <c r="P74" i="31"/>
  <c r="U73" i="31"/>
  <c r="Q72" i="31"/>
  <c r="P72" i="31"/>
  <c r="U70" i="31"/>
  <c r="Q69" i="31"/>
  <c r="U69" i="31" s="1"/>
  <c r="Q68" i="31"/>
  <c r="P68" i="31"/>
  <c r="U57" i="31"/>
  <c r="P55" i="31"/>
  <c r="T54" i="31"/>
  <c r="P52" i="31"/>
  <c r="U51" i="31"/>
  <c r="T51" i="31"/>
  <c r="U49" i="31"/>
  <c r="P47" i="31"/>
  <c r="U45" i="31"/>
  <c r="U42" i="31"/>
  <c r="T42" i="31"/>
  <c r="U41" i="31"/>
  <c r="T41" i="31"/>
  <c r="Q40" i="31"/>
  <c r="U40" i="31" s="1"/>
  <c r="U39" i="31"/>
  <c r="P37" i="31"/>
  <c r="P36" i="31"/>
  <c r="P35" i="31"/>
  <c r="P34" i="31"/>
  <c r="U33" i="31"/>
  <c r="U30" i="31"/>
  <c r="U29" i="31"/>
  <c r="Q28" i="31"/>
  <c r="P28" i="31"/>
  <c r="U26" i="31"/>
  <c r="P24" i="31"/>
  <c r="Q22" i="31"/>
  <c r="P22" i="31"/>
  <c r="U19" i="31"/>
  <c r="T19" i="31"/>
  <c r="U18" i="31"/>
  <c r="T18" i="31"/>
  <c r="U14" i="31"/>
  <c r="T14" i="31"/>
  <c r="U13" i="31"/>
  <c r="Q11" i="31"/>
  <c r="P11" i="31"/>
  <c r="Q10" i="31"/>
  <c r="P10" i="31"/>
  <c r="U7" i="31"/>
  <c r="Q2" i="31"/>
  <c r="P2" i="31"/>
  <c r="H37" i="15"/>
  <c r="H36" i="15"/>
  <c r="AD4" i="31" l="1"/>
  <c r="AD3" i="31"/>
  <c r="AD2" i="31"/>
  <c r="AJ4" i="31"/>
  <c r="AL4" i="31" s="1"/>
  <c r="U60" i="31"/>
  <c r="P91" i="31"/>
  <c r="P58" i="31"/>
  <c r="P117" i="31"/>
  <c r="P64" i="31"/>
  <c r="P111" i="31"/>
  <c r="P15" i="31"/>
  <c r="P21" i="31"/>
  <c r="P116" i="31"/>
  <c r="U3" i="31"/>
  <c r="P3" i="31" s="1"/>
  <c r="U103" i="31"/>
  <c r="P103" i="31" s="1"/>
  <c r="U124" i="31"/>
  <c r="P124" i="31" s="1"/>
  <c r="U150" i="31"/>
  <c r="P150" i="31" s="1"/>
  <c r="AL2" i="31"/>
  <c r="U62" i="31"/>
  <c r="AJ3" i="31"/>
  <c r="AI6" i="31"/>
  <c r="AI11" i="31" s="1"/>
  <c r="U23" i="31"/>
  <c r="E62" i="15"/>
  <c r="H58" i="15"/>
  <c r="U67" i="31"/>
  <c r="U126" i="31"/>
  <c r="U61" i="31"/>
  <c r="U63" i="31"/>
  <c r="Z59" i="31"/>
  <c r="T118" i="31"/>
  <c r="U47" i="31"/>
  <c r="U158" i="31"/>
  <c r="U56" i="31"/>
  <c r="U97" i="31"/>
  <c r="U123" i="31"/>
  <c r="U125" i="31"/>
  <c r="U130" i="31"/>
  <c r="U154" i="31"/>
  <c r="T31" i="31"/>
  <c r="T40" i="31"/>
  <c r="U68" i="31"/>
  <c r="T160" i="31"/>
  <c r="U44" i="31"/>
  <c r="U108" i="31"/>
  <c r="U22" i="31"/>
  <c r="U145" i="31"/>
  <c r="U147" i="31"/>
  <c r="U161" i="31"/>
  <c r="U6" i="31"/>
  <c r="T25" i="31"/>
  <c r="U43" i="31"/>
  <c r="U72" i="31"/>
  <c r="U82" i="31"/>
  <c r="T72" i="31"/>
  <c r="U138" i="31"/>
  <c r="T10" i="31"/>
  <c r="U38" i="31"/>
  <c r="T76" i="31"/>
  <c r="T11" i="31"/>
  <c r="U84" i="31"/>
  <c r="U157" i="31"/>
  <c r="U10" i="31"/>
  <c r="U55" i="31"/>
  <c r="T9" i="31"/>
  <c r="U9" i="31"/>
  <c r="U20" i="31"/>
  <c r="U35" i="31"/>
  <c r="T73" i="31"/>
  <c r="U74" i="31"/>
  <c r="T80" i="31"/>
  <c r="U95" i="31"/>
  <c r="U104" i="31"/>
  <c r="U109" i="31"/>
  <c r="U110" i="31"/>
  <c r="U134" i="31"/>
  <c r="U153" i="31"/>
  <c r="U160" i="31"/>
  <c r="U8" i="31"/>
  <c r="T32" i="31"/>
  <c r="T22" i="31"/>
  <c r="U24" i="31"/>
  <c r="U34" i="31"/>
  <c r="U36" i="31"/>
  <c r="T38" i="31"/>
  <c r="U46" i="31"/>
  <c r="T148" i="31"/>
  <c r="U52" i="31"/>
  <c r="U137" i="31"/>
  <c r="U146" i="31"/>
  <c r="U164" i="31"/>
  <c r="U81" i="31"/>
  <c r="U89" i="31"/>
  <c r="T96" i="31"/>
  <c r="U107" i="31"/>
  <c r="T113" i="31"/>
  <c r="T119" i="31"/>
  <c r="T122" i="31"/>
  <c r="T49" i="31"/>
  <c r="U139" i="31"/>
  <c r="U142" i="31"/>
  <c r="T87" i="31"/>
  <c r="T128" i="31"/>
  <c r="T2" i="31"/>
  <c r="T7" i="31"/>
  <c r="T126" i="31"/>
  <c r="T26" i="31"/>
  <c r="T30" i="31"/>
  <c r="T39" i="31"/>
  <c r="T45" i="31"/>
  <c r="T50" i="31"/>
  <c r="T62" i="31"/>
  <c r="T66" i="31"/>
  <c r="T70" i="31"/>
  <c r="T71" i="31"/>
  <c r="T81" i="31"/>
  <c r="U101" i="31"/>
  <c r="U105" i="31"/>
  <c r="T28" i="31"/>
  <c r="T13" i="31"/>
  <c r="T57" i="31"/>
  <c r="T34" i="31"/>
  <c r="U25" i="31"/>
  <c r="U27" i="31"/>
  <c r="T29" i="31"/>
  <c r="T33" i="31"/>
  <c r="T69" i="31"/>
  <c r="U75" i="31"/>
  <c r="U76" i="31"/>
  <c r="U99" i="31"/>
  <c r="U106" i="31"/>
  <c r="T44" i="31"/>
  <c r="T47" i="31"/>
  <c r="T162" i="31"/>
  <c r="T48" i="31"/>
  <c r="T94" i="31"/>
  <c r="T8" i="31"/>
  <c r="T36" i="31"/>
  <c r="U53" i="31"/>
  <c r="T60" i="31"/>
  <c r="T67" i="31"/>
  <c r="T95" i="31"/>
  <c r="T99" i="31"/>
  <c r="U100" i="31"/>
  <c r="T5" i="31"/>
  <c r="T145" i="31"/>
  <c r="U11" i="31"/>
  <c r="T12" i="31"/>
  <c r="T24" i="31"/>
  <c r="T46" i="31"/>
  <c r="T107" i="31"/>
  <c r="U28" i="31"/>
  <c r="T114" i="31"/>
  <c r="T156" i="31"/>
  <c r="T115" i="31"/>
  <c r="T155" i="31"/>
  <c r="U37" i="31"/>
  <c r="T109" i="31"/>
  <c r="T130" i="31"/>
  <c r="T125" i="31"/>
  <c r="T97" i="31"/>
  <c r="T84" i="31"/>
  <c r="T53" i="31"/>
  <c r="T63" i="31"/>
  <c r="T65" i="31"/>
  <c r="T93" i="31"/>
  <c r="T138" i="31"/>
  <c r="T106" i="31"/>
  <c r="T110" i="31"/>
  <c r="T100" i="31"/>
  <c r="T164" i="31"/>
  <c r="T20" i="31"/>
  <c r="T35" i="31"/>
  <c r="T55" i="31"/>
  <c r="T74" i="31"/>
  <c r="T78" i="31"/>
  <c r="U5" i="31"/>
  <c r="T27" i="31"/>
  <c r="T43" i="31"/>
  <c r="U2" i="31"/>
  <c r="T6" i="31"/>
  <c r="T147" i="31"/>
  <c r="T134" i="31"/>
  <c r="T158" i="31"/>
  <c r="T104" i="31"/>
  <c r="T89" i="31"/>
  <c r="T82" i="31"/>
  <c r="T75" i="31"/>
  <c r="T52" i="31"/>
  <c r="T146" i="31"/>
  <c r="T142" i="31"/>
  <c r="T139" i="31"/>
  <c r="T137" i="31"/>
  <c r="T157" i="31"/>
  <c r="T153" i="31"/>
  <c r="T108" i="31"/>
  <c r="T105" i="31"/>
  <c r="U12" i="31"/>
  <c r="T37" i="31"/>
  <c r="T56" i="31"/>
  <c r="T61" i="31"/>
  <c r="T152" i="31"/>
  <c r="T127" i="31"/>
  <c r="T159" i="31"/>
  <c r="T151" i="31"/>
  <c r="T85" i="31"/>
  <c r="T98" i="31"/>
  <c r="T101" i="31"/>
  <c r="T112" i="31"/>
  <c r="T120" i="31"/>
  <c r="T129" i="31"/>
  <c r="T161" i="31"/>
  <c r="U129" i="31"/>
  <c r="T143" i="31"/>
  <c r="T144" i="31"/>
  <c r="T149" i="31"/>
  <c r="T68" i="31"/>
  <c r="T102" i="31"/>
  <c r="T123" i="31"/>
  <c r="T154" i="31"/>
  <c r="AD6" i="31" l="1"/>
  <c r="AE3" i="31" s="1"/>
  <c r="T4" i="31"/>
  <c r="T124" i="31"/>
  <c r="T150" i="31"/>
  <c r="T3" i="31"/>
  <c r="T103" i="31"/>
  <c r="AI12" i="31"/>
  <c r="AI13" i="31"/>
  <c r="AI14" i="31"/>
  <c r="AI8" i="31"/>
  <c r="E63" i="15"/>
  <c r="E49" i="15"/>
  <c r="P59" i="31" s="1"/>
  <c r="AE2" i="31" l="1"/>
  <c r="AE4" i="31"/>
  <c r="AI20" i="31"/>
  <c r="AI21" i="31"/>
  <c r="AI19" i="31"/>
  <c r="F49" i="15"/>
  <c r="E50" i="15"/>
  <c r="P92" i="31" s="1"/>
  <c r="G23" i="15"/>
  <c r="AE6" i="31" l="1"/>
  <c r="H49" i="15"/>
  <c r="Q59" i="31"/>
  <c r="P135" i="31"/>
  <c r="AJ5" i="31" s="1"/>
  <c r="F50" i="15"/>
  <c r="U90" i="31"/>
  <c r="H50" i="15" l="1"/>
  <c r="Q92" i="31"/>
  <c r="AJ6" i="31"/>
  <c r="H48" i="15"/>
  <c r="E52" i="15"/>
  <c r="T135" i="31"/>
  <c r="T17" i="31"/>
  <c r="T90" i="31"/>
  <c r="T59" i="31"/>
  <c r="P166" i="31"/>
  <c r="T23" i="31"/>
  <c r="T117" i="31"/>
  <c r="T91" i="31"/>
  <c r="T16" i="31"/>
  <c r="T116" i="31"/>
  <c r="T21" i="31"/>
  <c r="T111" i="31"/>
  <c r="U15" i="31"/>
  <c r="T92" i="31"/>
  <c r="T15" i="31"/>
  <c r="T64" i="31"/>
  <c r="T58" i="31"/>
  <c r="AD10" i="31" l="1"/>
  <c r="AD11" i="31"/>
  <c r="AJ11" i="31"/>
  <c r="AJ8" i="31"/>
  <c r="AJ13" i="31"/>
  <c r="AJ12" i="31"/>
  <c r="AJ14" i="31"/>
  <c r="U162" i="31"/>
  <c r="U94" i="31"/>
  <c r="U78" i="31"/>
  <c r="U48" i="31"/>
  <c r="U93" i="31"/>
  <c r="AJ19" i="31" l="1"/>
  <c r="AJ20" i="31"/>
  <c r="AJ21" i="31"/>
  <c r="B23" i="15"/>
  <c r="D23" i="15"/>
  <c r="F61" i="15" l="1"/>
  <c r="F52" i="15"/>
  <c r="U16" i="31" l="1"/>
  <c r="U58" i="31"/>
  <c r="U135" i="31"/>
  <c r="U116" i="31"/>
  <c r="E61" i="15"/>
  <c r="U21" i="31"/>
  <c r="U111" i="31"/>
  <c r="U64" i="31"/>
  <c r="U117" i="31"/>
  <c r="U91" i="31"/>
  <c r="U92" i="31"/>
  <c r="U59" i="31"/>
  <c r="U17" i="31"/>
  <c r="U119" i="31" l="1"/>
  <c r="Q119" i="31"/>
  <c r="Q54" i="31"/>
  <c r="U54" i="31" s="1"/>
  <c r="U156" i="31"/>
  <c r="Q156" i="31"/>
  <c r="Q102" i="31"/>
  <c r="U102" i="31" s="1"/>
  <c r="U148" i="31"/>
  <c r="Q148" i="31"/>
  <c r="Q140" i="31"/>
  <c r="U140" i="31" s="1"/>
  <c r="U118" i="31"/>
  <c r="Q118" i="31"/>
  <c r="Q71" i="31"/>
  <c r="U71" i="31" s="1"/>
  <c r="Q65" i="31"/>
  <c r="U65" i="31" s="1"/>
  <c r="Q122" i="31"/>
  <c r="U122" i="31" s="1"/>
  <c r="Q152" i="31"/>
  <c r="U152" i="31" s="1"/>
  <c r="Q141" i="31"/>
  <c r="U141" i="31" s="1"/>
  <c r="Q115" i="31"/>
  <c r="U115" i="31" s="1"/>
  <c r="Q114" i="31"/>
  <c r="U114" i="31" s="1"/>
  <c r="Q155" i="31"/>
  <c r="U155" i="31" s="1"/>
  <c r="Q32" i="31"/>
  <c r="U32" i="31" s="1"/>
  <c r="Q80" i="31"/>
  <c r="U80" i="31" s="1"/>
  <c r="Q127" i="31"/>
  <c r="U127" i="31" s="1"/>
  <c r="Q50" i="31"/>
  <c r="AK5" i="31" s="1"/>
  <c r="U50" i="31"/>
  <c r="Q79" i="31"/>
  <c r="U79" i="31"/>
  <c r="Q159" i="31"/>
  <c r="U159" i="31"/>
  <c r="Q121" i="31"/>
  <c r="U121" i="31"/>
  <c r="Q163" i="31"/>
  <c r="U163" i="31"/>
  <c r="Q151" i="31"/>
  <c r="U151" i="31"/>
  <c r="Q31" i="31"/>
  <c r="U31" i="31" s="1"/>
  <c r="AL5" i="31" l="1"/>
  <c r="Q166" i="31"/>
  <c r="AK3" i="31"/>
  <c r="AK6" i="31" l="1"/>
  <c r="AK12" i="31"/>
  <c r="AK13" i="31" l="1"/>
  <c r="AK24" i="31"/>
  <c r="AK25" i="31" s="1"/>
  <c r="AK11" i="31"/>
  <c r="AK8" i="31"/>
  <c r="AK14" i="31"/>
  <c r="AK20" i="31" l="1"/>
  <c r="AK19" i="31"/>
  <c r="AK21" i="31"/>
</calcChain>
</file>

<file path=xl/sharedStrings.xml><?xml version="1.0" encoding="utf-8"?>
<sst xmlns="http://schemas.openxmlformats.org/spreadsheetml/2006/main" count="1195" uniqueCount="508">
  <si>
    <t>Alcester Grammar School</t>
  </si>
  <si>
    <t>Altrincham Grammar School for Boys</t>
  </si>
  <si>
    <t>Altrincham Grammar School for Girls</t>
  </si>
  <si>
    <t>Aylesbury Grammar School</t>
  </si>
  <si>
    <t>AYLESBURY HIGH SCHOOL</t>
  </si>
  <si>
    <t>Bacup and Rawtenstall Grammar</t>
  </si>
  <si>
    <t>Barton Court Grammar School</t>
  </si>
  <si>
    <t>Beaconsfield High School</t>
  </si>
  <si>
    <t>Beths Grammar School</t>
  </si>
  <si>
    <t>Bexley Grammar School</t>
  </si>
  <si>
    <t>BISHOP VESEY'S GRAMMAR SCHOOL</t>
  </si>
  <si>
    <t>Bishop Wordsworth's School</t>
  </si>
  <si>
    <t>Borden Grammar School</t>
  </si>
  <si>
    <t>Boston Grammar School</t>
  </si>
  <si>
    <t>Boston High School</t>
  </si>
  <si>
    <t>Bourne Grammar School</t>
  </si>
  <si>
    <t>Bournemouth School</t>
  </si>
  <si>
    <t>Bournemouth School for Girls</t>
  </si>
  <si>
    <t>BURNHAM GRAMMAR SCHOOL</t>
  </si>
  <si>
    <t>CAISTOR GRAMMAR SCHOOL</t>
  </si>
  <si>
    <t>Calday Grange Grammar School</t>
  </si>
  <si>
    <t>Carre's Grammar School</t>
  </si>
  <si>
    <t>Chatham and Clarendon Grammar School</t>
  </si>
  <si>
    <t>Chatham Grammar School for Girls</t>
  </si>
  <si>
    <t>Chelmsford County High School for Girls</t>
  </si>
  <si>
    <t>CHESHAM GRAMMAR SCHOOL</t>
  </si>
  <si>
    <t>Chislehurst &amp; Sidcup Grammar</t>
  </si>
  <si>
    <t>CHURSTON FERRERS GRAMMAR SCHOOL</t>
  </si>
  <si>
    <t>Clitheroe Royal Grammar School</t>
  </si>
  <si>
    <t>COLCHESTER COUNTY HIGH SCHOOL</t>
  </si>
  <si>
    <t>Colchester Royal Grammar School</t>
  </si>
  <si>
    <t>Colyton Grammar School</t>
  </si>
  <si>
    <t>Cranbrook School</t>
  </si>
  <si>
    <t>Dane Court Grammar School</t>
  </si>
  <si>
    <t>Dartford Grammar School</t>
  </si>
  <si>
    <t>Dartford Grammar School for Girls</t>
  </si>
  <si>
    <t>Denmark Road High School</t>
  </si>
  <si>
    <t>Devonport High School for Boys</t>
  </si>
  <si>
    <t>Devonport High School for Girls</t>
  </si>
  <si>
    <t>Dover Grammar School for Boys</t>
  </si>
  <si>
    <t>Dover Grammar School for Girls</t>
  </si>
  <si>
    <t>Dr Challoner's Grammar School</t>
  </si>
  <si>
    <t>Dr. Challoner's High School</t>
  </si>
  <si>
    <t>Ermysteds Grammar School</t>
  </si>
  <si>
    <t>Fort Pitt Grammar School</t>
  </si>
  <si>
    <t>GRAVESEND GRAMMAR SCHOOL</t>
  </si>
  <si>
    <t>Haberdashers' Adams</t>
  </si>
  <si>
    <t>Heckmondwike Grammar School</t>
  </si>
  <si>
    <t>Herschel Grammar School</t>
  </si>
  <si>
    <t>Highsted Grammar School</t>
  </si>
  <si>
    <t>Highworth Grammar School</t>
  </si>
  <si>
    <t>Holcombe Grammar School</t>
  </si>
  <si>
    <t>Ilford County High School</t>
  </si>
  <si>
    <t>Invicta Grammar School</t>
  </si>
  <si>
    <t>JOHN HAMPDEN GRAMMAR SCHOOL</t>
  </si>
  <si>
    <t>KENDRICK SCHOOL</t>
  </si>
  <si>
    <t>Kesteven &amp; Grantham Girls' School</t>
  </si>
  <si>
    <t>Kesteven &amp; Sleaford High School</t>
  </si>
  <si>
    <t>KING EDWARD VI ASTON SCHOOL</t>
  </si>
  <si>
    <t>KING EDWARD VI CAMP HILL GIRLS</t>
  </si>
  <si>
    <t>King Edward VI Camp Hill School for Boys</t>
  </si>
  <si>
    <t>King Edward VI Five Ways</t>
  </si>
  <si>
    <t>KING EDWARD VI GRAMMAR SCHOOL</t>
  </si>
  <si>
    <t>King Edward VI Grammar School, Chelmsford</t>
  </si>
  <si>
    <t>King Edward VI Handsworth Grammar School for Boys</t>
  </si>
  <si>
    <t>King Edward VI Handsworth School</t>
  </si>
  <si>
    <t>KING EDWARD VI SCHOOL</t>
  </si>
  <si>
    <t>Lancaster Girls' Grammar School</t>
  </si>
  <si>
    <t xml:space="preserve">Lancaster Royal Grammar School </t>
  </si>
  <si>
    <t>LANGLEY GRAMMAR SCHOOL</t>
  </si>
  <si>
    <t>LAWRENCE SHERIFF SCHOOL</t>
  </si>
  <si>
    <t>Loreto Grammar School</t>
  </si>
  <si>
    <t>Maidstone Grammar School</t>
  </si>
  <si>
    <t>Maidstone Grammar School for Girls</t>
  </si>
  <si>
    <t>Marling School</t>
  </si>
  <si>
    <t>Mayfield Grammar School, Gravesend</t>
  </si>
  <si>
    <t>Newport Girls' High School</t>
  </si>
  <si>
    <t>NEWSTEAD WOOD SCHOOL</t>
  </si>
  <si>
    <t>NONSUCH HIGH SCHOOL FOR GIRLS</t>
  </si>
  <si>
    <t>North Halifax Grammar School</t>
  </si>
  <si>
    <t>Oakwood Park Grammar School</t>
  </si>
  <si>
    <t>Parkstone Grammar School</t>
  </si>
  <si>
    <t>Pate's Grammar School</t>
  </si>
  <si>
    <t>Plymouth High School for Girls</t>
  </si>
  <si>
    <t>Poole Grammar School</t>
  </si>
  <si>
    <t>Queen Elizabeth Grammar School Penrith</t>
  </si>
  <si>
    <t>Queen Elizabeth's Grammar</t>
  </si>
  <si>
    <t>Queen Elizabeth's Grammar School</t>
  </si>
  <si>
    <t>Queen Elizabeth's Grammar, Alford - A Selective Academy</t>
  </si>
  <si>
    <t>Queen Elizabeth's High School</t>
  </si>
  <si>
    <t>Queen Elizabeth's School</t>
  </si>
  <si>
    <t>Queen Mary's Grammar School</t>
  </si>
  <si>
    <t>Queen Mary's High School</t>
  </si>
  <si>
    <t>RAINHAM MARK GRAMMAR SCHOOL</t>
  </si>
  <si>
    <t>Reading School</t>
  </si>
  <si>
    <t>Ribston Hall High School</t>
  </si>
  <si>
    <t>Ripon Grammar School</t>
  </si>
  <si>
    <t>Rochester Grammar School</t>
  </si>
  <si>
    <t>Royal Grammar School</t>
  </si>
  <si>
    <t>Rugby High School</t>
  </si>
  <si>
    <t>Saint Ambrose College</t>
  </si>
  <si>
    <t>Sale Grammar School</t>
  </si>
  <si>
    <t>Simon Langton Girls' Grammar School</t>
  </si>
  <si>
    <t>Simon Langton Grammar School for Boys</t>
  </si>
  <si>
    <t>Sir Henry Floyd Grammar School</t>
  </si>
  <si>
    <t>SIR JOSEPH WILLIAMSONS MATHEMATICAL SCHOOL</t>
  </si>
  <si>
    <t>SIR ROGER MANWOOD'S SCHOOL</t>
  </si>
  <si>
    <t>Sir Thomas Rich's School</t>
  </si>
  <si>
    <t>Sir William Borlase's Grammar</t>
  </si>
  <si>
    <t>Skegness Grammar School</t>
  </si>
  <si>
    <t>Skipton Girls' High School</t>
  </si>
  <si>
    <t>SOUTH WILTS GRAMMAR SCHOOL</t>
  </si>
  <si>
    <t>SOUTHEND H.S. FOR GIRLS</t>
  </si>
  <si>
    <t>SOUTHEND HIGH SCHOOL FOR BOYS</t>
  </si>
  <si>
    <t>Spalding Grammar School</t>
  </si>
  <si>
    <t>Spalding High School</t>
  </si>
  <si>
    <t>St Anselm's College</t>
  </si>
  <si>
    <t>St Bernard's Catholic Grammar School</t>
  </si>
  <si>
    <t>St Michaels Catholic Grammar School</t>
  </si>
  <si>
    <t>ST OLAVE'S GRAMMAR SCHOOL</t>
  </si>
  <si>
    <t>St. Joseph's College</t>
  </si>
  <si>
    <t>Stratford Girls' Grammar School</t>
  </si>
  <si>
    <t>Stretford Grammar School</t>
  </si>
  <si>
    <t>Stroud High School</t>
  </si>
  <si>
    <t>Sutton Coldfield Grammar School for Girls</t>
  </si>
  <si>
    <t>Sutton Grammar School</t>
  </si>
  <si>
    <t>The Blue Coat School</t>
  </si>
  <si>
    <t>The Crossley Heath School</t>
  </si>
  <si>
    <t>The Crypt School</t>
  </si>
  <si>
    <t>The Folkestone School for Girls</t>
  </si>
  <si>
    <t>The Harvey Grammar School</t>
  </si>
  <si>
    <t>The Henrietta Barnett School</t>
  </si>
  <si>
    <t>The Judd School</t>
  </si>
  <si>
    <t>The King's School, Grantham.</t>
  </si>
  <si>
    <t>The Latymer School</t>
  </si>
  <si>
    <t>The Norton Knatchbull School</t>
  </si>
  <si>
    <t>The Royal Latin School</t>
  </si>
  <si>
    <t>The Skinners' School Academy Trust</t>
  </si>
  <si>
    <t>The Tiffin Girls' School</t>
  </si>
  <si>
    <t>TIFFIN SCHOOL</t>
  </si>
  <si>
    <t>Tonbridge Grammar School</t>
  </si>
  <si>
    <t>Torquay Boys' Grammar School</t>
  </si>
  <si>
    <t>TORQUAY GIRLS GRAMMAR SCHOOL</t>
  </si>
  <si>
    <t>Townley Grammar School</t>
  </si>
  <si>
    <t>Tunbridge Wells Girls' Grammar</t>
  </si>
  <si>
    <t>Tunbridge Wells Grammar School for Boys</t>
  </si>
  <si>
    <t>Upton Court Grammar School</t>
  </si>
  <si>
    <t>Upton Hall School</t>
  </si>
  <si>
    <t>Urmston Grammar</t>
  </si>
  <si>
    <t>WALLINGTON COUNTY GRAMMAR SCHOOL</t>
  </si>
  <si>
    <t>Wallington Girls High School</t>
  </si>
  <si>
    <t>Weald of Kent Grammar School</t>
  </si>
  <si>
    <t>West Kirby Grammar School</t>
  </si>
  <si>
    <t>Westcliff High School for Boys</t>
  </si>
  <si>
    <t>Westcliff High School for Girls</t>
  </si>
  <si>
    <t>Wilmington Boys Grammar School</t>
  </si>
  <si>
    <t>Wilmington Grammar School for Girls</t>
  </si>
  <si>
    <t>Wilson's School</t>
  </si>
  <si>
    <t>WIRRAL  GRAMMAR SCHOOL FOR GIRLS</t>
  </si>
  <si>
    <t>Wirral Grammar School for Boys</t>
  </si>
  <si>
    <t>Wolverhampton Girls' High</t>
  </si>
  <si>
    <t>Woodford County High School</t>
  </si>
  <si>
    <t>Wycombe High School</t>
  </si>
  <si>
    <t>Notes</t>
  </si>
  <si>
    <t>school name</t>
  </si>
  <si>
    <t>cost of test</t>
  </si>
  <si>
    <t>Redbridge</t>
  </si>
  <si>
    <t>IG6 2JB</t>
  </si>
  <si>
    <t>IG8 9LA</t>
  </si>
  <si>
    <t>PL4 6HT</t>
  </si>
  <si>
    <t>Kent</t>
  </si>
  <si>
    <t>TN4 9XB</t>
  </si>
  <si>
    <t>CT16 2PZ</t>
  </si>
  <si>
    <t>CT1 3EW</t>
  </si>
  <si>
    <t>Spalding</t>
  </si>
  <si>
    <t>PE11 2PJ</t>
  </si>
  <si>
    <t>The Queen Elizabeth's High School, Gainsborough</t>
  </si>
  <si>
    <t>Gainsborough</t>
  </si>
  <si>
    <t>HG4 2DG</t>
  </si>
  <si>
    <t>FOI to school</t>
  </si>
  <si>
    <t>https://www.whatdotheyknow.com/request/disadvantage_admissions_arrangem_147</t>
  </si>
  <si>
    <t>https://www.whatdotheyknow.com/request/disadvantage_admissions_arrangem_92</t>
  </si>
  <si>
    <t>https://www.whatdotheyknow.com/request/disadvantage_admissions_arrangem_21</t>
  </si>
  <si>
    <t>https://www.whatdotheyknow.com/request/disadvantage_admissions_arrangem_24</t>
  </si>
  <si>
    <t>https://www.whatdotheyknow.com/request/disadvantage_admissions_arrangem_16</t>
  </si>
  <si>
    <t>https://www.whatdotheyknow.com/request/disadvantage_admissions_arrangem_15</t>
  </si>
  <si>
    <t>https://www.whatdotheyknow.com/request/disadvantage_admissions_arrangem_17</t>
  </si>
  <si>
    <t>https://www.whatdotheyknow.com/request/disadvantage_admissions_arrangem_120</t>
  </si>
  <si>
    <t>https://www.whatdotheyknow.com/request/disadvantage_admissions_arrangem_119</t>
  </si>
  <si>
    <t>Group test</t>
  </si>
  <si>
    <t>Alford</t>
  </si>
  <si>
    <t>ME13 7BQ</t>
  </si>
  <si>
    <t>pcode</t>
  </si>
  <si>
    <t>B49 5ED</t>
  </si>
  <si>
    <t>WA14 2RS</t>
  </si>
  <si>
    <t>WA14 2NL</t>
  </si>
  <si>
    <t>HP21 7RP</t>
  </si>
  <si>
    <t>HP21 7SX</t>
  </si>
  <si>
    <t>CT1 1PH</t>
  </si>
  <si>
    <t>HP9 1RR</t>
  </si>
  <si>
    <t>DA5 1NE</t>
  </si>
  <si>
    <t>DA16 2BL</t>
  </si>
  <si>
    <t>B74 2NH</t>
  </si>
  <si>
    <t>ME10 4DB</t>
  </si>
  <si>
    <t>PE21 9PF</t>
  </si>
  <si>
    <t>PE10 9JE</t>
  </si>
  <si>
    <t>BH8 9PY</t>
  </si>
  <si>
    <t>BH8 9UJ</t>
  </si>
  <si>
    <t>SL1 7HG</t>
  </si>
  <si>
    <t>LN7 6QJ</t>
  </si>
  <si>
    <t>CH48 8GG</t>
  </si>
  <si>
    <t>NG34 7DD</t>
  </si>
  <si>
    <t>CM1 1RW</t>
  </si>
  <si>
    <t>HP5 1BA</t>
  </si>
  <si>
    <t>BB7 2DJ</t>
  </si>
  <si>
    <t>CO3 3ND</t>
  </si>
  <si>
    <t>EX24 6HN</t>
  </si>
  <si>
    <t>TN17 3JD</t>
  </si>
  <si>
    <t>CT10 2RT</t>
  </si>
  <si>
    <t>DA1 2HW</t>
  </si>
  <si>
    <t>DA1 2NT</t>
  </si>
  <si>
    <t>GL1 3JN</t>
  </si>
  <si>
    <t>PL1 5QP</t>
  </si>
  <si>
    <t>PL2 3DL</t>
  </si>
  <si>
    <t>CT17 0DQ</t>
  </si>
  <si>
    <t>HP6 5HA</t>
  </si>
  <si>
    <t>ME4 6TJ</t>
  </si>
  <si>
    <t>DA12 2PR</t>
  </si>
  <si>
    <t>TF10 7BD</t>
  </si>
  <si>
    <t>WF16 0AH</t>
  </si>
  <si>
    <t>SL1 3BW</t>
  </si>
  <si>
    <t>ME10 4PT</t>
  </si>
  <si>
    <t>TN24 8UD</t>
  </si>
  <si>
    <t>ME4 6JB</t>
  </si>
  <si>
    <t>ME14 5DS</t>
  </si>
  <si>
    <t>HP11 1SZ</t>
  </si>
  <si>
    <t>RG1 5BN</t>
  </si>
  <si>
    <t>B6 6DJ</t>
  </si>
  <si>
    <t>B14 7QJ</t>
  </si>
  <si>
    <t>LN11 9LL</t>
  </si>
  <si>
    <t>CM1 3SX</t>
  </si>
  <si>
    <t>B21 9ET</t>
  </si>
  <si>
    <t>B21 9AR</t>
  </si>
  <si>
    <t>CV37 6BE</t>
  </si>
  <si>
    <t>LA1 1SF</t>
  </si>
  <si>
    <t>SL3 7QS</t>
  </si>
  <si>
    <t>CV21 3AG</t>
  </si>
  <si>
    <t>WA14 4AH</t>
  </si>
  <si>
    <t>ME15 7BT</t>
  </si>
  <si>
    <t>ME16 0SF</t>
  </si>
  <si>
    <t>GL5 4HE</t>
  </si>
  <si>
    <t>DA11 0JE</t>
  </si>
  <si>
    <t>BR6 9SA</t>
  </si>
  <si>
    <t>SM3 8AB</t>
  </si>
  <si>
    <t>ME16 8AH</t>
  </si>
  <si>
    <t>BH17 7EP</t>
  </si>
  <si>
    <t>GL51 0HG</t>
  </si>
  <si>
    <t>BH17 9JU</t>
  </si>
  <si>
    <t>CA11 7EG</t>
  </si>
  <si>
    <t>WS1 2PG</t>
  </si>
  <si>
    <t>WS4 2AE</t>
  </si>
  <si>
    <t>ME8 7AJ</t>
  </si>
  <si>
    <t>RG1 5LW</t>
  </si>
  <si>
    <t>GL1 5LE</t>
  </si>
  <si>
    <t>CV22 7RE</t>
  </si>
  <si>
    <t>WA15 0HE</t>
  </si>
  <si>
    <t>M33 3NH</t>
  </si>
  <si>
    <t>CT4 7AS</t>
  </si>
  <si>
    <t>HP21 8PE</t>
  </si>
  <si>
    <t>CT13 9JX</t>
  </si>
  <si>
    <t>GL2 0LF</t>
  </si>
  <si>
    <t>PE25 2QS</t>
  </si>
  <si>
    <t>BD23 1QL</t>
  </si>
  <si>
    <t>SP1 3JJ</t>
  </si>
  <si>
    <t>SS0 0RG</t>
  </si>
  <si>
    <t>PE11 2XH</t>
  </si>
  <si>
    <t>CH43 1UQ</t>
  </si>
  <si>
    <t>SL3 7AF</t>
  </si>
  <si>
    <t>CV37 9HA</t>
  </si>
  <si>
    <t>M32 8JB</t>
  </si>
  <si>
    <t>GL5 4HF</t>
  </si>
  <si>
    <t>B73 5PT</t>
  </si>
  <si>
    <t>SM1 4AS</t>
  </si>
  <si>
    <t>L15 9EE</t>
  </si>
  <si>
    <t>HX3 0HG</t>
  </si>
  <si>
    <t>GL2 5AE</t>
  </si>
  <si>
    <t>CT20 3RB</t>
  </si>
  <si>
    <t>CT19 5JY</t>
  </si>
  <si>
    <t>NW11 7BN</t>
  </si>
  <si>
    <t>TN9 2PN</t>
  </si>
  <si>
    <t>N9 9TN</t>
  </si>
  <si>
    <t>TN24 0QJ</t>
  </si>
  <si>
    <t>KT2 5PL</t>
  </si>
  <si>
    <t>KT2 6RL</t>
  </si>
  <si>
    <t>TN9 2JR</t>
  </si>
  <si>
    <t>TQ2 7EL</t>
  </si>
  <si>
    <t>TQ2 7DY</t>
  </si>
  <si>
    <t>DA6 7AB</t>
  </si>
  <si>
    <t>SL3 7PR</t>
  </si>
  <si>
    <t>SM6 7PH</t>
  </si>
  <si>
    <t>TN9 2JP</t>
  </si>
  <si>
    <t>CH48 5DP</t>
  </si>
  <si>
    <t>SS0 0BS</t>
  </si>
  <si>
    <t>DA2 7BB</t>
  </si>
  <si>
    <t>SM6 9JW</t>
  </si>
  <si>
    <t>CH63 3AQ</t>
  </si>
  <si>
    <t>HP11 1TB</t>
  </si>
  <si>
    <t>Trafford</t>
  </si>
  <si>
    <t>Slough</t>
  </si>
  <si>
    <t>EN5 4DQ</t>
  </si>
  <si>
    <t>Gloucester</t>
  </si>
  <si>
    <t>Queen Elizabeth's Grammar Alford - A Selective Academy</t>
  </si>
  <si>
    <t>Bexley</t>
  </si>
  <si>
    <t>Caistor Grammar School</t>
  </si>
  <si>
    <t>Caistor</t>
  </si>
  <si>
    <t>CT11 7PS</t>
  </si>
  <si>
    <t>Essex</t>
  </si>
  <si>
    <t>Sutton</t>
  </si>
  <si>
    <t>Birmingham</t>
  </si>
  <si>
    <t>Wirral</t>
  </si>
  <si>
    <t>The King's School, Grantham</t>
  </si>
  <si>
    <t>Grantham</t>
  </si>
  <si>
    <t>Sleaford</t>
  </si>
  <si>
    <t>Kesteven and Sleaford High School Selective Academy</t>
  </si>
  <si>
    <t>Bourne</t>
  </si>
  <si>
    <t>Kesteven and Grantham Girls' School</t>
  </si>
  <si>
    <t>Queen Elizabeth's Grammar School, Horncastle</t>
  </si>
  <si>
    <t>Horncastle</t>
  </si>
  <si>
    <t>Skegness</t>
  </si>
  <si>
    <t>Boston</t>
  </si>
  <si>
    <t>The Boston Grammar School</t>
  </si>
  <si>
    <t>King Edward VI Grammar School</t>
  </si>
  <si>
    <t>Lincs</t>
  </si>
  <si>
    <t>WDTK</t>
  </si>
  <si>
    <t>King Edward VI Academy</t>
  </si>
  <si>
    <t>Carre’s Grammar School</t>
  </si>
  <si>
    <t>Kesteven and Grantham Girls’ School</t>
  </si>
  <si>
    <t>Queen Elizabeth’s Grammar School, Alford</t>
  </si>
  <si>
    <t>Queen Elizabeth’s Grammar School, Horncastle</t>
  </si>
  <si>
    <t>Queen Elizabeth’s High School</t>
  </si>
  <si>
    <t>The King’s School Grantham</t>
  </si>
  <si>
    <t>school</t>
  </si>
  <si>
    <t>TBGS</t>
  </si>
  <si>
    <t>Warks</t>
  </si>
  <si>
    <t>GIAS</t>
  </si>
  <si>
    <t>ICO DN</t>
  </si>
  <si>
    <t>https://grammarschools.lincs.sch.uk/home</t>
  </si>
  <si>
    <t>Queen Elizabeth, Gainsborough</t>
  </si>
  <si>
    <t>King Edward VI ?? Lincs Wolds</t>
  </si>
  <si>
    <t>King Edward VI ?? Spilsby</t>
  </si>
  <si>
    <t>The page itself says there are 14 grammar schools in Lincs. If the Lincs Consortium can't say how many grammar schools are in Lincs …</t>
  </si>
  <si>
    <t>GIAS URL</t>
  </si>
  <si>
    <t>Medway Council</t>
  </si>
  <si>
    <t xml:space="preserve"> </t>
  </si>
  <si>
    <t># tested</t>
  </si>
  <si>
    <t>#schools</t>
  </si>
  <si>
    <t>Shropshire/Wolverhampton/Walsall</t>
  </si>
  <si>
    <t>cost/head</t>
  </si>
  <si>
    <t>#tested</t>
  </si>
  <si>
    <t>https://www.whatdotheyknow.com/request/cost_of_11_testing</t>
  </si>
  <si>
    <t>Queen Elizabeth Barnett</t>
  </si>
  <si>
    <t>schools</t>
  </si>
  <si>
    <t>https://www.whatdotheyknow.com/request/cost_of_11_testing_15</t>
  </si>
  <si>
    <t>(minus the one on the consortium website which isn't even in the consortium)</t>
  </si>
  <si>
    <t xml:space="preserve">Main "structured data" worksheet appeared to be missing a Queen Lizzy. Found it when trying to disambigubogulate the Barnet grammars. </t>
  </si>
  <si>
    <t>https://www.whatdotheyknow.com/request/disadvantage_admissions_arrangem_61</t>
  </si>
  <si>
    <t>https://www.whatdotheyknow.com/request/disadvantage_admissions_arrangem_62</t>
  </si>
  <si>
    <t>https://www.whatdotheyknow.com/request/disadvantage_admissions_arrangem_67</t>
  </si>
  <si>
    <t>https://www.whatdotheyknow.com/request/disadvantage_admissions_arrangem_143</t>
  </si>
  <si>
    <t>https://www.whatdotheyknow.com/request/disadvantage_admissions_arrangem_139</t>
  </si>
  <si>
    <t>Original</t>
  </si>
  <si>
    <t>New June</t>
  </si>
  <si>
    <t>https://www.whatdotheyknow.com/request/cost_of_11_testing_27</t>
  </si>
  <si>
    <t>https://www.whatdotheyknow.com/request/cost_of_11_testing_26</t>
  </si>
  <si>
    <t>https://www.whatdotheyknow.com/request/cost_of_11_testing_25</t>
  </si>
  <si>
    <t>https://www.whatdotheyknow.com/request/cost_of_11_testing_24</t>
  </si>
  <si>
    <t>https://www.whatdotheyknow.com/request/cost_of_11_testing_23</t>
  </si>
  <si>
    <t>https://www.whatdotheyknow.com/request/cost_of_11_testing_22</t>
  </si>
  <si>
    <t>https://www.whatdotheyknow.com/request/cost_of_11_testing_21</t>
  </si>
  <si>
    <t>https://www.whatdotheyknow.com/request/cost_of_11_testing_20</t>
  </si>
  <si>
    <t>https://www.whatdotheyknow.com/request/cost_of_11_testing_19</t>
  </si>
  <si>
    <t>https://www.whatdotheyknow.com/request/cost_of_11_testing_18</t>
  </si>
  <si>
    <t>https://www.whatdotheyknow.com/request/cost_of_11_testing_17</t>
  </si>
  <si>
    <t>https://www.whatdotheyknow.com/request/cost_of_11_testing_16</t>
  </si>
  <si>
    <t>BCP</t>
  </si>
  <si>
    <t>provider</t>
  </si>
  <si>
    <t>GLA</t>
  </si>
  <si>
    <t>DIY</t>
  </si>
  <si>
    <t>https://www.whatdotheyknow.com/body/queen_elizabeths_grammar_alford_a_selective_academy</t>
  </si>
  <si>
    <t xml:space="preserve">Queen Elizabeth High School </t>
  </si>
  <si>
    <t>#map</t>
  </si>
  <si>
    <t>King Edward VI</t>
  </si>
  <si>
    <t>Spilsby</t>
  </si>
  <si>
    <t>Town</t>
  </si>
  <si>
    <t>Louth (yellow)</t>
  </si>
  <si>
    <t>https://get-information-schools.service.gov.uk/Establishments/Establishment/Details/138783</t>
  </si>
  <si>
    <t xml:space="preserve">&lt; Not a selective (grammar) school but listed on the consortium's website. </t>
  </si>
  <si>
    <r>
      <t xml:space="preserve">After finding the grammar school that isn't a grammar school and ignoring the fact the lincs consortium website says there are 13 grammars this list of </t>
    </r>
    <r>
      <rPr>
        <b/>
        <sz val="11"/>
        <color theme="1"/>
        <rFont val="Aptos Narrow"/>
        <family val="2"/>
        <scheme val="minor"/>
      </rPr>
      <t>FIFTEEN</t>
    </r>
    <r>
      <rPr>
        <sz val="11"/>
        <color theme="1"/>
        <rFont val="Aptos Narrow"/>
        <family val="2"/>
        <scheme val="minor"/>
      </rPr>
      <t xml:space="preserve"> seems finally correct. </t>
    </r>
  </si>
  <si>
    <t>#ACTUAL</t>
  </si>
  <si>
    <t>£ACTUAL</t>
  </si>
  <si>
    <t>FINAL SORTED NAME</t>
  </si>
  <si>
    <r>
      <t xml:space="preserve">Queen Elizabeth, </t>
    </r>
    <r>
      <rPr>
        <b/>
        <sz val="11"/>
        <color theme="1"/>
        <rFont val="Aptos Narrow"/>
        <family val="2"/>
        <scheme val="minor"/>
      </rPr>
      <t>Penrith</t>
    </r>
    <r>
      <rPr>
        <sz val="11"/>
        <color theme="1"/>
        <rFont val="Aptos Narrow"/>
        <family val="2"/>
        <scheme val="minor"/>
      </rPr>
      <t xml:space="preserve">. </t>
    </r>
  </si>
  <si>
    <r>
      <rPr>
        <b/>
        <sz val="11"/>
        <color theme="1"/>
        <rFont val="Aptos Narrow"/>
        <family val="2"/>
        <scheme val="minor"/>
      </rPr>
      <t>Penrith</t>
    </r>
    <r>
      <rPr>
        <sz val="11"/>
        <color theme="1"/>
        <rFont val="Aptos Narrow"/>
        <family val="2"/>
        <scheme val="minor"/>
      </rPr>
      <t xml:space="preserve"> is in </t>
    </r>
    <r>
      <rPr>
        <b/>
        <sz val="11"/>
        <color theme="1"/>
        <rFont val="Aptos Narrow"/>
        <family val="2"/>
        <scheme val="minor"/>
      </rPr>
      <t>Cumbria</t>
    </r>
  </si>
  <si>
    <t>Sent request here because this is the authority that replied (not that the reply was legible) for the whole consortium. But then only got the individual school's cost.</t>
  </si>
  <si>
    <t>&lt;&lt; total tested (first hand info)</t>
  </si>
  <si>
    <t>https://www.whatdotheyknow.com/request/disadvantage_admissions_arrangem_95</t>
  </si>
  <si>
    <t>Newstead Wood</t>
  </si>
  <si>
    <t>St Olave's</t>
  </si>
  <si>
    <t>HenriettaBarnett</t>
  </si>
  <si>
    <t>Latymer</t>
  </si>
  <si>
    <t>Tiffin Girls</t>
  </si>
  <si>
    <t>Tiffin</t>
  </si>
  <si>
    <t>GroupSize</t>
  </si>
  <si>
    <r>
      <t xml:space="preserve">The cost was </t>
    </r>
    <r>
      <rPr>
        <b/>
        <sz val="11"/>
        <color theme="1"/>
        <rFont val="Aptos Narrow"/>
        <family val="2"/>
        <scheme val="minor"/>
      </rPr>
      <t>approximately</t>
    </r>
    <r>
      <rPr>
        <sz val="11"/>
        <color theme="1"/>
        <rFont val="Aptos Narrow"/>
        <family val="2"/>
        <scheme val="minor"/>
      </rPr>
      <t xml:space="preserve"> £10,000.</t>
    </r>
  </si>
  <si>
    <t>Name on consortium map</t>
  </si>
  <si>
    <t>FS</t>
  </si>
  <si>
    <t>Lancs</t>
  </si>
  <si>
    <t>CEM</t>
  </si>
  <si>
    <t>#tests</t>
  </si>
  <si>
    <t>Kent|Dover</t>
  </si>
  <si>
    <t>Kent|Shepway</t>
  </si>
  <si>
    <t>Kent|Borden</t>
  </si>
  <si>
    <t>Kent|Mayfield</t>
  </si>
  <si>
    <t>Kent|Highsted</t>
  </si>
  <si>
    <t xml:space="preserve">Wirral council provide the test, refused to disclose the cost, but it's on contract finder. This covers four schools over two years, hence col Q is £84k /8. FOIs split the number of boys/girls taking the test so have kept these separate. </t>
  </si>
  <si>
    <t>Crypt School gave definitive number sitting the Gloucester test as 2670</t>
  </si>
  <si>
    <t xml:space="preserve">Cost based on good response from Haberdashers. </t>
  </si>
  <si>
    <t>Cost based on good response from Haberdashers. (£53,146 fo consortium)</t>
  </si>
  <si>
    <t xml:space="preserve">Numbers confirmed. Assumed equal per school. Mean cost/head used. </t>
  </si>
  <si>
    <t xml:space="preserve">Numbers confirmed. Redbridge refused to disclose costs even after ICO decision. Mean cost/head used. </t>
  </si>
  <si>
    <t>valid</t>
  </si>
  <si>
    <t xml:space="preserve">THIS PROVIDES A COST PER SEAT based on three good responses. </t>
  </si>
  <si>
    <r>
      <rPr>
        <b/>
        <sz val="11"/>
        <color theme="1"/>
        <rFont val="Aptos Narrow"/>
        <family val="2"/>
        <scheme val="minor"/>
      </rPr>
      <t>Average</t>
    </r>
    <r>
      <rPr>
        <sz val="11"/>
        <color theme="1"/>
        <rFont val="Aptos Narrow"/>
        <family val="2"/>
        <scheme val="minor"/>
      </rPr>
      <t xml:space="preserve"> per school (numbers/costs) </t>
    </r>
  </si>
  <si>
    <t xml:space="preserve">&lt;&lt; This cost per seat is then used above to work back from the cost to candidates. </t>
  </si>
  <si>
    <t xml:space="preserve">unaccounted for after applying linear equation to work out numbers from costs. </t>
  </si>
  <si>
    <t>Residuals</t>
  </si>
  <si>
    <t>(assuming £ = 2422 + x * 26.56</t>
  </si>
  <si>
    <t>candidate</t>
  </si>
  <si>
    <t xml:space="preserve">There are 15 schools in the consortium (although numbers on the Lincs consortium website varied a lot!) </t>
  </si>
  <si>
    <t xml:space="preserve">Total number of candidates was provided in the first round of interrogation (but not the costs!) </t>
  </si>
  <si>
    <t xml:space="preserve">Second round of interrogation! </t>
  </si>
  <si>
    <t xml:space="preserve">Three schools provided both the costs and numbers. </t>
  </si>
  <si>
    <t xml:space="preserve">A further nine provided costs. </t>
  </si>
  <si>
    <t xml:space="preserve">Three provided no information and I eventually gave up! </t>
  </si>
  <si>
    <t xml:space="preserve">How I estimated the numbers and costs in Lincolnshire. </t>
  </si>
  <si>
    <t>What I managed to find out</t>
  </si>
  <si>
    <t>Costs were not the same per candidate for the three schools so applied linear regression to get best fit</t>
  </si>
  <si>
    <t xml:space="preserve">This worked out as £2,422 per school plus £26.56 per candidate. </t>
  </si>
  <si>
    <t xml:space="preserve">This was used to estimate the number of candidates for the nine schools where costs were provided. </t>
  </si>
  <si>
    <t>The total number of candidates from the 12/15 where we had some info was subtracted from the known total number</t>
  </si>
  <si>
    <t xml:space="preserve">This left 293 candidates which were equally divided between the remaining three schools. </t>
  </si>
  <si>
    <t xml:space="preserve">…. Not ideal but … </t>
  </si>
  <si>
    <t xml:space="preserve">For simplicity, we assume the Kent test cost and candidates are evenly distributed across the 25 schools not doing their own thing. </t>
  </si>
  <si>
    <t>£costs</t>
  </si>
  <si>
    <t>%schools</t>
  </si>
  <si>
    <t>%tested</t>
  </si>
  <si>
    <t>%costs</t>
  </si>
  <si>
    <t xml:space="preserve">Market share of commercial tests (excluding DIY) </t>
  </si>
  <si>
    <t>commercial</t>
  </si>
  <si>
    <t>£/test</t>
  </si>
  <si>
    <t>total cost (well it's an estimate!)</t>
  </si>
  <si>
    <t xml:space="preserve">The cost provided by council worked out at £100/head. Assume that this was the full cost including administration. </t>
  </si>
  <si>
    <t>administration</t>
  </si>
  <si>
    <t>ChelmsfordCountyGirls</t>
  </si>
  <si>
    <t>Heckmondwike</t>
  </si>
  <si>
    <t>ReadingSchool</t>
  </si>
  <si>
    <t>BlueCoat</t>
  </si>
  <si>
    <t>BacupRawthenstall</t>
  </si>
  <si>
    <t>BishopWordsworth</t>
  </si>
  <si>
    <t>ChurstonFerrers</t>
  </si>
  <si>
    <t>ClitheroeRoyal</t>
  </si>
  <si>
    <t>Colyton</t>
  </si>
  <si>
    <t>DevonportBoys</t>
  </si>
  <si>
    <t>DevonportGirls</t>
  </si>
  <si>
    <t>Ermysteds</t>
  </si>
  <si>
    <t>Kendrick</t>
  </si>
  <si>
    <t>Loreto</t>
  </si>
  <si>
    <t>NorthHalifax</t>
  </si>
  <si>
    <t>PlymouthGirls</t>
  </si>
  <si>
    <t>QueenElizabethPenrith</t>
  </si>
  <si>
    <t>SaintAmbrose</t>
  </si>
  <si>
    <t>SkiptonGirls</t>
  </si>
  <si>
    <t>SouthWilts</t>
  </si>
  <si>
    <t>StAnselms</t>
  </si>
  <si>
    <t>StMichaels</t>
  </si>
  <si>
    <t>StJosephs</t>
  </si>
  <si>
    <t>CrossleyHeath</t>
  </si>
  <si>
    <t>Torquay Boys</t>
  </si>
  <si>
    <t>Torquay Girls</t>
  </si>
  <si>
    <t>UptonHall</t>
  </si>
  <si>
    <t>(Totals)</t>
  </si>
  <si>
    <t>Type of test</t>
  </si>
  <si>
    <t>See Lincs worksheet to understand the extrapolation.</t>
  </si>
  <si>
    <t xml:space="preserve">Kent is complicated! </t>
  </si>
  <si>
    <t>Kent council provide a test which in theory is used by all 32 schools in the county.</t>
  </si>
  <si>
    <t xml:space="preserve">Seven schools introduced their own tests because not enough children pass the Kent test for them to fill all the available places. </t>
  </si>
  <si>
    <t xml:space="preserve">Total numbers and total costs still work out but some of the costs and candidate numbers associated to the 25 other Kent schools may more correctly be attributable to the seven renegade schools. </t>
  </si>
  <si>
    <t>Grammar Consortium</t>
  </si>
  <si>
    <t>Local Authority</t>
  </si>
  <si>
    <t>Single School</t>
  </si>
  <si>
    <t>NorthYorks</t>
  </si>
  <si>
    <t>minimum test cohort size</t>
  </si>
  <si>
    <t>maximum test cohort size</t>
  </si>
  <si>
    <t xml:space="preserve">This originally (intentionally) used a circular reference to automatically adjust the estimate cost of "DIY" tests. </t>
  </si>
  <si>
    <t>How many children sat the school’s entrance test in 2024?</t>
  </si>
  <si>
    <t>If the test is provided by an external company, how much does it cost?</t>
  </si>
  <si>
    <t xml:space="preserve">These are the results of 200+ Freedom of Information requests sent to grammar schools, local authorities and consortia asking they disclose: </t>
  </si>
  <si>
    <t xml:space="preserve">It transpired that several write their own tests. For these schools/consortia the mean values were used.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</si>
</sst>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Red]\-&quot;£&quot;#,##0"/>
    <numFmt numFmtId="8" formatCode="&quot;£&quot;#,##0.00;[Red]\-&quot;£&quot;#,##0.00"/>
    <numFmt numFmtId="164" formatCode="&quot;£&quot;#,##0"/>
    <numFmt numFmtId="165" formatCode="&quot;£&quot;#,##0.00"/>
    <numFmt numFmtId="166" formatCode="#,##0_ ;[Red]\-#,##0\ "/>
  </numFmts>
  <fonts count="10" x14ac:knownFonts="1">
    <font>
      <sz val="11"/>
      <color theme="1"/>
      <name val="Aptos Narrow"/>
      <family val="2"/>
      <scheme val="minor"/>
    </font>
    <font>
      <b/>
      <sz val="11"/>
      <color theme="1"/>
      <name val="Aptos Narrow"/>
      <family val="2"/>
      <scheme val="minor"/>
    </font>
    <font>
      <b/>
      <sz val="11"/>
      <color theme="1"/>
      <name val="Aptos Narrow"/>
      <family val="2"/>
    </font>
    <font>
      <u/>
      <sz val="11"/>
      <color theme="10"/>
      <name val="Aptos Narrow"/>
      <family val="2"/>
      <scheme val="minor"/>
    </font>
    <font>
      <sz val="11"/>
      <color rgb="FF9C0006"/>
      <name val="Aptos Narrow"/>
      <family val="2"/>
      <scheme val="minor"/>
    </font>
    <font>
      <sz val="11"/>
      <color rgb="FF006100"/>
      <name val="Aptos Narrow"/>
      <family val="2"/>
      <scheme val="minor"/>
    </font>
    <font>
      <sz val="12"/>
      <color rgb="FF333333"/>
      <name val="Source Sans Pro"/>
      <family val="2"/>
    </font>
    <font>
      <b/>
      <sz val="11"/>
      <color rgb="FFFA7D00"/>
      <name val="Aptos Narrow"/>
      <family val="2"/>
      <scheme val="minor"/>
    </font>
    <font>
      <sz val="11"/>
      <color theme="1"/>
      <name val="Aptos Narrow"/>
      <family val="2"/>
      <scheme val="minor"/>
    </font>
    <font>
      <sz val="11"/>
      <color rgb="FF3F3F76"/>
      <name val="Aptos Narrow"/>
      <family val="2"/>
      <scheme val="minor"/>
    </font>
  </fonts>
  <fills count="14">
    <fill>
      <patternFill patternType="none"/>
    </fill>
    <fill>
      <patternFill patternType="gray125"/>
    </fill>
    <fill>
      <patternFill patternType="solid">
        <fgColor theme="4" tint="0.79998168889431442"/>
        <bgColor theme="4" tint="0.79998168889431442"/>
      </patternFill>
    </fill>
    <fill>
      <patternFill patternType="solid">
        <fgColor rgb="FFFFC7CE"/>
      </patternFill>
    </fill>
    <fill>
      <patternFill patternType="solid">
        <fgColor rgb="FFC6EFCE"/>
      </patternFill>
    </fill>
    <fill>
      <patternFill patternType="solid">
        <fgColor rgb="FFF2F2F2"/>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CC99"/>
      </patternFill>
    </fill>
    <fill>
      <patternFill patternType="solid">
        <fgColor rgb="FF92D050"/>
        <bgColor indexed="64"/>
      </patternFill>
    </fill>
    <fill>
      <patternFill patternType="solid">
        <fgColor rgb="FF92D050"/>
        <bgColor theme="4" tint="0.79998168889431442"/>
      </patternFill>
    </fill>
    <fill>
      <patternFill patternType="solid">
        <fgColor theme="0"/>
        <bgColor indexed="64"/>
      </patternFill>
    </fill>
    <fill>
      <patternFill patternType="solid">
        <fgColor theme="5" tint="0.79998168889431442"/>
        <bgColor theme="4" tint="0.79998168889431442"/>
      </patternFill>
    </fill>
    <fill>
      <patternFill patternType="solid">
        <fgColor theme="5" tint="0.79998168889431442"/>
        <bgColor indexed="64"/>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6">
    <xf numFmtId="0" fontId="0" fillId="0" borderId="0"/>
    <xf numFmtId="0" fontId="3" fillId="0" borderId="0" applyNumberFormat="0" applyFill="0" applyBorder="0" applyAlignment="0" applyProtection="0"/>
    <xf numFmtId="0" fontId="4" fillId="3" borderId="0" applyNumberFormat="0" applyBorder="0" applyAlignment="0" applyProtection="0"/>
    <xf numFmtId="0" fontId="5" fillId="4" borderId="0" applyNumberFormat="0" applyBorder="0" applyAlignment="0" applyProtection="0"/>
    <xf numFmtId="0" fontId="7" fillId="5" borderId="1" applyNumberFormat="0" applyAlignment="0" applyProtection="0"/>
    <xf numFmtId="0" fontId="9" fillId="8" borderId="1" applyNumberFormat="0" applyAlignment="0" applyProtection="0"/>
  </cellStyleXfs>
  <cellXfs count="53">
    <xf numFmtId="0" fontId="0" fillId="0" borderId="0" xfId="0"/>
    <xf numFmtId="0" fontId="0" fillId="0" borderId="0" xfId="0" applyAlignment="1">
      <alignment horizontal="left"/>
    </xf>
    <xf numFmtId="0" fontId="1" fillId="0" borderId="0" xfId="0" applyFont="1"/>
    <xf numFmtId="0" fontId="3" fillId="0" borderId="0" xfId="1"/>
    <xf numFmtId="6" fontId="0" fillId="0" borderId="0" xfId="0" applyNumberFormat="1"/>
    <xf numFmtId="164" fontId="0" fillId="0" borderId="0" xfId="0" applyNumberFormat="1"/>
    <xf numFmtId="1" fontId="0" fillId="0" borderId="0" xfId="0" applyNumberFormat="1"/>
    <xf numFmtId="8" fontId="0" fillId="0" borderId="0" xfId="0" applyNumberFormat="1"/>
    <xf numFmtId="0" fontId="1" fillId="0" borderId="0" xfId="0" applyFont="1" applyAlignment="1">
      <alignment horizontal="left"/>
    </xf>
    <xf numFmtId="1" fontId="1" fillId="0" borderId="0" xfId="0" applyNumberFormat="1" applyFont="1"/>
    <xf numFmtId="165" fontId="0" fillId="0" borderId="0" xfId="0" applyNumberFormat="1"/>
    <xf numFmtId="0" fontId="5" fillId="4" borderId="0" xfId="3"/>
    <xf numFmtId="165" fontId="1" fillId="0" borderId="0" xfId="0" applyNumberFormat="1" applyFont="1"/>
    <xf numFmtId="3" fontId="0" fillId="0" borderId="0" xfId="0" applyNumberFormat="1"/>
    <xf numFmtId="0" fontId="0" fillId="6" borderId="0" xfId="0" applyFill="1" applyAlignment="1">
      <alignment horizontal="left"/>
    </xf>
    <xf numFmtId="10" fontId="1" fillId="0" borderId="0" xfId="0" applyNumberFormat="1" applyFont="1"/>
    <xf numFmtId="8" fontId="1" fillId="0" borderId="0" xfId="0" applyNumberFormat="1" applyFont="1"/>
    <xf numFmtId="166" fontId="1" fillId="0" borderId="0" xfId="0" applyNumberFormat="1" applyFont="1"/>
    <xf numFmtId="8" fontId="7" fillId="5" borderId="1" xfId="4" applyNumberFormat="1"/>
    <xf numFmtId="1" fontId="7" fillId="5" borderId="1" xfId="4" applyNumberFormat="1"/>
    <xf numFmtId="0" fontId="0" fillId="0" borderId="2" xfId="0" applyBorder="1"/>
    <xf numFmtId="10" fontId="0" fillId="0" borderId="2" xfId="0" applyNumberFormat="1" applyBorder="1"/>
    <xf numFmtId="3" fontId="0" fillId="0" borderId="2" xfId="0" applyNumberFormat="1" applyBorder="1"/>
    <xf numFmtId="164" fontId="0" fillId="0" borderId="2" xfId="0" applyNumberFormat="1" applyBorder="1"/>
    <xf numFmtId="0" fontId="5" fillId="4" borderId="1" xfId="3" applyBorder="1"/>
    <xf numFmtId="0" fontId="2" fillId="2" borderId="0" xfId="0" applyFont="1" applyFill="1"/>
    <xf numFmtId="0" fontId="0" fillId="9" borderId="0" xfId="0" applyFill="1"/>
    <xf numFmtId="8" fontId="5" fillId="4" borderId="0" xfId="3" applyNumberFormat="1"/>
    <xf numFmtId="6" fontId="5" fillId="4" borderId="0" xfId="3" applyNumberFormat="1"/>
    <xf numFmtId="8" fontId="5" fillId="4" borderId="1" xfId="3" applyNumberFormat="1" applyBorder="1"/>
    <xf numFmtId="1" fontId="9" fillId="8" borderId="1" xfId="5" applyNumberFormat="1"/>
    <xf numFmtId="0" fontId="2" fillId="12" borderId="2" xfId="0" applyFont="1" applyFill="1" applyBorder="1"/>
    <xf numFmtId="0" fontId="1" fillId="13" borderId="2" xfId="0" applyFont="1" applyFill="1" applyBorder="1"/>
    <xf numFmtId="0" fontId="1" fillId="0" borderId="2" xfId="0" applyFont="1" applyBorder="1"/>
    <xf numFmtId="3" fontId="1" fillId="0" borderId="2" xfId="0" applyNumberFormat="1" applyFont="1" applyBorder="1"/>
    <xf numFmtId="164" fontId="1" fillId="0" borderId="2" xfId="0" applyNumberFormat="1" applyFont="1" applyBorder="1"/>
    <xf numFmtId="0" fontId="1" fillId="7" borderId="2" xfId="0" applyFont="1" applyFill="1" applyBorder="1"/>
    <xf numFmtId="1" fontId="0" fillId="0" borderId="2" xfId="0" applyNumberFormat="1" applyBorder="1"/>
    <xf numFmtId="0" fontId="1" fillId="13" borderId="3" xfId="0" applyFont="1" applyFill="1" applyBorder="1"/>
    <xf numFmtId="0" fontId="2" fillId="2" borderId="2" xfId="0" applyFont="1" applyFill="1" applyBorder="1"/>
    <xf numFmtId="0" fontId="0" fillId="9" borderId="2" xfId="0" applyFill="1" applyBorder="1"/>
    <xf numFmtId="1" fontId="2" fillId="2" borderId="2" xfId="0" applyNumberFormat="1" applyFont="1" applyFill="1" applyBorder="1"/>
    <xf numFmtId="0" fontId="0" fillId="0" borderId="2" xfId="0" applyBorder="1" applyAlignment="1">
      <alignment horizontal="left"/>
    </xf>
    <xf numFmtId="0" fontId="3" fillId="0" borderId="2" xfId="1" applyBorder="1"/>
    <xf numFmtId="3" fontId="7" fillId="5" borderId="2" xfId="4" applyNumberFormat="1" applyBorder="1"/>
    <xf numFmtId="3" fontId="5" fillId="4" borderId="2" xfId="3" applyNumberFormat="1" applyBorder="1"/>
    <xf numFmtId="0" fontId="8" fillId="11" borderId="2" xfId="2" applyFont="1" applyFill="1" applyBorder="1"/>
    <xf numFmtId="1" fontId="1" fillId="0" borderId="2" xfId="0" applyNumberFormat="1" applyFont="1" applyBorder="1"/>
    <xf numFmtId="0" fontId="0" fillId="6" borderId="2" xfId="0" applyFill="1" applyBorder="1" applyAlignment="1">
      <alignment horizontal="left"/>
    </xf>
    <xf numFmtId="3" fontId="2" fillId="2" borderId="2" xfId="0" applyNumberFormat="1" applyFont="1" applyFill="1" applyBorder="1"/>
    <xf numFmtId="3" fontId="6" fillId="0" borderId="2" xfId="0" applyNumberFormat="1" applyFont="1" applyBorder="1"/>
    <xf numFmtId="9" fontId="9" fillId="8" borderId="1" xfId="5" applyNumberFormat="1"/>
    <xf numFmtId="3" fontId="2" fillId="10" borderId="0" xfId="0" applyNumberFormat="1" applyFont="1" applyFill="1"/>
  </cellXfs>
  <cellStyles count="6">
    <cellStyle name="Bad" xfId="2" builtinId="27"/>
    <cellStyle name="Calculation" xfId="4" builtinId="22"/>
    <cellStyle name="Good" xfId="3" builtinId="26"/>
    <cellStyle name="Hyperlink" xfId="1" builtinId="8"/>
    <cellStyle name="Input" xfId="5"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Valid responses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2559273840769903"/>
                  <c:y val="2.1786599591717703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Lincs!$E$36:$E$38</c:f>
              <c:numCache>
                <c:formatCode>General</c:formatCode>
                <c:ptCount val="3"/>
                <c:pt idx="0">
                  <c:v>320</c:v>
                </c:pt>
                <c:pt idx="1">
                  <c:v>557</c:v>
                </c:pt>
                <c:pt idx="2">
                  <c:v>232</c:v>
                </c:pt>
              </c:numCache>
            </c:numRef>
          </c:xVal>
          <c:yVal>
            <c:numRef>
              <c:f>Lincs!$F$36:$F$38</c:f>
              <c:numCache>
                <c:formatCode>"£"#,##0_);[Red]\("£"#,##0\)</c:formatCode>
                <c:ptCount val="3"/>
                <c:pt idx="0">
                  <c:v>11987</c:v>
                </c:pt>
                <c:pt idx="1">
                  <c:v>16927</c:v>
                </c:pt>
                <c:pt idx="2" formatCode="&quot;£&quot;#,##0.00_);[Red]\(&quot;£&quot;#,##0.00\)">
                  <c:v>7806.47</c:v>
                </c:pt>
              </c:numCache>
            </c:numRef>
          </c:yVal>
          <c:smooth val="0"/>
          <c:extLst>
            <c:ext xmlns:c16="http://schemas.microsoft.com/office/drawing/2014/chart" uri="{C3380CC4-5D6E-409C-BE32-E72D297353CC}">
              <c16:uniqueId val="{00000000-D7BB-4B52-9E55-167D196AF964}"/>
            </c:ext>
          </c:extLst>
        </c:ser>
        <c:dLbls>
          <c:showLegendKey val="0"/>
          <c:showVal val="0"/>
          <c:showCatName val="0"/>
          <c:showSerName val="0"/>
          <c:showPercent val="0"/>
          <c:showBubbleSize val="0"/>
        </c:dLbls>
        <c:axId val="170018432"/>
        <c:axId val="170016032"/>
      </c:scatterChart>
      <c:valAx>
        <c:axId val="1700184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16032"/>
        <c:crosses val="autoZero"/>
        <c:crossBetween val="midCat"/>
      </c:valAx>
      <c:valAx>
        <c:axId val="170016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0184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403943</xdr:colOff>
      <xdr:row>0</xdr:row>
      <xdr:rowOff>85725</xdr:rowOff>
    </xdr:from>
    <xdr:to>
      <xdr:col>29</xdr:col>
      <xdr:colOff>339724</xdr:colOff>
      <xdr:row>34</xdr:row>
      <xdr:rowOff>147837</xdr:rowOff>
    </xdr:to>
    <xdr:pic>
      <xdr:nvPicPr>
        <xdr:cNvPr id="2" name="Picture 1">
          <a:extLst>
            <a:ext uri="{FF2B5EF4-FFF2-40B4-BE49-F238E27FC236}">
              <a16:creationId xmlns:a16="http://schemas.microsoft.com/office/drawing/2014/main" id="{9314ABE8-E626-C5DA-AF5F-BC9EB54C1F44}"/>
            </a:ext>
          </a:extLst>
        </xdr:cNvPr>
        <xdr:cNvPicPr>
          <a:picLocks noChangeAspect="1"/>
        </xdr:cNvPicPr>
      </xdr:nvPicPr>
      <xdr:blipFill>
        <a:blip xmlns:r="http://schemas.openxmlformats.org/officeDocument/2006/relationships" r:embed="rId1"/>
        <a:stretch>
          <a:fillRect/>
        </a:stretch>
      </xdr:blipFill>
      <xdr:spPr>
        <a:xfrm>
          <a:off x="22197143" y="85725"/>
          <a:ext cx="8463831" cy="6532762"/>
        </a:xfrm>
        <a:prstGeom prst="rect">
          <a:avLst/>
        </a:prstGeom>
      </xdr:spPr>
    </xdr:pic>
    <xdr:clientData/>
  </xdr:twoCellAnchor>
  <xdr:twoCellAnchor>
    <xdr:from>
      <xdr:col>2</xdr:col>
      <xdr:colOff>3806825</xdr:colOff>
      <xdr:row>64</xdr:row>
      <xdr:rowOff>28575</xdr:rowOff>
    </xdr:from>
    <xdr:to>
      <xdr:col>3</xdr:col>
      <xdr:colOff>3197225</xdr:colOff>
      <xdr:row>78</xdr:row>
      <xdr:rowOff>104775</xdr:rowOff>
    </xdr:to>
    <xdr:graphicFrame macro="">
      <xdr:nvGraphicFramePr>
        <xdr:cNvPr id="4" name="Chart 3">
          <a:extLst>
            <a:ext uri="{FF2B5EF4-FFF2-40B4-BE49-F238E27FC236}">
              <a16:creationId xmlns:a16="http://schemas.microsoft.com/office/drawing/2014/main" id="{327EEFE4-287A-932B-0FED-4473001840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whatdotheyknow.com/request/disadvantage_admissions_arrangem_147" TargetMode="External"/><Relationship Id="rId13" Type="http://schemas.openxmlformats.org/officeDocument/2006/relationships/hyperlink" Target="https://www.whatdotheyknow.com/body/queen_elizabeths_grammar_alford_a_selective_academy" TargetMode="External"/><Relationship Id="rId18" Type="http://schemas.openxmlformats.org/officeDocument/2006/relationships/hyperlink" Target="https://www.whatdotheyknow.com/request/disadvantage_admissions_arrangem_67" TargetMode="External"/><Relationship Id="rId3" Type="http://schemas.openxmlformats.org/officeDocument/2006/relationships/hyperlink" Target="https://www.whatdotheyknow.com/request/disadvantage_admissions_arrangem_16" TargetMode="External"/><Relationship Id="rId21" Type="http://schemas.openxmlformats.org/officeDocument/2006/relationships/hyperlink" Target="https://www.whatdotheyknow.com/request/disadvantage_admissions_arrangem_95" TargetMode="External"/><Relationship Id="rId7" Type="http://schemas.openxmlformats.org/officeDocument/2006/relationships/hyperlink" Target="https://www.whatdotheyknow.com/request/disadvantage_admissions_arrangem_92" TargetMode="External"/><Relationship Id="rId12" Type="http://schemas.openxmlformats.org/officeDocument/2006/relationships/hyperlink" Target="https://www.whatdotheyknow.com/request/cost_of_11_testing_27" TargetMode="External"/><Relationship Id="rId17" Type="http://schemas.openxmlformats.org/officeDocument/2006/relationships/hyperlink" Target="https://www.whatdotheyknow.com/request/disadvantage_admissions_arrangem_62" TargetMode="External"/><Relationship Id="rId2" Type="http://schemas.openxmlformats.org/officeDocument/2006/relationships/hyperlink" Target="https://get-information-schools.service.gov.uk/Establishments/Establishment/Details/120655" TargetMode="External"/><Relationship Id="rId16" Type="http://schemas.openxmlformats.org/officeDocument/2006/relationships/hyperlink" Target="https://www.whatdotheyknow.com/request/disadvantage_admissions_arrangem_61" TargetMode="External"/><Relationship Id="rId20" Type="http://schemas.openxmlformats.org/officeDocument/2006/relationships/hyperlink" Target="https://www.whatdotheyknow.com/request/disadvantage_admissions_arrangem_139" TargetMode="External"/><Relationship Id="rId1" Type="http://schemas.openxmlformats.org/officeDocument/2006/relationships/hyperlink" Target="https://grammarschools.lincs.sch.uk/home" TargetMode="External"/><Relationship Id="rId6" Type="http://schemas.openxmlformats.org/officeDocument/2006/relationships/hyperlink" Target="https://www.whatdotheyknow.com/request/disadvantage_admissions_arrangem_24" TargetMode="External"/><Relationship Id="rId11" Type="http://schemas.openxmlformats.org/officeDocument/2006/relationships/hyperlink" Target="https://www.whatdotheyknow.com/request/cost_of_11_testing" TargetMode="External"/><Relationship Id="rId5" Type="http://schemas.openxmlformats.org/officeDocument/2006/relationships/hyperlink" Target="https://www.whatdotheyknow.com/request/disadvantage_admissions_arrangem_21" TargetMode="External"/><Relationship Id="rId15" Type="http://schemas.openxmlformats.org/officeDocument/2006/relationships/hyperlink" Target="https://www.whatdotheyknow.com/request/disadvantage_admissions_arrangem_15" TargetMode="External"/><Relationship Id="rId10" Type="http://schemas.openxmlformats.org/officeDocument/2006/relationships/hyperlink" Target="https://www.whatdotheyknow.com/request/disadvantage_admissions_arrangem_120" TargetMode="External"/><Relationship Id="rId19" Type="http://schemas.openxmlformats.org/officeDocument/2006/relationships/hyperlink" Target="https://www.whatdotheyknow.com/request/disadvantage_admissions_arrangem_143" TargetMode="External"/><Relationship Id="rId4" Type="http://schemas.openxmlformats.org/officeDocument/2006/relationships/hyperlink" Target="https://www.whatdotheyknow.com/request/disadvantage_admissions_arrangem_17" TargetMode="External"/><Relationship Id="rId9" Type="http://schemas.openxmlformats.org/officeDocument/2006/relationships/hyperlink" Target="https://www.whatdotheyknow.com/request/disadvantage_admissions_arrangem_119" TargetMode="External"/><Relationship Id="rId14" Type="http://schemas.openxmlformats.org/officeDocument/2006/relationships/hyperlink" Target="https://get-information-schools.service.gov.uk/Establishments/Establishment/Details/138783" TargetMode="External"/><Relationship Id="rId2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DAA4D-B9C4-4F85-9D06-06C9F8AFF95B}">
  <dimension ref="A1:B6"/>
  <sheetViews>
    <sheetView zoomScale="130" zoomScaleNormal="130" workbookViewId="0">
      <selection activeCell="A6" sqref="A6"/>
    </sheetView>
  </sheetViews>
  <sheetFormatPr defaultRowHeight="15" x14ac:dyDescent="0.25"/>
  <sheetData>
    <row r="1" spans="1:2" x14ac:dyDescent="0.25">
      <c r="A1" t="s">
        <v>506</v>
      </c>
    </row>
    <row r="3" spans="1:2" x14ac:dyDescent="0.25">
      <c r="B3" t="s">
        <v>504</v>
      </c>
    </row>
    <row r="4" spans="1:2" x14ac:dyDescent="0.25">
      <c r="B4" t="s">
        <v>505</v>
      </c>
    </row>
    <row r="6" spans="1:2" x14ac:dyDescent="0.25">
      <c r="A6" t="s">
        <v>507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3A15F-E5FB-400F-83A7-B848AF5C5E3B}">
  <dimension ref="A1:AM190"/>
  <sheetViews>
    <sheetView tabSelected="1" workbookViewId="0">
      <pane xSplit="1" ySplit="1" topLeftCell="B2" activePane="bottomRight" state="frozen"/>
      <selection pane="topRight" activeCell="B1" sqref="B1"/>
      <selection pane="bottomLeft" activeCell="A2" sqref="A2"/>
      <selection pane="bottomRight"/>
    </sheetView>
  </sheetViews>
  <sheetFormatPr defaultRowHeight="15" outlineLevelCol="1" x14ac:dyDescent="0.25"/>
  <cols>
    <col min="1" max="1" width="32.85546875" customWidth="1"/>
    <col min="2" max="3" width="10.140625" hidden="1" customWidth="1" outlineLevel="1"/>
    <col min="4" max="5" width="10.42578125" hidden="1" customWidth="1" outlineLevel="1"/>
    <col min="6" max="7" width="9.140625" hidden="1" customWidth="1" outlineLevel="1"/>
    <col min="8" max="8" width="13.28515625" hidden="1" customWidth="1" outlineLevel="1"/>
    <col min="9" max="12" width="9.140625" hidden="1" customWidth="1" outlineLevel="1"/>
    <col min="13" max="13" width="9.140625" collapsed="1"/>
    <col min="14" max="14" width="9.140625" hidden="1" customWidth="1" outlineLevel="1"/>
    <col min="15" max="15" width="6.140625" customWidth="1" outlineLevel="1"/>
    <col min="16" max="16" width="12.5703125" style="6" customWidth="1"/>
    <col min="17" max="17" width="12.5703125" style="13" customWidth="1"/>
    <col min="18" max="18" width="11.28515625" customWidth="1"/>
    <col min="19" max="19" width="12.5703125" customWidth="1"/>
    <col min="20" max="20" width="12.5703125" style="13" customWidth="1"/>
    <col min="21" max="21" width="12.5703125" customWidth="1"/>
    <col min="25" max="25" width="33.42578125" bestFit="1" customWidth="1"/>
    <col min="27" max="27" width="26" customWidth="1"/>
    <col min="29" max="29" width="26" customWidth="1"/>
    <col min="30" max="30" width="9" bestFit="1" customWidth="1"/>
    <col min="31" max="31" width="9.5703125" bestFit="1" customWidth="1"/>
    <col min="34" max="34" width="12.5703125" customWidth="1"/>
    <col min="35" max="35" width="12" bestFit="1" customWidth="1"/>
    <col min="37" max="37" width="13.140625" bestFit="1" customWidth="1"/>
  </cols>
  <sheetData>
    <row r="1" spans="1:39" x14ac:dyDescent="0.25">
      <c r="A1" s="39" t="s">
        <v>164</v>
      </c>
      <c r="B1" s="39" t="s">
        <v>192</v>
      </c>
      <c r="C1" s="39">
        <v>201314</v>
      </c>
      <c r="D1" s="39">
        <v>201415</v>
      </c>
      <c r="E1" s="39">
        <v>201516</v>
      </c>
      <c r="F1" s="39">
        <v>201617</v>
      </c>
      <c r="G1" s="39">
        <v>201718</v>
      </c>
      <c r="H1" s="39">
        <v>201819</v>
      </c>
      <c r="I1" s="39">
        <v>201920</v>
      </c>
      <c r="J1" s="39">
        <v>202021</v>
      </c>
      <c r="K1" s="39">
        <v>202122</v>
      </c>
      <c r="L1" s="39">
        <v>202223</v>
      </c>
      <c r="M1" s="39">
        <v>202324</v>
      </c>
      <c r="N1" s="40" t="s">
        <v>333</v>
      </c>
      <c r="O1" s="40" t="s">
        <v>179</v>
      </c>
      <c r="P1" s="41" t="s">
        <v>354</v>
      </c>
      <c r="Q1" s="49" t="s">
        <v>165</v>
      </c>
      <c r="R1" s="39" t="s">
        <v>189</v>
      </c>
      <c r="S1" s="39" t="s">
        <v>385</v>
      </c>
      <c r="T1" s="52" t="s">
        <v>412</v>
      </c>
      <c r="U1" s="26" t="s">
        <v>357</v>
      </c>
      <c r="V1" s="25" t="s">
        <v>163</v>
      </c>
      <c r="Y1" s="36" t="s">
        <v>189</v>
      </c>
      <c r="Z1" s="36" t="s">
        <v>355</v>
      </c>
      <c r="AA1" s="36" t="s">
        <v>418</v>
      </c>
      <c r="AC1" s="36" t="s">
        <v>491</v>
      </c>
      <c r="AD1" s="36" t="s">
        <v>355</v>
      </c>
      <c r="AE1" s="36" t="s">
        <v>454</v>
      </c>
      <c r="AF1" s="36" t="s">
        <v>418</v>
      </c>
      <c r="AH1" s="31" t="s">
        <v>385</v>
      </c>
      <c r="AI1" s="32" t="s">
        <v>355</v>
      </c>
      <c r="AJ1" s="32" t="s">
        <v>358</v>
      </c>
      <c r="AK1" s="32" t="s">
        <v>453</v>
      </c>
      <c r="AL1" s="38" t="s">
        <v>459</v>
      </c>
    </row>
    <row r="2" spans="1:39" x14ac:dyDescent="0.25">
      <c r="A2" s="42" t="s">
        <v>0</v>
      </c>
      <c r="B2" s="42" t="s">
        <v>193</v>
      </c>
      <c r="C2" s="20">
        <v>120</v>
      </c>
      <c r="D2" s="20">
        <v>119</v>
      </c>
      <c r="E2" s="20">
        <v>151</v>
      </c>
      <c r="F2" s="20">
        <v>150</v>
      </c>
      <c r="G2" s="20">
        <v>154</v>
      </c>
      <c r="H2" s="20">
        <v>155</v>
      </c>
      <c r="I2" s="20">
        <v>155</v>
      </c>
      <c r="J2" s="20">
        <v>154</v>
      </c>
      <c r="K2" s="20">
        <v>155</v>
      </c>
      <c r="L2" s="20">
        <v>155</v>
      </c>
      <c r="M2" s="20">
        <v>154</v>
      </c>
      <c r="N2" s="20">
        <v>3</v>
      </c>
      <c r="O2" s="43"/>
      <c r="P2" s="22">
        <f>2926/5</f>
        <v>585.20000000000005</v>
      </c>
      <c r="Q2" s="22">
        <f>713526/20</f>
        <v>35676.300000000003</v>
      </c>
      <c r="R2" s="20" t="s">
        <v>343</v>
      </c>
      <c r="S2" s="20" t="s">
        <v>386</v>
      </c>
      <c r="T2" s="13">
        <f t="shared" ref="T2:T33" si="0">SUMIF(R:R,R2,P:P)</f>
        <v>2926</v>
      </c>
      <c r="U2" s="10">
        <f>Q2/P2</f>
        <v>60.964285714285715</v>
      </c>
      <c r="W2" t="s">
        <v>353</v>
      </c>
      <c r="Y2" s="20" t="s">
        <v>170</v>
      </c>
      <c r="Z2" s="20">
        <f t="shared" ref="Z2:Z34" si="1">COUNTIF(R:R,Y2)</f>
        <v>25</v>
      </c>
      <c r="AA2" s="20" t="s">
        <v>498</v>
      </c>
      <c r="AC2" s="20" t="s">
        <v>498</v>
      </c>
      <c r="AD2" s="20">
        <f>SUMIFS(Z:Z,AA:AA,AC2)</f>
        <v>42</v>
      </c>
      <c r="AE2" s="21">
        <f>AD2/AD$6</f>
        <v>0.25766871165644173</v>
      </c>
      <c r="AF2" s="20">
        <f>COUNTIF(AA:AA,AC2)</f>
        <v>6</v>
      </c>
      <c r="AH2" s="33" t="s">
        <v>417</v>
      </c>
      <c r="AI2" s="20">
        <f>COUNTIF(S:S,AH2)</f>
        <v>4</v>
      </c>
      <c r="AJ2" s="22">
        <f>SUMIF(S:S,AH2,P:P)</f>
        <v>1341</v>
      </c>
      <c r="AK2" s="23">
        <f>SUMIF(S:S,AH2,Q:Q)</f>
        <v>40415</v>
      </c>
      <c r="AL2" s="10">
        <f t="shared" ref="AL2:AL5" si="2">AK2/AJ2</f>
        <v>30.137956748695004</v>
      </c>
    </row>
    <row r="3" spans="1:39" x14ac:dyDescent="0.25">
      <c r="A3" s="42" t="s">
        <v>1</v>
      </c>
      <c r="B3" s="42" t="s">
        <v>194</v>
      </c>
      <c r="C3" s="20">
        <v>184</v>
      </c>
      <c r="D3" s="20">
        <v>176</v>
      </c>
      <c r="E3" s="20">
        <v>217</v>
      </c>
      <c r="F3" s="20">
        <v>206</v>
      </c>
      <c r="G3" s="20">
        <v>179</v>
      </c>
      <c r="H3" s="20">
        <v>183</v>
      </c>
      <c r="I3" s="20">
        <v>187</v>
      </c>
      <c r="J3" s="20">
        <v>205</v>
      </c>
      <c r="K3" s="20">
        <v>200</v>
      </c>
      <c r="L3" s="20">
        <v>208</v>
      </c>
      <c r="M3" s="20">
        <v>212</v>
      </c>
      <c r="N3" s="20">
        <v>4</v>
      </c>
      <c r="O3" s="43"/>
      <c r="P3" s="22">
        <f>Q3/U3</f>
        <v>944.19016442313534</v>
      </c>
      <c r="Q3" s="22">
        <v>26333.35</v>
      </c>
      <c r="R3" s="20" t="s">
        <v>307</v>
      </c>
      <c r="S3" s="20" t="s">
        <v>386</v>
      </c>
      <c r="T3" s="13">
        <f>SUMIF(R:R,R3,P:P)</f>
        <v>3945.0000000000005</v>
      </c>
      <c r="U3" s="10">
        <f>SUMIF(R:R,R3,Q:Q)/3945</f>
        <v>27.889879594423316</v>
      </c>
      <c r="W3" t="s">
        <v>353</v>
      </c>
      <c r="Y3" s="20" t="s">
        <v>332</v>
      </c>
      <c r="Z3" s="20">
        <f t="shared" si="1"/>
        <v>15</v>
      </c>
      <c r="AA3" s="20" t="s">
        <v>497</v>
      </c>
      <c r="AC3" s="20" t="s">
        <v>497</v>
      </c>
      <c r="AD3" s="20">
        <f>SUMIFS(Z:Z,AA:AA,AC3)</f>
        <v>80</v>
      </c>
      <c r="AE3" s="21">
        <f>AD3/AD$6</f>
        <v>0.49079754601226994</v>
      </c>
      <c r="AF3" s="20">
        <f>COUNTIF(AA:AA,AC3)</f>
        <v>12</v>
      </c>
      <c r="AH3" s="33" t="s">
        <v>387</v>
      </c>
      <c r="AI3" s="20">
        <f>COUNTIF(S:S,AH3)</f>
        <v>19</v>
      </c>
      <c r="AJ3" s="22">
        <f>SUMIF(S:S,AH3,P:P)</f>
        <v>27279</v>
      </c>
      <c r="AK3" s="23">
        <f>SUMIF(S:S,AH3,Q:Q)</f>
        <v>713618.64</v>
      </c>
      <c r="AL3" s="10"/>
    </row>
    <row r="4" spans="1:39" x14ac:dyDescent="0.25">
      <c r="A4" s="42" t="s">
        <v>2</v>
      </c>
      <c r="B4" s="42" t="s">
        <v>195</v>
      </c>
      <c r="C4" s="20">
        <v>211</v>
      </c>
      <c r="D4" s="20">
        <v>205</v>
      </c>
      <c r="E4" s="20">
        <v>205</v>
      </c>
      <c r="F4" s="20">
        <v>205</v>
      </c>
      <c r="G4" s="20">
        <v>180</v>
      </c>
      <c r="H4" s="20">
        <v>205</v>
      </c>
      <c r="I4" s="20">
        <v>205</v>
      </c>
      <c r="J4" s="20">
        <v>213</v>
      </c>
      <c r="K4" s="20">
        <v>206</v>
      </c>
      <c r="L4" s="20">
        <v>203</v>
      </c>
      <c r="M4" s="20">
        <v>202</v>
      </c>
      <c r="N4" s="20">
        <v>6</v>
      </c>
      <c r="O4" s="20"/>
      <c r="P4" s="22">
        <f t="shared" ref="P4" si="3">Q4/U4</f>
        <v>713.04610450797475</v>
      </c>
      <c r="Q4" s="22">
        <v>19886.77</v>
      </c>
      <c r="R4" s="20" t="s">
        <v>307</v>
      </c>
      <c r="S4" s="20" t="s">
        <v>386</v>
      </c>
      <c r="T4" s="13">
        <f t="shared" si="0"/>
        <v>3945.0000000000005</v>
      </c>
      <c r="U4" s="10">
        <f>SUMIF(R:R,R4,Q:Q)/3945</f>
        <v>27.889879594423316</v>
      </c>
      <c r="W4" t="s">
        <v>353</v>
      </c>
      <c r="Y4" s="20" t="s">
        <v>342</v>
      </c>
      <c r="Z4" s="20">
        <f t="shared" si="1"/>
        <v>13</v>
      </c>
      <c r="AA4" s="20" t="s">
        <v>497</v>
      </c>
      <c r="AC4" s="20" t="s">
        <v>499</v>
      </c>
      <c r="AD4" s="20">
        <f>SUMIFS(Z:Z,AA:AA,AC4)</f>
        <v>41</v>
      </c>
      <c r="AE4" s="21">
        <f>AD4/AD$6</f>
        <v>0.25153374233128833</v>
      </c>
      <c r="AF4" s="20">
        <f>COUNTIF(AA:AA,AC4)</f>
        <v>39</v>
      </c>
      <c r="AH4" s="33" t="s">
        <v>415</v>
      </c>
      <c r="AI4" s="20">
        <f>COUNTIF(S:S,AH4)</f>
        <v>8</v>
      </c>
      <c r="AJ4" s="22">
        <f>SUMIF(S:S,AH4,P:P)</f>
        <v>6491</v>
      </c>
      <c r="AK4" s="23">
        <f>SUMIF(S:S,AH4,Q:Q)</f>
        <v>86949.41</v>
      </c>
      <c r="AL4" s="10">
        <f t="shared" si="2"/>
        <v>13.395379756586042</v>
      </c>
    </row>
    <row r="5" spans="1:39" x14ac:dyDescent="0.25">
      <c r="A5" s="42" t="s">
        <v>3</v>
      </c>
      <c r="B5" s="42" t="s">
        <v>196</v>
      </c>
      <c r="C5" s="20">
        <v>180</v>
      </c>
      <c r="D5" s="20">
        <v>185</v>
      </c>
      <c r="E5" s="20">
        <v>174</v>
      </c>
      <c r="F5" s="20">
        <v>186</v>
      </c>
      <c r="G5" s="20">
        <v>176</v>
      </c>
      <c r="H5" s="20">
        <v>186</v>
      </c>
      <c r="I5" s="20">
        <v>185</v>
      </c>
      <c r="J5" s="20">
        <v>186</v>
      </c>
      <c r="K5" s="20">
        <v>188</v>
      </c>
      <c r="L5" s="20">
        <v>186</v>
      </c>
      <c r="M5" s="20">
        <v>186</v>
      </c>
      <c r="N5" s="20">
        <v>2</v>
      </c>
      <c r="O5" s="43"/>
      <c r="P5" s="22">
        <f>12238/COUNTIF(R:R,R5)</f>
        <v>941.38461538461536</v>
      </c>
      <c r="Q5" s="22">
        <f>336465/COUNTIF(R:R,R5)</f>
        <v>25881.923076923078</v>
      </c>
      <c r="R5" s="20" t="s">
        <v>342</v>
      </c>
      <c r="S5" s="20" t="s">
        <v>386</v>
      </c>
      <c r="T5" s="13">
        <f t="shared" si="0"/>
        <v>12238</v>
      </c>
      <c r="U5" s="10">
        <f t="shared" ref="U5:U66" si="4">Q5/P5</f>
        <v>27.49346298414774</v>
      </c>
      <c r="W5" t="s">
        <v>353</v>
      </c>
      <c r="Y5" s="20" t="s">
        <v>318</v>
      </c>
      <c r="Z5" s="20">
        <f t="shared" si="1"/>
        <v>8</v>
      </c>
      <c r="AA5" s="20" t="s">
        <v>497</v>
      </c>
      <c r="AD5" s="2"/>
      <c r="AE5" s="2"/>
      <c r="AH5" s="33" t="s">
        <v>386</v>
      </c>
      <c r="AI5" s="20">
        <f>COUNTIF(S:S,AH5)</f>
        <v>132</v>
      </c>
      <c r="AJ5" s="22">
        <f>SUMIF(S:S,AH5,P:P)</f>
        <v>87857.904116465783</v>
      </c>
      <c r="AK5" s="23">
        <f>SUMIF(S:S,AH5,Q:Q)</f>
        <v>2375726.6983333337</v>
      </c>
      <c r="AL5" s="10">
        <f t="shared" si="2"/>
        <v>27.040557388940602</v>
      </c>
    </row>
    <row r="6" spans="1:39" x14ac:dyDescent="0.25">
      <c r="A6" s="42" t="s">
        <v>4</v>
      </c>
      <c r="B6" s="42" t="s">
        <v>197</v>
      </c>
      <c r="C6" s="20">
        <v>177</v>
      </c>
      <c r="D6" s="20">
        <v>171</v>
      </c>
      <c r="E6" s="20">
        <v>180</v>
      </c>
      <c r="F6" s="20">
        <v>183</v>
      </c>
      <c r="G6" s="20">
        <v>180</v>
      </c>
      <c r="H6" s="20">
        <v>181</v>
      </c>
      <c r="I6" s="20">
        <v>180</v>
      </c>
      <c r="J6" s="20">
        <v>180</v>
      </c>
      <c r="K6" s="20">
        <v>180</v>
      </c>
      <c r="L6" s="20">
        <v>180</v>
      </c>
      <c r="M6" s="20">
        <v>186</v>
      </c>
      <c r="N6" s="20">
        <v>5</v>
      </c>
      <c r="O6" s="43"/>
      <c r="P6" s="22">
        <f t="shared" ref="P6" si="5">12238/COUNTIF(R:R,R6)</f>
        <v>941.38461538461536</v>
      </c>
      <c r="Q6" s="22">
        <f t="shared" ref="Q6" si="6">336465/COUNTIF(R:R,R6)</f>
        <v>25881.923076923078</v>
      </c>
      <c r="R6" s="20" t="s">
        <v>342</v>
      </c>
      <c r="S6" s="20" t="s">
        <v>386</v>
      </c>
      <c r="T6" s="13">
        <f t="shared" si="0"/>
        <v>12238</v>
      </c>
      <c r="U6" s="10">
        <f t="shared" si="4"/>
        <v>27.49346298414774</v>
      </c>
      <c r="W6" t="s">
        <v>353</v>
      </c>
      <c r="Y6" s="20" t="s">
        <v>316</v>
      </c>
      <c r="Z6" s="20">
        <f t="shared" si="1"/>
        <v>7</v>
      </c>
      <c r="AA6" s="20" t="s">
        <v>497</v>
      </c>
      <c r="AD6" s="2">
        <f>SUM(AD2:AD5)</f>
        <v>163</v>
      </c>
      <c r="AE6" s="15">
        <f>SUM(AE2:AE5)</f>
        <v>1</v>
      </c>
      <c r="AF6" s="2">
        <f>SUM(AF2:AF5)</f>
        <v>57</v>
      </c>
      <c r="AH6" s="20"/>
      <c r="AI6" s="33">
        <f>SUM(AI2:AI5)</f>
        <v>163</v>
      </c>
      <c r="AJ6" s="34">
        <f>SUM(AJ2:AJ5)</f>
        <v>122968.90411646578</v>
      </c>
      <c r="AK6" s="35">
        <f>SUM(AK2:AK5)</f>
        <v>3216709.748333334</v>
      </c>
    </row>
    <row r="7" spans="1:39" x14ac:dyDescent="0.25">
      <c r="A7" s="42" t="s">
        <v>5</v>
      </c>
      <c r="B7" s="42" t="e">
        <v>#N/A</v>
      </c>
      <c r="C7" s="20">
        <v>152</v>
      </c>
      <c r="D7" s="20">
        <v>180</v>
      </c>
      <c r="E7" s="20">
        <v>180</v>
      </c>
      <c r="F7" s="20">
        <v>180</v>
      </c>
      <c r="G7" s="20">
        <v>180</v>
      </c>
      <c r="H7" s="20">
        <v>180</v>
      </c>
      <c r="I7" s="20">
        <v>180</v>
      </c>
      <c r="J7" s="20">
        <v>180</v>
      </c>
      <c r="K7" s="20">
        <v>180</v>
      </c>
      <c r="L7" s="20">
        <v>178</v>
      </c>
      <c r="M7" s="20">
        <v>167</v>
      </c>
      <c r="N7" s="20">
        <v>7</v>
      </c>
      <c r="O7" s="43"/>
      <c r="P7" s="22">
        <v>554</v>
      </c>
      <c r="Q7" s="22">
        <v>15000</v>
      </c>
      <c r="R7" s="20" t="s">
        <v>467</v>
      </c>
      <c r="S7" s="20" t="s">
        <v>386</v>
      </c>
      <c r="T7" s="13">
        <f t="shared" si="0"/>
        <v>554</v>
      </c>
      <c r="U7" s="10">
        <f t="shared" si="4"/>
        <v>27.075812274368232</v>
      </c>
      <c r="W7" t="s">
        <v>353</v>
      </c>
      <c r="Y7" s="20" t="s">
        <v>310</v>
      </c>
      <c r="Z7" s="20">
        <f t="shared" si="1"/>
        <v>7</v>
      </c>
      <c r="AA7" s="20" t="s">
        <v>497</v>
      </c>
      <c r="AL7" s="7">
        <v>26.16</v>
      </c>
      <c r="AM7" t="s">
        <v>503</v>
      </c>
    </row>
    <row r="8" spans="1:39" x14ac:dyDescent="0.25">
      <c r="A8" s="42" t="s">
        <v>6</v>
      </c>
      <c r="B8" s="42" t="s">
        <v>198</v>
      </c>
      <c r="C8" s="20">
        <v>152</v>
      </c>
      <c r="D8" s="20">
        <v>128</v>
      </c>
      <c r="E8" s="20">
        <v>154</v>
      </c>
      <c r="F8" s="20">
        <v>155</v>
      </c>
      <c r="G8" s="20">
        <v>155</v>
      </c>
      <c r="H8" s="20">
        <v>156</v>
      </c>
      <c r="I8" s="20">
        <v>152</v>
      </c>
      <c r="J8" s="20">
        <v>155</v>
      </c>
      <c r="K8" s="20">
        <v>137</v>
      </c>
      <c r="L8" s="20">
        <v>155</v>
      </c>
      <c r="M8" s="20">
        <v>140</v>
      </c>
      <c r="N8" s="20">
        <v>8</v>
      </c>
      <c r="O8" s="43"/>
      <c r="P8" s="22">
        <f>16446/COUNTIF(R:R,R8)</f>
        <v>657.84</v>
      </c>
      <c r="Q8" s="22">
        <f>278209.64/COUNTIF(R:R,R8)</f>
        <v>11128.385600000001</v>
      </c>
      <c r="R8" s="20" t="s">
        <v>170</v>
      </c>
      <c r="S8" s="20" t="s">
        <v>386</v>
      </c>
      <c r="T8" s="13">
        <f t="shared" si="0"/>
        <v>16446</v>
      </c>
      <c r="U8" s="10">
        <f t="shared" si="4"/>
        <v>16.916553569256962</v>
      </c>
      <c r="W8" t="s">
        <v>353</v>
      </c>
      <c r="Y8" s="20" t="s">
        <v>352</v>
      </c>
      <c r="Z8" s="20">
        <f t="shared" si="1"/>
        <v>6</v>
      </c>
      <c r="AA8" s="20" t="s">
        <v>498</v>
      </c>
      <c r="AH8" s="2" t="s">
        <v>458</v>
      </c>
      <c r="AI8">
        <f>AI6-AI3</f>
        <v>144</v>
      </c>
      <c r="AJ8" s="13">
        <f t="shared" ref="AJ8:AK8" si="7">AJ6-AJ3</f>
        <v>95689.904116465783</v>
      </c>
      <c r="AK8" s="5">
        <f t="shared" si="7"/>
        <v>2503091.1083333339</v>
      </c>
      <c r="AL8" s="12">
        <f>AL7</f>
        <v>26.16</v>
      </c>
    </row>
    <row r="9" spans="1:39" x14ac:dyDescent="0.25">
      <c r="A9" s="42" t="s">
        <v>7</v>
      </c>
      <c r="B9" s="42" t="s">
        <v>199</v>
      </c>
      <c r="C9" s="20">
        <v>154</v>
      </c>
      <c r="D9" s="20">
        <v>175</v>
      </c>
      <c r="E9" s="20">
        <v>150</v>
      </c>
      <c r="F9" s="20">
        <v>180</v>
      </c>
      <c r="G9" s="20">
        <v>180</v>
      </c>
      <c r="H9" s="20">
        <v>182</v>
      </c>
      <c r="I9" s="20">
        <v>180</v>
      </c>
      <c r="J9" s="20">
        <v>180</v>
      </c>
      <c r="K9" s="20">
        <v>180</v>
      </c>
      <c r="L9" s="20">
        <v>180</v>
      </c>
      <c r="M9" s="20">
        <v>179</v>
      </c>
      <c r="N9" s="20">
        <v>9</v>
      </c>
      <c r="O9" s="43"/>
      <c r="P9" s="22">
        <f>12238/COUNTIF(R:R,R9)</f>
        <v>941.38461538461536</v>
      </c>
      <c r="Q9" s="22">
        <f>336465/COUNTIF(R:R,R9)</f>
        <v>25881.923076923078</v>
      </c>
      <c r="R9" s="20" t="s">
        <v>342</v>
      </c>
      <c r="S9" s="20" t="s">
        <v>386</v>
      </c>
      <c r="T9" s="13">
        <f t="shared" si="0"/>
        <v>12238</v>
      </c>
      <c r="U9" s="10">
        <f t="shared" si="4"/>
        <v>27.49346298414774</v>
      </c>
      <c r="W9" t="s">
        <v>353</v>
      </c>
      <c r="Y9" s="20" t="s">
        <v>356</v>
      </c>
      <c r="Z9" s="20">
        <f t="shared" si="1"/>
        <v>5</v>
      </c>
      <c r="AA9" s="20" t="s">
        <v>497</v>
      </c>
      <c r="AL9" s="10"/>
    </row>
    <row r="10" spans="1:39" x14ac:dyDescent="0.25">
      <c r="A10" s="42" t="s">
        <v>8</v>
      </c>
      <c r="B10" s="42" t="s">
        <v>200</v>
      </c>
      <c r="C10" s="20">
        <v>189</v>
      </c>
      <c r="D10" s="20">
        <v>191</v>
      </c>
      <c r="E10" s="20">
        <v>191</v>
      </c>
      <c r="F10" s="20">
        <v>192</v>
      </c>
      <c r="G10" s="20">
        <v>189</v>
      </c>
      <c r="H10" s="20">
        <v>193</v>
      </c>
      <c r="I10" s="20">
        <v>189</v>
      </c>
      <c r="J10" s="20">
        <v>193</v>
      </c>
      <c r="K10" s="20">
        <v>186</v>
      </c>
      <c r="L10" s="20">
        <v>192</v>
      </c>
      <c r="M10" s="20">
        <v>192</v>
      </c>
      <c r="N10" s="20">
        <v>10</v>
      </c>
      <c r="O10" s="43"/>
      <c r="P10" s="22">
        <f>5855/4</f>
        <v>1463.75</v>
      </c>
      <c r="Q10" s="22">
        <f>131000/4</f>
        <v>32750</v>
      </c>
      <c r="R10" s="20" t="s">
        <v>312</v>
      </c>
      <c r="S10" s="20" t="s">
        <v>386</v>
      </c>
      <c r="T10" s="13">
        <f t="shared" si="0"/>
        <v>5855</v>
      </c>
      <c r="U10" s="10">
        <f t="shared" si="4"/>
        <v>22.374039282664388</v>
      </c>
      <c r="W10" t="s">
        <v>353</v>
      </c>
      <c r="Y10" s="20" t="s">
        <v>317</v>
      </c>
      <c r="Z10" s="20">
        <f t="shared" si="1"/>
        <v>5</v>
      </c>
      <c r="AA10" s="20" t="s">
        <v>497</v>
      </c>
      <c r="AC10" s="36" t="s">
        <v>501</v>
      </c>
      <c r="AD10" s="22">
        <f>MIN(T:T)</f>
        <v>219</v>
      </c>
      <c r="AH10" s="31" t="s">
        <v>385</v>
      </c>
      <c r="AI10" s="32" t="s">
        <v>454</v>
      </c>
      <c r="AJ10" s="32" t="s">
        <v>455</v>
      </c>
      <c r="AK10" s="32" t="s">
        <v>456</v>
      </c>
    </row>
    <row r="11" spans="1:39" x14ac:dyDescent="0.25">
      <c r="A11" s="42" t="s">
        <v>9</v>
      </c>
      <c r="B11" s="42" t="s">
        <v>201</v>
      </c>
      <c r="C11" s="20">
        <v>192</v>
      </c>
      <c r="D11" s="20">
        <v>192</v>
      </c>
      <c r="E11" s="20">
        <v>192</v>
      </c>
      <c r="F11" s="20">
        <v>190</v>
      </c>
      <c r="G11" s="20">
        <v>190</v>
      </c>
      <c r="H11" s="20">
        <v>192</v>
      </c>
      <c r="I11" s="20">
        <v>225</v>
      </c>
      <c r="J11" s="20">
        <v>224</v>
      </c>
      <c r="K11" s="20">
        <v>192</v>
      </c>
      <c r="L11" s="20">
        <v>192</v>
      </c>
      <c r="M11" s="20">
        <v>192</v>
      </c>
      <c r="N11" s="20">
        <v>11</v>
      </c>
      <c r="O11" s="43"/>
      <c r="P11" s="22">
        <f t="shared" ref="P11" si="8">5855/4</f>
        <v>1463.75</v>
      </c>
      <c r="Q11" s="22">
        <f t="shared" ref="Q11" si="9">131000/4</f>
        <v>32750</v>
      </c>
      <c r="R11" s="20" t="s">
        <v>312</v>
      </c>
      <c r="S11" s="20" t="s">
        <v>386</v>
      </c>
      <c r="T11" s="13">
        <f t="shared" si="0"/>
        <v>5855</v>
      </c>
      <c r="U11" s="10">
        <f t="shared" si="4"/>
        <v>22.374039282664388</v>
      </c>
      <c r="W11" t="s">
        <v>353</v>
      </c>
      <c r="Y11" s="20" t="s">
        <v>307</v>
      </c>
      <c r="Z11" s="20">
        <f t="shared" si="1"/>
        <v>5</v>
      </c>
      <c r="AA11" s="20" t="s">
        <v>497</v>
      </c>
      <c r="AC11" s="36" t="s">
        <v>502</v>
      </c>
      <c r="AD11" s="22">
        <f>MAX(T:T)</f>
        <v>16446</v>
      </c>
      <c r="AH11" s="33" t="s">
        <v>417</v>
      </c>
      <c r="AI11" s="21">
        <f>AI2/AI$6</f>
        <v>2.4539877300613498E-2</v>
      </c>
      <c r="AJ11" s="21">
        <f t="shared" ref="AJ11:AK11" si="10">AJ2/AJ$6</f>
        <v>1.0905195989466718E-2</v>
      </c>
      <c r="AK11" s="21">
        <f t="shared" si="10"/>
        <v>1.2564080430613961E-2</v>
      </c>
    </row>
    <row r="12" spans="1:39" ht="15.75" x14ac:dyDescent="0.25">
      <c r="A12" s="42" t="s">
        <v>10</v>
      </c>
      <c r="B12" s="42" t="s">
        <v>202</v>
      </c>
      <c r="C12" s="20">
        <v>124</v>
      </c>
      <c r="D12" s="20">
        <v>128</v>
      </c>
      <c r="E12" s="20">
        <v>160</v>
      </c>
      <c r="F12" s="20">
        <v>160</v>
      </c>
      <c r="G12" s="20">
        <v>160</v>
      </c>
      <c r="H12" s="20">
        <v>160</v>
      </c>
      <c r="I12" s="20">
        <v>191</v>
      </c>
      <c r="J12" s="20">
        <v>189</v>
      </c>
      <c r="K12" s="20">
        <v>190</v>
      </c>
      <c r="L12" s="20">
        <v>192</v>
      </c>
      <c r="M12" s="20">
        <v>191</v>
      </c>
      <c r="N12" s="20">
        <v>12</v>
      </c>
      <c r="O12" s="43"/>
      <c r="P12" s="22">
        <f>4988/COUNTIF(R:R,R12)</f>
        <v>623.5</v>
      </c>
      <c r="Q12" s="50">
        <f>178951/COUNTIF(R:R,R12)</f>
        <v>22368.875</v>
      </c>
      <c r="R12" s="20" t="s">
        <v>318</v>
      </c>
      <c r="S12" s="20" t="s">
        <v>386</v>
      </c>
      <c r="T12" s="13">
        <f t="shared" si="0"/>
        <v>4988</v>
      </c>
      <c r="U12" s="10">
        <f t="shared" si="4"/>
        <v>35.876303127506013</v>
      </c>
      <c r="W12" t="s">
        <v>353</v>
      </c>
      <c r="Y12" s="20" t="s">
        <v>343</v>
      </c>
      <c r="Z12" s="20">
        <f t="shared" si="1"/>
        <v>5</v>
      </c>
      <c r="AA12" s="20" t="s">
        <v>497</v>
      </c>
      <c r="AH12" s="33" t="s">
        <v>387</v>
      </c>
      <c r="AI12" s="21">
        <f t="shared" ref="AI12:AK12" si="11">AI3/AI$6</f>
        <v>0.1165644171779141</v>
      </c>
      <c r="AJ12" s="21">
        <f t="shared" si="11"/>
        <v>0.22183657076559476</v>
      </c>
      <c r="AK12" s="21">
        <f t="shared" si="11"/>
        <v>0.22184738314351971</v>
      </c>
    </row>
    <row r="13" spans="1:39" x14ac:dyDescent="0.25">
      <c r="A13" s="42" t="s">
        <v>11</v>
      </c>
      <c r="B13" s="42" t="e">
        <v>#N/A</v>
      </c>
      <c r="C13" s="20">
        <v>122</v>
      </c>
      <c r="D13" s="20">
        <v>127</v>
      </c>
      <c r="E13" s="20">
        <v>128</v>
      </c>
      <c r="F13" s="20">
        <v>128</v>
      </c>
      <c r="G13" s="20">
        <v>156</v>
      </c>
      <c r="H13" s="20">
        <v>159</v>
      </c>
      <c r="I13" s="20">
        <v>157</v>
      </c>
      <c r="J13" s="20">
        <v>160</v>
      </c>
      <c r="K13" s="20">
        <v>160</v>
      </c>
      <c r="L13" s="20">
        <v>154</v>
      </c>
      <c r="M13" s="20">
        <v>160</v>
      </c>
      <c r="N13" s="20">
        <v>13</v>
      </c>
      <c r="O13" s="43"/>
      <c r="P13" s="22">
        <v>408</v>
      </c>
      <c r="Q13" s="22">
        <v>11007.36</v>
      </c>
      <c r="R13" s="20" t="s">
        <v>468</v>
      </c>
      <c r="S13" s="20" t="s">
        <v>386</v>
      </c>
      <c r="T13" s="13">
        <f t="shared" si="0"/>
        <v>408</v>
      </c>
      <c r="U13" s="10">
        <f t="shared" si="4"/>
        <v>26.978823529411766</v>
      </c>
      <c r="W13" t="s">
        <v>353</v>
      </c>
      <c r="Y13" s="20" t="s">
        <v>384</v>
      </c>
      <c r="Z13" s="20">
        <f t="shared" si="1"/>
        <v>4</v>
      </c>
      <c r="AA13" s="20" t="s">
        <v>497</v>
      </c>
      <c r="AH13" s="33" t="s">
        <v>415</v>
      </c>
      <c r="AI13" s="21">
        <f t="shared" ref="AI13:AK13" si="12">AI4/AI$6</f>
        <v>4.9079754601226995E-2</v>
      </c>
      <c r="AJ13" s="21">
        <f t="shared" si="12"/>
        <v>5.2785702585852697E-2</v>
      </c>
      <c r="AK13" s="21">
        <f t="shared" si="12"/>
        <v>2.7030542636012119E-2</v>
      </c>
    </row>
    <row r="14" spans="1:39" x14ac:dyDescent="0.25">
      <c r="A14" s="42" t="s">
        <v>12</v>
      </c>
      <c r="B14" s="42" t="s">
        <v>203</v>
      </c>
      <c r="C14" s="20">
        <v>108</v>
      </c>
      <c r="D14" s="20">
        <v>115</v>
      </c>
      <c r="E14" s="20">
        <v>137</v>
      </c>
      <c r="F14" s="20">
        <v>124</v>
      </c>
      <c r="G14" s="20">
        <v>126</v>
      </c>
      <c r="H14" s="20">
        <v>126</v>
      </c>
      <c r="I14" s="20">
        <v>125</v>
      </c>
      <c r="J14" s="20">
        <v>128</v>
      </c>
      <c r="K14" s="20">
        <v>138</v>
      </c>
      <c r="L14" s="20">
        <v>143</v>
      </c>
      <c r="M14" s="20">
        <v>152</v>
      </c>
      <c r="N14" s="20">
        <v>14</v>
      </c>
      <c r="O14" s="43"/>
      <c r="P14" s="22">
        <v>253</v>
      </c>
      <c r="Q14" s="22">
        <v>16194.73</v>
      </c>
      <c r="R14" s="20" t="s">
        <v>421</v>
      </c>
      <c r="S14" s="20" t="s">
        <v>386</v>
      </c>
      <c r="T14" s="13">
        <f t="shared" si="0"/>
        <v>253</v>
      </c>
      <c r="U14" s="10">
        <f t="shared" si="4"/>
        <v>64.010790513833996</v>
      </c>
      <c r="W14" t="s">
        <v>353</v>
      </c>
      <c r="Y14" s="20" t="s">
        <v>312</v>
      </c>
      <c r="Z14" s="20">
        <f t="shared" si="1"/>
        <v>4</v>
      </c>
      <c r="AA14" s="20" t="s">
        <v>498</v>
      </c>
      <c r="AH14" s="33" t="s">
        <v>386</v>
      </c>
      <c r="AI14" s="21">
        <f t="shared" ref="AI14:AK14" si="13">AI5/AI$6</f>
        <v>0.80981595092024539</v>
      </c>
      <c r="AJ14" s="21">
        <f t="shared" si="13"/>
        <v>0.71447253065908578</v>
      </c>
      <c r="AK14" s="21">
        <f t="shared" si="13"/>
        <v>0.73855799378985409</v>
      </c>
    </row>
    <row r="15" spans="1:39" x14ac:dyDescent="0.25">
      <c r="A15" s="42" t="s">
        <v>13</v>
      </c>
      <c r="B15" s="42" t="e">
        <v>#N/A</v>
      </c>
      <c r="C15" s="20">
        <v>90</v>
      </c>
      <c r="D15" s="20">
        <v>96</v>
      </c>
      <c r="E15" s="20">
        <v>118</v>
      </c>
      <c r="F15" s="20">
        <v>110</v>
      </c>
      <c r="G15" s="20">
        <v>108</v>
      </c>
      <c r="H15" s="20">
        <v>124</v>
      </c>
      <c r="I15" s="20">
        <v>140</v>
      </c>
      <c r="J15" s="20">
        <v>116</v>
      </c>
      <c r="K15" s="20">
        <v>130</v>
      </c>
      <c r="L15" s="20">
        <v>123</v>
      </c>
      <c r="M15" s="20">
        <v>121</v>
      </c>
      <c r="N15" s="20">
        <v>15</v>
      </c>
      <c r="O15" s="43"/>
      <c r="P15" s="44">
        <f>VLOOKUP(A15,LincsData2,4,FALSE)</f>
        <v>382.86257530120486</v>
      </c>
      <c r="Q15" s="45">
        <f>VLOOKUP(A15,LincsData2,5,FALSE)</f>
        <v>12590.83</v>
      </c>
      <c r="R15" s="20" t="s">
        <v>332</v>
      </c>
      <c r="S15" s="20" t="s">
        <v>386</v>
      </c>
      <c r="T15" s="13">
        <f t="shared" si="0"/>
        <v>5053.9041164658629</v>
      </c>
      <c r="U15" s="10">
        <f t="shared" si="4"/>
        <v>32.886029641561514</v>
      </c>
      <c r="V15" t="s">
        <v>492</v>
      </c>
      <c r="W15" t="s">
        <v>353</v>
      </c>
      <c r="Y15" s="20" t="s">
        <v>308</v>
      </c>
      <c r="Z15" s="20">
        <f t="shared" si="1"/>
        <v>4</v>
      </c>
      <c r="AA15" s="20" t="s">
        <v>497</v>
      </c>
    </row>
    <row r="16" spans="1:39" x14ac:dyDescent="0.25">
      <c r="A16" s="42" t="s">
        <v>14</v>
      </c>
      <c r="B16" s="42" t="s">
        <v>204</v>
      </c>
      <c r="C16" s="20">
        <v>86</v>
      </c>
      <c r="D16" s="20">
        <v>112</v>
      </c>
      <c r="E16" s="20">
        <v>104</v>
      </c>
      <c r="F16" s="20">
        <v>112</v>
      </c>
      <c r="G16" s="20">
        <v>93</v>
      </c>
      <c r="H16" s="20">
        <v>120</v>
      </c>
      <c r="I16" s="20">
        <v>118</v>
      </c>
      <c r="J16" s="20">
        <v>121</v>
      </c>
      <c r="K16" s="20">
        <v>107</v>
      </c>
      <c r="L16" s="20">
        <v>111</v>
      </c>
      <c r="M16" s="20">
        <v>121</v>
      </c>
      <c r="N16" s="20">
        <v>16</v>
      </c>
      <c r="O16" s="43"/>
      <c r="P16" s="45">
        <f>VLOOKUP(A16,LincsData2,4,FALSE)</f>
        <v>320</v>
      </c>
      <c r="Q16" s="45">
        <f>VLOOKUP(A16,LincsData2,5,FALSE)</f>
        <v>11987</v>
      </c>
      <c r="R16" s="20" t="s">
        <v>332</v>
      </c>
      <c r="S16" s="20" t="s">
        <v>386</v>
      </c>
      <c r="T16" s="13">
        <f t="shared" si="0"/>
        <v>5053.9041164658629</v>
      </c>
      <c r="U16" s="10">
        <f t="shared" si="4"/>
        <v>37.459375000000001</v>
      </c>
      <c r="V16" t="s">
        <v>492</v>
      </c>
      <c r="W16" t="s">
        <v>353</v>
      </c>
      <c r="Y16" s="20" t="s">
        <v>319</v>
      </c>
      <c r="Z16" s="20">
        <f t="shared" si="1"/>
        <v>4</v>
      </c>
      <c r="AA16" s="20" t="s">
        <v>498</v>
      </c>
      <c r="AH16" s="2" t="s">
        <v>457</v>
      </c>
    </row>
    <row r="17" spans="1:37" x14ac:dyDescent="0.25">
      <c r="A17" s="42" t="s">
        <v>15</v>
      </c>
      <c r="B17" s="42" t="s">
        <v>205</v>
      </c>
      <c r="C17" s="20">
        <v>197</v>
      </c>
      <c r="D17" s="20">
        <v>233</v>
      </c>
      <c r="E17" s="20">
        <v>240</v>
      </c>
      <c r="F17" s="20">
        <v>240</v>
      </c>
      <c r="G17" s="20">
        <v>238</v>
      </c>
      <c r="H17" s="20">
        <v>248</v>
      </c>
      <c r="I17" s="20">
        <v>242</v>
      </c>
      <c r="J17" s="20">
        <v>241</v>
      </c>
      <c r="K17" s="20">
        <v>244</v>
      </c>
      <c r="L17" s="20">
        <v>240</v>
      </c>
      <c r="M17" s="20">
        <v>240</v>
      </c>
      <c r="N17" s="20">
        <v>17</v>
      </c>
      <c r="O17" s="43"/>
      <c r="P17" s="45">
        <f>VLOOKUP(A17,LincsData2,4,FALSE)</f>
        <v>557</v>
      </c>
      <c r="Q17" s="45">
        <f>VLOOKUP(A17,LincsData2,5,FALSE)</f>
        <v>16927</v>
      </c>
      <c r="R17" s="20" t="s">
        <v>332</v>
      </c>
      <c r="S17" s="20" t="s">
        <v>386</v>
      </c>
      <c r="T17" s="13">
        <f t="shared" si="0"/>
        <v>5053.9041164658629</v>
      </c>
      <c r="U17" s="10">
        <f t="shared" si="4"/>
        <v>30.389587073608617</v>
      </c>
      <c r="V17" t="s">
        <v>492</v>
      </c>
      <c r="W17" t="s">
        <v>353</v>
      </c>
      <c r="Y17" s="20" t="s">
        <v>419</v>
      </c>
      <c r="Z17" s="20">
        <f t="shared" si="1"/>
        <v>2</v>
      </c>
      <c r="AA17" s="20" t="s">
        <v>499</v>
      </c>
    </row>
    <row r="18" spans="1:37" x14ac:dyDescent="0.25">
      <c r="A18" s="42" t="s">
        <v>16</v>
      </c>
      <c r="B18" s="42" t="s">
        <v>206</v>
      </c>
      <c r="C18" s="20">
        <v>153</v>
      </c>
      <c r="D18" s="20">
        <v>150</v>
      </c>
      <c r="E18" s="20">
        <v>151</v>
      </c>
      <c r="F18" s="20">
        <v>157</v>
      </c>
      <c r="G18" s="20">
        <v>150</v>
      </c>
      <c r="H18" s="20">
        <v>159</v>
      </c>
      <c r="I18" s="20">
        <v>185</v>
      </c>
      <c r="J18" s="20">
        <v>184</v>
      </c>
      <c r="K18" s="20">
        <v>182</v>
      </c>
      <c r="L18" s="20">
        <v>178</v>
      </c>
      <c r="M18" s="20">
        <v>185</v>
      </c>
      <c r="N18" s="20">
        <v>18</v>
      </c>
      <c r="O18" s="43"/>
      <c r="P18" s="22">
        <v>395</v>
      </c>
      <c r="Q18" s="22">
        <v>10141.42</v>
      </c>
      <c r="R18" s="20" t="s">
        <v>384</v>
      </c>
      <c r="S18" s="20" t="s">
        <v>386</v>
      </c>
      <c r="T18" s="13">
        <f t="shared" si="0"/>
        <v>1433</v>
      </c>
      <c r="U18" s="10">
        <f t="shared" si="4"/>
        <v>25.674481012658227</v>
      </c>
      <c r="W18" t="s">
        <v>353</v>
      </c>
      <c r="Y18" s="20" t="s">
        <v>420</v>
      </c>
      <c r="Z18" s="20">
        <f t="shared" si="1"/>
        <v>2</v>
      </c>
      <c r="AA18" s="20" t="s">
        <v>499</v>
      </c>
      <c r="AH18" s="31" t="s">
        <v>385</v>
      </c>
      <c r="AI18" s="32" t="s">
        <v>454</v>
      </c>
      <c r="AJ18" s="32" t="s">
        <v>455</v>
      </c>
      <c r="AK18" s="32" t="s">
        <v>456</v>
      </c>
    </row>
    <row r="19" spans="1:37" x14ac:dyDescent="0.25">
      <c r="A19" s="42" t="s">
        <v>17</v>
      </c>
      <c r="B19" s="42" t="s">
        <v>207</v>
      </c>
      <c r="C19" s="20">
        <v>165</v>
      </c>
      <c r="D19" s="20">
        <v>159</v>
      </c>
      <c r="E19" s="20">
        <v>174</v>
      </c>
      <c r="F19" s="20">
        <v>173</v>
      </c>
      <c r="G19" s="20">
        <v>174</v>
      </c>
      <c r="H19" s="20">
        <v>174</v>
      </c>
      <c r="I19" s="20">
        <v>180</v>
      </c>
      <c r="J19" s="20">
        <v>182</v>
      </c>
      <c r="K19" s="20">
        <v>178</v>
      </c>
      <c r="L19" s="20">
        <v>178</v>
      </c>
      <c r="M19" s="20">
        <v>180</v>
      </c>
      <c r="N19" s="20">
        <v>19</v>
      </c>
      <c r="O19" s="43"/>
      <c r="P19" s="22">
        <v>428</v>
      </c>
      <c r="Q19" s="22">
        <v>10059</v>
      </c>
      <c r="R19" s="20" t="s">
        <v>384</v>
      </c>
      <c r="S19" s="20" t="s">
        <v>386</v>
      </c>
      <c r="T19" s="13">
        <f t="shared" si="0"/>
        <v>1433</v>
      </c>
      <c r="U19" s="10">
        <f t="shared" si="4"/>
        <v>23.502336448598133</v>
      </c>
      <c r="W19" t="s">
        <v>353</v>
      </c>
      <c r="Y19" s="20" t="s">
        <v>416</v>
      </c>
      <c r="Z19" s="20">
        <f t="shared" si="1"/>
        <v>2</v>
      </c>
      <c r="AA19" s="20" t="s">
        <v>497</v>
      </c>
      <c r="AH19" s="33" t="s">
        <v>417</v>
      </c>
      <c r="AI19" s="21">
        <f>AI2/AI8</f>
        <v>2.7777777777777776E-2</v>
      </c>
      <c r="AJ19" s="21">
        <f t="shared" ref="AJ19:AK19" si="14">AJ2/AJ8</f>
        <v>1.4014017595501469E-2</v>
      </c>
      <c r="AK19" s="21">
        <f t="shared" si="14"/>
        <v>1.6146036341006403E-2</v>
      </c>
    </row>
    <row r="20" spans="1:37" x14ac:dyDescent="0.25">
      <c r="A20" s="42" t="s">
        <v>18</v>
      </c>
      <c r="B20" s="42" t="s">
        <v>208</v>
      </c>
      <c r="C20" s="20">
        <v>148</v>
      </c>
      <c r="D20" s="20">
        <v>140</v>
      </c>
      <c r="E20" s="20">
        <v>143</v>
      </c>
      <c r="F20" s="20">
        <v>150</v>
      </c>
      <c r="G20" s="20">
        <v>150</v>
      </c>
      <c r="H20" s="20">
        <v>150</v>
      </c>
      <c r="I20" s="20">
        <v>150</v>
      </c>
      <c r="J20" s="20">
        <v>150</v>
      </c>
      <c r="K20" s="20">
        <v>182</v>
      </c>
      <c r="L20" s="20">
        <v>180</v>
      </c>
      <c r="M20" s="20">
        <v>180</v>
      </c>
      <c r="N20" s="20">
        <v>20</v>
      </c>
      <c r="O20" s="43"/>
      <c r="P20" s="22">
        <f>12238/COUNTIF(R:R,R20)</f>
        <v>941.38461538461536</v>
      </c>
      <c r="Q20" s="22">
        <f>336465/COUNTIF(R:R,R20)</f>
        <v>25881.923076923078</v>
      </c>
      <c r="R20" s="20" t="s">
        <v>342</v>
      </c>
      <c r="S20" s="20" t="s">
        <v>386</v>
      </c>
      <c r="T20" s="13">
        <f t="shared" si="0"/>
        <v>12238</v>
      </c>
      <c r="U20" s="10">
        <f t="shared" si="4"/>
        <v>27.49346298414774</v>
      </c>
      <c r="W20" t="s">
        <v>353</v>
      </c>
      <c r="Y20" s="20" t="s">
        <v>166</v>
      </c>
      <c r="Z20" s="20">
        <f t="shared" si="1"/>
        <v>2</v>
      </c>
      <c r="AA20" s="20" t="s">
        <v>498</v>
      </c>
      <c r="AH20" s="33" t="s">
        <v>415</v>
      </c>
      <c r="AI20" s="21">
        <f>AI4/AI8</f>
        <v>5.5555555555555552E-2</v>
      </c>
      <c r="AJ20" s="21">
        <f t="shared" ref="AJ20:AK20" si="15">AJ4/AJ8</f>
        <v>6.7833697399254322E-2</v>
      </c>
      <c r="AK20" s="21">
        <f t="shared" si="15"/>
        <v>3.4736813898034527E-2</v>
      </c>
    </row>
    <row r="21" spans="1:37" x14ac:dyDescent="0.25">
      <c r="A21" s="42" t="s">
        <v>19</v>
      </c>
      <c r="B21" s="42" t="s">
        <v>209</v>
      </c>
      <c r="C21" s="20">
        <v>95</v>
      </c>
      <c r="D21" s="20">
        <v>94</v>
      </c>
      <c r="E21" s="20">
        <v>102</v>
      </c>
      <c r="F21" s="20">
        <v>102</v>
      </c>
      <c r="G21" s="20">
        <v>102</v>
      </c>
      <c r="H21" s="20">
        <v>102</v>
      </c>
      <c r="I21" s="20">
        <v>102</v>
      </c>
      <c r="J21" s="20">
        <v>102</v>
      </c>
      <c r="K21" s="20">
        <v>102</v>
      </c>
      <c r="L21" s="20">
        <v>101</v>
      </c>
      <c r="M21" s="20">
        <v>102</v>
      </c>
      <c r="N21" s="20">
        <v>21</v>
      </c>
      <c r="O21" s="43"/>
      <c r="P21" s="44">
        <f>VLOOKUP(A21,LincsData2,4,FALSE)</f>
        <v>285.31626506024099</v>
      </c>
      <c r="Q21" s="45">
        <f>VLOOKUP(A21,LincsData2,5,FALSE)</f>
        <v>10000</v>
      </c>
      <c r="R21" s="20" t="s">
        <v>332</v>
      </c>
      <c r="S21" s="20" t="s">
        <v>386</v>
      </c>
      <c r="T21" s="13">
        <f t="shared" si="0"/>
        <v>5053.9041164658629</v>
      </c>
      <c r="U21" s="10">
        <f t="shared" si="4"/>
        <v>35.048825547637897</v>
      </c>
      <c r="V21" t="s">
        <v>492</v>
      </c>
      <c r="W21" t="s">
        <v>353</v>
      </c>
      <c r="Y21" s="20" t="s">
        <v>500</v>
      </c>
      <c r="Z21" s="20">
        <f>COUNTIF(R:R,Y21)</f>
        <v>1</v>
      </c>
      <c r="AA21" s="20" t="s">
        <v>498</v>
      </c>
      <c r="AH21" s="33" t="s">
        <v>386</v>
      </c>
      <c r="AI21" s="21">
        <f>AI5/AI8</f>
        <v>0.91666666666666663</v>
      </c>
      <c r="AJ21" s="21">
        <f t="shared" ref="AJ21:AK21" si="16">AJ5/AJ8</f>
        <v>0.91815228500524426</v>
      </c>
      <c r="AK21" s="21">
        <f t="shared" si="16"/>
        <v>0.94911714976095907</v>
      </c>
    </row>
    <row r="22" spans="1:37" x14ac:dyDescent="0.25">
      <c r="A22" s="42" t="s">
        <v>20</v>
      </c>
      <c r="B22" s="42" t="s">
        <v>210</v>
      </c>
      <c r="C22" s="20">
        <v>168</v>
      </c>
      <c r="D22" s="20">
        <v>174</v>
      </c>
      <c r="E22" s="20">
        <v>186</v>
      </c>
      <c r="F22" s="20">
        <v>208</v>
      </c>
      <c r="G22" s="20">
        <v>226</v>
      </c>
      <c r="H22" s="20">
        <v>245</v>
      </c>
      <c r="I22" s="20">
        <v>221</v>
      </c>
      <c r="J22" s="20">
        <v>217</v>
      </c>
      <c r="K22" s="20">
        <v>218</v>
      </c>
      <c r="L22" s="20">
        <v>219</v>
      </c>
      <c r="M22" s="20">
        <v>226</v>
      </c>
      <c r="N22" s="20">
        <v>22</v>
      </c>
      <c r="O22" s="43"/>
      <c r="P22" s="22">
        <f>820/2</f>
        <v>410</v>
      </c>
      <c r="Q22" s="22">
        <f>84000/8</f>
        <v>10500</v>
      </c>
      <c r="R22" s="20" t="s">
        <v>319</v>
      </c>
      <c r="S22" s="20" t="s">
        <v>386</v>
      </c>
      <c r="T22" s="13">
        <f t="shared" si="0"/>
        <v>1719</v>
      </c>
      <c r="U22" s="10">
        <f t="shared" si="4"/>
        <v>25.609756097560975</v>
      </c>
      <c r="V22" t="s">
        <v>424</v>
      </c>
      <c r="W22" t="s">
        <v>353</v>
      </c>
      <c r="Y22" s="20" t="s">
        <v>467</v>
      </c>
      <c r="Z22" s="20">
        <f t="shared" si="1"/>
        <v>1</v>
      </c>
      <c r="AA22" s="20" t="s">
        <v>499</v>
      </c>
    </row>
    <row r="23" spans="1:37" x14ac:dyDescent="0.25">
      <c r="A23" s="42" t="s">
        <v>21</v>
      </c>
      <c r="B23" s="42" t="s">
        <v>211</v>
      </c>
      <c r="C23" s="20">
        <v>105</v>
      </c>
      <c r="D23" s="20">
        <v>111</v>
      </c>
      <c r="E23" s="20">
        <v>119</v>
      </c>
      <c r="F23" s="20">
        <v>107</v>
      </c>
      <c r="G23" s="20">
        <v>100</v>
      </c>
      <c r="H23" s="20">
        <v>121</v>
      </c>
      <c r="I23" s="20">
        <v>106</v>
      </c>
      <c r="J23" s="20">
        <v>107</v>
      </c>
      <c r="K23" s="20">
        <v>93</v>
      </c>
      <c r="L23" s="20">
        <v>144</v>
      </c>
      <c r="M23" s="20">
        <v>106</v>
      </c>
      <c r="N23" s="20">
        <v>24</v>
      </c>
      <c r="O23" s="43"/>
      <c r="P23" s="45">
        <f>VLOOKUP(A23,LincsData2,4,FALSE)</f>
        <v>232</v>
      </c>
      <c r="Q23" s="45">
        <f>VLOOKUP(A23,LincsData2,5,FALSE)</f>
        <v>7806.47</v>
      </c>
      <c r="R23" s="20" t="s">
        <v>332</v>
      </c>
      <c r="S23" s="20" t="s">
        <v>386</v>
      </c>
      <c r="T23" s="13">
        <f t="shared" si="0"/>
        <v>5053.9041164658629</v>
      </c>
      <c r="U23" s="10">
        <f t="shared" si="4"/>
        <v>33.648577586206898</v>
      </c>
      <c r="V23" t="s">
        <v>492</v>
      </c>
      <c r="W23" t="s">
        <v>353</v>
      </c>
      <c r="Y23" s="20" t="s">
        <v>468</v>
      </c>
      <c r="Z23" s="20">
        <f t="shared" si="1"/>
        <v>1</v>
      </c>
      <c r="AA23" s="20" t="s">
        <v>499</v>
      </c>
    </row>
    <row r="24" spans="1:37" x14ac:dyDescent="0.25">
      <c r="A24" s="42" t="s">
        <v>22</v>
      </c>
      <c r="B24" s="20" t="s">
        <v>315</v>
      </c>
      <c r="C24" s="20">
        <v>184</v>
      </c>
      <c r="D24" s="20">
        <v>146</v>
      </c>
      <c r="E24" s="20">
        <v>148</v>
      </c>
      <c r="F24" s="20">
        <v>180</v>
      </c>
      <c r="G24" s="20">
        <v>205</v>
      </c>
      <c r="H24" s="20">
        <v>239</v>
      </c>
      <c r="I24" s="20">
        <v>195</v>
      </c>
      <c r="J24" s="20">
        <v>186</v>
      </c>
      <c r="K24" s="20">
        <v>187</v>
      </c>
      <c r="L24" s="20">
        <v>182</v>
      </c>
      <c r="M24" s="20">
        <v>166</v>
      </c>
      <c r="N24" s="20">
        <v>31</v>
      </c>
      <c r="O24" s="20"/>
      <c r="P24" s="22">
        <f>16446/COUNTIF(R:R,R24)</f>
        <v>657.84</v>
      </c>
      <c r="Q24" s="22">
        <f>278209.64/COUNTIF(R:R,R24)</f>
        <v>11128.385600000001</v>
      </c>
      <c r="R24" s="20" t="s">
        <v>170</v>
      </c>
      <c r="S24" s="20" t="s">
        <v>386</v>
      </c>
      <c r="T24" s="13">
        <f t="shared" si="0"/>
        <v>16446</v>
      </c>
      <c r="U24" s="10">
        <f t="shared" si="4"/>
        <v>16.916553569256962</v>
      </c>
      <c r="W24" t="s">
        <v>353</v>
      </c>
      <c r="Y24" s="20" t="s">
        <v>466</v>
      </c>
      <c r="Z24" s="20">
        <f t="shared" si="1"/>
        <v>1</v>
      </c>
      <c r="AA24" s="20" t="s">
        <v>499</v>
      </c>
      <c r="AH24" s="51">
        <v>0.75</v>
      </c>
      <c r="AI24" t="s">
        <v>462</v>
      </c>
      <c r="AK24" s="10">
        <f>AK6*AH24</f>
        <v>2412532.3112500003</v>
      </c>
    </row>
    <row r="25" spans="1:37" x14ac:dyDescent="0.25">
      <c r="A25" s="42" t="s">
        <v>23</v>
      </c>
      <c r="B25" s="42" t="e">
        <v>#N/A</v>
      </c>
      <c r="C25" s="20">
        <v>108</v>
      </c>
      <c r="D25" s="20">
        <v>105</v>
      </c>
      <c r="E25" s="20">
        <v>93</v>
      </c>
      <c r="F25" s="20">
        <v>113</v>
      </c>
      <c r="G25" s="20">
        <v>181</v>
      </c>
      <c r="H25" s="20">
        <v>115</v>
      </c>
      <c r="I25" s="20">
        <v>162</v>
      </c>
      <c r="J25" s="20">
        <v>147</v>
      </c>
      <c r="K25" s="20">
        <v>130</v>
      </c>
      <c r="L25" s="20">
        <v>142</v>
      </c>
      <c r="M25" s="20">
        <v>149</v>
      </c>
      <c r="N25" s="37">
        <v>23</v>
      </c>
      <c r="O25" s="43"/>
      <c r="P25" s="22">
        <f>3846/COUNTIF(R:R,R25)</f>
        <v>641</v>
      </c>
      <c r="Q25" s="22">
        <f>386566/COUNTIF(R:R,R25)/2</f>
        <v>32213.833333333332</v>
      </c>
      <c r="R25" s="20" t="s">
        <v>352</v>
      </c>
      <c r="S25" s="20" t="s">
        <v>386</v>
      </c>
      <c r="T25" s="13">
        <f t="shared" si="0"/>
        <v>3846</v>
      </c>
      <c r="U25" s="10">
        <f t="shared" si="4"/>
        <v>50.255590223608941</v>
      </c>
      <c r="V25" t="s">
        <v>461</v>
      </c>
      <c r="W25" t="s">
        <v>353</v>
      </c>
      <c r="Y25" s="20" t="s">
        <v>463</v>
      </c>
      <c r="Z25" s="20">
        <f t="shared" si="1"/>
        <v>1</v>
      </c>
      <c r="AA25" s="20" t="s">
        <v>499</v>
      </c>
      <c r="AH25" t="s">
        <v>460</v>
      </c>
      <c r="AK25" s="10">
        <f>AK24+AK6</f>
        <v>5629242.0595833343</v>
      </c>
    </row>
    <row r="26" spans="1:37" x14ac:dyDescent="0.25">
      <c r="A26" s="42" t="s">
        <v>24</v>
      </c>
      <c r="B26" s="42" t="s">
        <v>212</v>
      </c>
      <c r="C26" s="20">
        <v>120</v>
      </c>
      <c r="D26" s="20">
        <v>120</v>
      </c>
      <c r="E26" s="20">
        <v>150</v>
      </c>
      <c r="F26" s="20">
        <v>150</v>
      </c>
      <c r="G26" s="20">
        <v>150</v>
      </c>
      <c r="H26" s="20">
        <v>150</v>
      </c>
      <c r="I26" s="20">
        <v>150</v>
      </c>
      <c r="J26" s="20">
        <v>180</v>
      </c>
      <c r="K26" s="20">
        <v>180</v>
      </c>
      <c r="L26" s="20">
        <v>180</v>
      </c>
      <c r="M26" s="20">
        <v>180</v>
      </c>
      <c r="N26" s="37">
        <v>25</v>
      </c>
      <c r="O26" s="43"/>
      <c r="P26" s="22">
        <v>1225</v>
      </c>
      <c r="Q26" s="22">
        <v>9900</v>
      </c>
      <c r="R26" s="20" t="s">
        <v>463</v>
      </c>
      <c r="S26" s="20" t="s">
        <v>415</v>
      </c>
      <c r="T26" s="13">
        <f t="shared" si="0"/>
        <v>1225</v>
      </c>
      <c r="U26" s="10">
        <f t="shared" si="4"/>
        <v>8.0816326530612237</v>
      </c>
      <c r="W26" t="s">
        <v>353</v>
      </c>
      <c r="Y26" s="20" t="s">
        <v>469</v>
      </c>
      <c r="Z26" s="20">
        <f t="shared" si="1"/>
        <v>1</v>
      </c>
      <c r="AA26" s="20" t="s">
        <v>499</v>
      </c>
    </row>
    <row r="27" spans="1:37" x14ac:dyDescent="0.25">
      <c r="A27" s="42" t="s">
        <v>25</v>
      </c>
      <c r="B27" s="42" t="s">
        <v>213</v>
      </c>
      <c r="C27" s="20">
        <v>132</v>
      </c>
      <c r="D27" s="20">
        <v>161</v>
      </c>
      <c r="E27" s="20">
        <v>180</v>
      </c>
      <c r="F27" s="20">
        <v>180</v>
      </c>
      <c r="G27" s="20">
        <v>180</v>
      </c>
      <c r="H27" s="20">
        <v>184</v>
      </c>
      <c r="I27" s="20">
        <v>188</v>
      </c>
      <c r="J27" s="20">
        <v>184</v>
      </c>
      <c r="K27" s="20">
        <v>186</v>
      </c>
      <c r="L27" s="20">
        <v>186</v>
      </c>
      <c r="M27" s="20">
        <v>186</v>
      </c>
      <c r="N27" s="37">
        <v>27</v>
      </c>
      <c r="O27" s="43"/>
      <c r="P27" s="22">
        <f>12238/COUNTIF(R:R,R27)</f>
        <v>941.38461538461536</v>
      </c>
      <c r="Q27" s="22">
        <f>336465/COUNTIF(R:R,R27)</f>
        <v>25881.923076923078</v>
      </c>
      <c r="R27" s="20" t="s">
        <v>342</v>
      </c>
      <c r="S27" s="20" t="s">
        <v>386</v>
      </c>
      <c r="T27" s="13">
        <f t="shared" si="0"/>
        <v>12238</v>
      </c>
      <c r="U27" s="10">
        <f t="shared" si="4"/>
        <v>27.49346298414774</v>
      </c>
      <c r="W27" t="s">
        <v>353</v>
      </c>
      <c r="Y27" s="20" t="s">
        <v>470</v>
      </c>
      <c r="Z27" s="20">
        <f t="shared" si="1"/>
        <v>1</v>
      </c>
      <c r="AA27" s="20" t="s">
        <v>499</v>
      </c>
    </row>
    <row r="28" spans="1:37" x14ac:dyDescent="0.25">
      <c r="A28" s="42" t="s">
        <v>26</v>
      </c>
      <c r="B28" s="42" t="e">
        <v>#N/A</v>
      </c>
      <c r="C28" s="20">
        <v>191</v>
      </c>
      <c r="D28" s="20">
        <v>191</v>
      </c>
      <c r="E28" s="20">
        <v>192</v>
      </c>
      <c r="F28" s="20">
        <v>192</v>
      </c>
      <c r="G28" s="20">
        <v>191</v>
      </c>
      <c r="H28" s="20">
        <v>192</v>
      </c>
      <c r="I28" s="20">
        <v>192</v>
      </c>
      <c r="J28" s="20">
        <v>192</v>
      </c>
      <c r="K28" s="20">
        <v>192</v>
      </c>
      <c r="L28" s="20">
        <v>191</v>
      </c>
      <c r="M28" s="20">
        <v>192</v>
      </c>
      <c r="N28" s="37">
        <v>29</v>
      </c>
      <c r="O28" s="43"/>
      <c r="P28" s="22">
        <f>5855/4</f>
        <v>1463.75</v>
      </c>
      <c r="Q28" s="22">
        <f>131000/4</f>
        <v>32750</v>
      </c>
      <c r="R28" s="20" t="s">
        <v>312</v>
      </c>
      <c r="S28" s="20" t="s">
        <v>386</v>
      </c>
      <c r="T28" s="13">
        <f t="shared" si="0"/>
        <v>5855</v>
      </c>
      <c r="U28" s="10">
        <f t="shared" si="4"/>
        <v>22.374039282664388</v>
      </c>
      <c r="W28" t="s">
        <v>353</v>
      </c>
      <c r="Y28" s="20" t="s">
        <v>471</v>
      </c>
      <c r="Z28" s="20">
        <f t="shared" si="1"/>
        <v>1</v>
      </c>
      <c r="AA28" s="20" t="s">
        <v>499</v>
      </c>
    </row>
    <row r="29" spans="1:37" x14ac:dyDescent="0.25">
      <c r="A29" s="42" t="s">
        <v>27</v>
      </c>
      <c r="B29" s="42" t="e">
        <v>#N/A</v>
      </c>
      <c r="C29" s="20">
        <v>139</v>
      </c>
      <c r="D29" s="20">
        <v>138</v>
      </c>
      <c r="E29" s="20">
        <v>145</v>
      </c>
      <c r="F29" s="20">
        <v>147</v>
      </c>
      <c r="G29" s="20">
        <v>158</v>
      </c>
      <c r="H29" s="20">
        <v>151</v>
      </c>
      <c r="I29" s="20">
        <v>150</v>
      </c>
      <c r="J29" s="20">
        <v>150</v>
      </c>
      <c r="K29" s="20">
        <v>150</v>
      </c>
      <c r="L29" s="20">
        <v>150</v>
      </c>
      <c r="M29" s="20">
        <v>151</v>
      </c>
      <c r="N29" s="37">
        <v>30</v>
      </c>
      <c r="O29" s="43"/>
      <c r="P29" s="22">
        <v>287</v>
      </c>
      <c r="Q29" s="22">
        <v>7564.72</v>
      </c>
      <c r="R29" s="20" t="s">
        <v>469</v>
      </c>
      <c r="S29" s="20" t="s">
        <v>386</v>
      </c>
      <c r="T29" s="13">
        <f t="shared" si="0"/>
        <v>287</v>
      </c>
      <c r="U29" s="10">
        <f t="shared" si="4"/>
        <v>26.357909407665506</v>
      </c>
      <c r="W29" t="s">
        <v>353</v>
      </c>
      <c r="Y29" s="20" t="s">
        <v>486</v>
      </c>
      <c r="Z29" s="20">
        <f t="shared" si="1"/>
        <v>1</v>
      </c>
      <c r="AA29" s="20" t="s">
        <v>499</v>
      </c>
    </row>
    <row r="30" spans="1:37" x14ac:dyDescent="0.25">
      <c r="A30" s="42" t="s">
        <v>28</v>
      </c>
      <c r="B30" s="42" t="s">
        <v>214</v>
      </c>
      <c r="C30" s="20">
        <v>120</v>
      </c>
      <c r="D30" s="20">
        <v>120</v>
      </c>
      <c r="E30" s="20">
        <v>120</v>
      </c>
      <c r="F30" s="20">
        <v>150</v>
      </c>
      <c r="G30" s="20">
        <v>150</v>
      </c>
      <c r="H30" s="20">
        <v>150</v>
      </c>
      <c r="I30" s="20">
        <v>150</v>
      </c>
      <c r="J30" s="20">
        <v>150</v>
      </c>
      <c r="K30" s="20">
        <v>152</v>
      </c>
      <c r="L30" s="20">
        <v>150</v>
      </c>
      <c r="M30" s="20">
        <v>182</v>
      </c>
      <c r="N30" s="37">
        <v>32</v>
      </c>
      <c r="O30" s="43"/>
      <c r="P30" s="22">
        <v>518</v>
      </c>
      <c r="Q30" s="22">
        <v>14949.48</v>
      </c>
      <c r="R30" s="20" t="s">
        <v>470</v>
      </c>
      <c r="S30" s="20" t="s">
        <v>386</v>
      </c>
      <c r="T30" s="13">
        <f t="shared" si="0"/>
        <v>518</v>
      </c>
      <c r="U30" s="10">
        <f t="shared" si="4"/>
        <v>28.86</v>
      </c>
      <c r="W30" t="s">
        <v>353</v>
      </c>
      <c r="Y30" s="20" t="s">
        <v>472</v>
      </c>
      <c r="Z30" s="20">
        <f t="shared" si="1"/>
        <v>1</v>
      </c>
      <c r="AA30" s="20" t="s">
        <v>499</v>
      </c>
    </row>
    <row r="31" spans="1:37" x14ac:dyDescent="0.25">
      <c r="A31" s="42" t="s">
        <v>29</v>
      </c>
      <c r="B31" s="42" t="e">
        <v>#N/A</v>
      </c>
      <c r="C31" s="20">
        <v>112</v>
      </c>
      <c r="D31" s="20">
        <v>140</v>
      </c>
      <c r="E31" s="20">
        <v>160</v>
      </c>
      <c r="F31" s="20">
        <v>160</v>
      </c>
      <c r="G31" s="20">
        <v>160</v>
      </c>
      <c r="H31" s="20">
        <v>160</v>
      </c>
      <c r="I31" s="20">
        <v>160</v>
      </c>
      <c r="J31" s="20">
        <v>192</v>
      </c>
      <c r="K31" s="20">
        <v>191</v>
      </c>
      <c r="L31" s="20">
        <v>192</v>
      </c>
      <c r="M31" s="20">
        <v>192</v>
      </c>
      <c r="N31" s="37">
        <v>34</v>
      </c>
      <c r="O31" s="43"/>
      <c r="P31" s="22">
        <f>5295/7</f>
        <v>756.42857142857144</v>
      </c>
      <c r="Q31" s="22">
        <f>P31*typical_cost</f>
        <v>19788.17142857143</v>
      </c>
      <c r="R31" s="20" t="s">
        <v>316</v>
      </c>
      <c r="S31" s="20" t="s">
        <v>387</v>
      </c>
      <c r="T31" s="13">
        <f t="shared" si="0"/>
        <v>5295</v>
      </c>
      <c r="U31" s="10">
        <f t="shared" si="4"/>
        <v>26.16</v>
      </c>
      <c r="W31" t="s">
        <v>353</v>
      </c>
      <c r="Y31" s="20" t="s">
        <v>473</v>
      </c>
      <c r="Z31" s="20">
        <f t="shared" si="1"/>
        <v>1</v>
      </c>
      <c r="AA31" s="20" t="s">
        <v>499</v>
      </c>
    </row>
    <row r="32" spans="1:37" x14ac:dyDescent="0.25">
      <c r="A32" s="42" t="s">
        <v>30</v>
      </c>
      <c r="B32" s="42" t="s">
        <v>215</v>
      </c>
      <c r="C32" s="20">
        <v>96</v>
      </c>
      <c r="D32" s="20">
        <v>96</v>
      </c>
      <c r="E32" s="20">
        <v>120</v>
      </c>
      <c r="F32" s="20">
        <v>120</v>
      </c>
      <c r="G32" s="20">
        <v>120</v>
      </c>
      <c r="H32" s="20">
        <v>120</v>
      </c>
      <c r="I32" s="20">
        <v>128</v>
      </c>
      <c r="J32" s="20">
        <v>128</v>
      </c>
      <c r="K32" s="20">
        <v>128</v>
      </c>
      <c r="L32" s="20">
        <v>128</v>
      </c>
      <c r="M32" s="20">
        <v>128</v>
      </c>
      <c r="N32" s="37">
        <v>33</v>
      </c>
      <c r="O32" s="43"/>
      <c r="P32" s="22">
        <f>5295/7</f>
        <v>756.42857142857144</v>
      </c>
      <c r="Q32" s="22">
        <f>P32*typical_cost</f>
        <v>19788.17142857143</v>
      </c>
      <c r="R32" s="20" t="s">
        <v>316</v>
      </c>
      <c r="S32" s="20" t="s">
        <v>387</v>
      </c>
      <c r="T32" s="13">
        <f t="shared" si="0"/>
        <v>5295</v>
      </c>
      <c r="U32" s="10">
        <f t="shared" si="4"/>
        <v>26.16</v>
      </c>
      <c r="W32" t="s">
        <v>353</v>
      </c>
      <c r="Y32" s="20" t="s">
        <v>474</v>
      </c>
      <c r="Z32" s="20">
        <f t="shared" si="1"/>
        <v>1</v>
      </c>
      <c r="AA32" s="20" t="s">
        <v>499</v>
      </c>
    </row>
    <row r="33" spans="1:27" x14ac:dyDescent="0.25">
      <c r="A33" s="42" t="s">
        <v>31</v>
      </c>
      <c r="B33" s="42" t="s">
        <v>216</v>
      </c>
      <c r="C33" s="20">
        <v>121</v>
      </c>
      <c r="D33" s="20">
        <v>125</v>
      </c>
      <c r="E33" s="20">
        <v>119</v>
      </c>
      <c r="F33" s="20">
        <v>124</v>
      </c>
      <c r="G33" s="20">
        <v>160</v>
      </c>
      <c r="H33" s="20">
        <v>155</v>
      </c>
      <c r="I33" s="20">
        <v>155</v>
      </c>
      <c r="J33" s="20">
        <v>155</v>
      </c>
      <c r="K33" s="20">
        <v>155</v>
      </c>
      <c r="L33" s="20">
        <v>155</v>
      </c>
      <c r="M33" s="20">
        <v>155</v>
      </c>
      <c r="N33" s="37">
        <v>35</v>
      </c>
      <c r="O33" s="43"/>
      <c r="P33" s="22">
        <v>453</v>
      </c>
      <c r="Q33" s="22">
        <v>9900</v>
      </c>
      <c r="R33" s="20" t="s">
        <v>471</v>
      </c>
      <c r="S33" s="20" t="s">
        <v>415</v>
      </c>
      <c r="T33" s="13">
        <f t="shared" si="0"/>
        <v>453</v>
      </c>
      <c r="U33" s="10">
        <f t="shared" si="4"/>
        <v>21.85430463576159</v>
      </c>
      <c r="W33" t="s">
        <v>353</v>
      </c>
      <c r="Y33" s="20" t="s">
        <v>464</v>
      </c>
      <c r="Z33" s="20">
        <f t="shared" si="1"/>
        <v>1</v>
      </c>
      <c r="AA33" s="20" t="s">
        <v>499</v>
      </c>
    </row>
    <row r="34" spans="1:27" x14ac:dyDescent="0.25">
      <c r="A34" s="42" t="s">
        <v>32</v>
      </c>
      <c r="B34" s="42" t="s">
        <v>217</v>
      </c>
      <c r="C34" s="20">
        <v>0</v>
      </c>
      <c r="D34" s="20">
        <v>0</v>
      </c>
      <c r="E34" s="20">
        <v>0</v>
      </c>
      <c r="F34" s="20">
        <v>0</v>
      </c>
      <c r="G34" s="20">
        <v>30</v>
      </c>
      <c r="H34" s="20">
        <v>61</v>
      </c>
      <c r="I34" s="20">
        <v>61</v>
      </c>
      <c r="J34" s="20">
        <v>60</v>
      </c>
      <c r="K34" s="20">
        <v>63</v>
      </c>
      <c r="L34" s="20">
        <v>60</v>
      </c>
      <c r="M34" s="20">
        <v>92</v>
      </c>
      <c r="N34" s="37">
        <v>73</v>
      </c>
      <c r="O34" s="43"/>
      <c r="P34" s="22">
        <f>16446/COUNTIF(R:R,R34)</f>
        <v>657.84</v>
      </c>
      <c r="Q34" s="22">
        <f t="shared" ref="Q34:Q37" si="17">278209.64/COUNTIF(R:R,R34)</f>
        <v>11128.385600000001</v>
      </c>
      <c r="R34" s="20" t="s">
        <v>170</v>
      </c>
      <c r="S34" s="20" t="s">
        <v>386</v>
      </c>
      <c r="T34" s="13">
        <f t="shared" ref="T34:T65" si="18">SUMIF(R:R,R34,P:P)</f>
        <v>16446</v>
      </c>
      <c r="U34" s="10">
        <f t="shared" si="4"/>
        <v>16.916553569256962</v>
      </c>
      <c r="W34" t="s">
        <v>353</v>
      </c>
      <c r="Y34" s="20" t="s">
        <v>408</v>
      </c>
      <c r="Z34" s="20">
        <f t="shared" si="1"/>
        <v>1</v>
      </c>
      <c r="AA34" s="20" t="s">
        <v>499</v>
      </c>
    </row>
    <row r="35" spans="1:27" x14ac:dyDescent="0.25">
      <c r="A35" s="42" t="s">
        <v>33</v>
      </c>
      <c r="B35" s="42" t="s">
        <v>218</v>
      </c>
      <c r="C35" s="20">
        <v>176</v>
      </c>
      <c r="D35" s="20">
        <v>176</v>
      </c>
      <c r="E35" s="20">
        <v>178</v>
      </c>
      <c r="F35" s="20">
        <v>178</v>
      </c>
      <c r="G35" s="20">
        <v>182</v>
      </c>
      <c r="H35" s="20">
        <v>179</v>
      </c>
      <c r="I35" s="20">
        <v>180</v>
      </c>
      <c r="J35" s="20">
        <v>200</v>
      </c>
      <c r="K35" s="20">
        <v>164</v>
      </c>
      <c r="L35" s="20">
        <v>170</v>
      </c>
      <c r="M35" s="20">
        <v>173</v>
      </c>
      <c r="N35" s="37">
        <v>36</v>
      </c>
      <c r="O35" s="43"/>
      <c r="P35" s="22">
        <f>16446/COUNTIF(R:R,R35)</f>
        <v>657.84</v>
      </c>
      <c r="Q35" s="22">
        <f t="shared" si="17"/>
        <v>11128.385600000001</v>
      </c>
      <c r="R35" s="20" t="s">
        <v>170</v>
      </c>
      <c r="S35" s="20" t="s">
        <v>386</v>
      </c>
      <c r="T35" s="13">
        <f t="shared" si="18"/>
        <v>16446</v>
      </c>
      <c r="U35" s="10">
        <f t="shared" si="4"/>
        <v>16.916553569256962</v>
      </c>
      <c r="W35" t="s">
        <v>353</v>
      </c>
      <c r="Y35" s="20" t="s">
        <v>475</v>
      </c>
      <c r="Z35" s="20">
        <f t="shared" ref="Z35:Z58" si="19">COUNTIF(R:R,Y35)</f>
        <v>1</v>
      </c>
      <c r="AA35" s="20" t="s">
        <v>499</v>
      </c>
    </row>
    <row r="36" spans="1:27" x14ac:dyDescent="0.25">
      <c r="A36" s="42" t="s">
        <v>34</v>
      </c>
      <c r="B36" s="42" t="s">
        <v>219</v>
      </c>
      <c r="C36" s="20">
        <v>160</v>
      </c>
      <c r="D36" s="20">
        <v>152</v>
      </c>
      <c r="E36" s="20">
        <v>184</v>
      </c>
      <c r="F36" s="20">
        <v>185</v>
      </c>
      <c r="G36" s="20">
        <v>180</v>
      </c>
      <c r="H36" s="20">
        <v>186</v>
      </c>
      <c r="I36" s="20">
        <v>186</v>
      </c>
      <c r="J36" s="20">
        <v>185</v>
      </c>
      <c r="K36" s="20">
        <v>184</v>
      </c>
      <c r="L36" s="20">
        <v>184</v>
      </c>
      <c r="M36" s="20">
        <v>182</v>
      </c>
      <c r="N36" s="37">
        <v>38</v>
      </c>
      <c r="O36" s="43"/>
      <c r="P36" s="22">
        <f>16446/COUNTIF(R:R,R36)</f>
        <v>657.84</v>
      </c>
      <c r="Q36" s="22">
        <f t="shared" si="17"/>
        <v>11128.385600000001</v>
      </c>
      <c r="R36" s="20" t="s">
        <v>170</v>
      </c>
      <c r="S36" s="20" t="s">
        <v>386</v>
      </c>
      <c r="T36" s="13">
        <f t="shared" si="18"/>
        <v>16446</v>
      </c>
      <c r="U36" s="10">
        <f t="shared" si="4"/>
        <v>16.916553569256962</v>
      </c>
      <c r="W36" t="s">
        <v>353</v>
      </c>
      <c r="Y36" s="20" t="s">
        <v>421</v>
      </c>
      <c r="Z36" s="20">
        <f t="shared" si="19"/>
        <v>1</v>
      </c>
      <c r="AA36" s="20" t="s">
        <v>499</v>
      </c>
    </row>
    <row r="37" spans="1:27" x14ac:dyDescent="0.25">
      <c r="A37" s="42" t="s">
        <v>35</v>
      </c>
      <c r="B37" s="42" t="s">
        <v>220</v>
      </c>
      <c r="C37" s="20">
        <v>160</v>
      </c>
      <c r="D37" s="20">
        <v>160</v>
      </c>
      <c r="E37" s="20">
        <v>163</v>
      </c>
      <c r="F37" s="20">
        <v>180</v>
      </c>
      <c r="G37" s="20">
        <v>180</v>
      </c>
      <c r="H37" s="20">
        <v>180</v>
      </c>
      <c r="I37" s="20">
        <v>180</v>
      </c>
      <c r="J37" s="20">
        <v>180</v>
      </c>
      <c r="K37" s="20">
        <v>180</v>
      </c>
      <c r="L37" s="20">
        <v>179</v>
      </c>
      <c r="M37" s="20">
        <v>179</v>
      </c>
      <c r="N37" s="37">
        <v>39</v>
      </c>
      <c r="O37" s="43"/>
      <c r="P37" s="22">
        <f>16446/COUNTIF(R:R,R37)</f>
        <v>657.84</v>
      </c>
      <c r="Q37" s="22">
        <f t="shared" si="17"/>
        <v>11128.385600000001</v>
      </c>
      <c r="R37" s="20" t="s">
        <v>170</v>
      </c>
      <c r="S37" s="20" t="s">
        <v>386</v>
      </c>
      <c r="T37" s="13">
        <f t="shared" si="18"/>
        <v>16446</v>
      </c>
      <c r="U37" s="10">
        <f t="shared" si="4"/>
        <v>16.916553569256962</v>
      </c>
      <c r="W37" t="s">
        <v>353</v>
      </c>
      <c r="Y37" s="20" t="s">
        <v>423</v>
      </c>
      <c r="Z37" s="20">
        <f t="shared" si="19"/>
        <v>1</v>
      </c>
      <c r="AA37" s="20" t="s">
        <v>499</v>
      </c>
    </row>
    <row r="38" spans="1:27" x14ac:dyDescent="0.25">
      <c r="A38" s="42" t="s">
        <v>36</v>
      </c>
      <c r="B38" s="42" t="s">
        <v>221</v>
      </c>
      <c r="C38" s="20">
        <v>119</v>
      </c>
      <c r="D38" s="20">
        <v>121</v>
      </c>
      <c r="E38" s="20">
        <v>128</v>
      </c>
      <c r="F38" s="20">
        <v>130</v>
      </c>
      <c r="G38" s="20">
        <v>152</v>
      </c>
      <c r="H38" s="20">
        <v>147</v>
      </c>
      <c r="I38" s="20">
        <v>151</v>
      </c>
      <c r="J38" s="20">
        <v>154</v>
      </c>
      <c r="K38" s="20">
        <v>152</v>
      </c>
      <c r="L38" s="20">
        <v>149</v>
      </c>
      <c r="M38" s="20">
        <v>136</v>
      </c>
      <c r="N38" s="37">
        <v>40</v>
      </c>
      <c r="O38" s="43"/>
      <c r="P38" s="22">
        <f>2670/COUNTIF(R:R,R38)</f>
        <v>381.42857142857144</v>
      </c>
      <c r="Q38" s="22">
        <f>65000/COUNTIF(R:R,R38)</f>
        <v>9285.7142857142862</v>
      </c>
      <c r="R38" s="20" t="s">
        <v>310</v>
      </c>
      <c r="S38" s="20" t="s">
        <v>386</v>
      </c>
      <c r="T38" s="13">
        <f t="shared" si="18"/>
        <v>2670.0000000000005</v>
      </c>
      <c r="U38" s="10">
        <f t="shared" si="4"/>
        <v>24.344569288389515</v>
      </c>
      <c r="V38" t="s">
        <v>425</v>
      </c>
      <c r="W38" t="s">
        <v>353</v>
      </c>
      <c r="Y38" s="20" t="s">
        <v>422</v>
      </c>
      <c r="Z38" s="20">
        <f t="shared" si="19"/>
        <v>1</v>
      </c>
      <c r="AA38" s="20" t="s">
        <v>499</v>
      </c>
    </row>
    <row r="39" spans="1:27" x14ac:dyDescent="0.25">
      <c r="A39" s="42" t="s">
        <v>37</v>
      </c>
      <c r="B39" s="42" t="s">
        <v>222</v>
      </c>
      <c r="C39" s="20">
        <v>174</v>
      </c>
      <c r="D39" s="20">
        <v>176</v>
      </c>
      <c r="E39" s="20">
        <v>174</v>
      </c>
      <c r="F39" s="20">
        <v>178</v>
      </c>
      <c r="G39" s="20">
        <v>181</v>
      </c>
      <c r="H39" s="20">
        <v>183</v>
      </c>
      <c r="I39" s="20">
        <v>182</v>
      </c>
      <c r="J39" s="20">
        <v>181</v>
      </c>
      <c r="K39" s="20">
        <v>185</v>
      </c>
      <c r="L39" s="20">
        <v>180</v>
      </c>
      <c r="M39" s="20">
        <v>183</v>
      </c>
      <c r="N39" s="37">
        <v>41</v>
      </c>
      <c r="O39" s="43"/>
      <c r="P39" s="22">
        <v>402</v>
      </c>
      <c r="Q39" s="22">
        <v>12353.93</v>
      </c>
      <c r="R39" s="20" t="s">
        <v>472</v>
      </c>
      <c r="S39" s="20" t="s">
        <v>386</v>
      </c>
      <c r="T39" s="13">
        <f t="shared" si="18"/>
        <v>402</v>
      </c>
      <c r="U39" s="10">
        <f t="shared" si="4"/>
        <v>30.731169154228855</v>
      </c>
      <c r="W39" t="s">
        <v>353</v>
      </c>
      <c r="Y39" s="20" t="s">
        <v>409</v>
      </c>
      <c r="Z39" s="20">
        <f t="shared" si="19"/>
        <v>1</v>
      </c>
      <c r="AA39" s="20" t="s">
        <v>499</v>
      </c>
    </row>
    <row r="40" spans="1:27" x14ac:dyDescent="0.25">
      <c r="A40" s="42" t="s">
        <v>38</v>
      </c>
      <c r="B40" s="42" t="s">
        <v>223</v>
      </c>
      <c r="C40" s="20">
        <v>120</v>
      </c>
      <c r="D40" s="20">
        <v>120</v>
      </c>
      <c r="E40" s="20">
        <v>124</v>
      </c>
      <c r="F40" s="20">
        <v>122</v>
      </c>
      <c r="G40" s="20">
        <v>127</v>
      </c>
      <c r="H40" s="20">
        <v>125</v>
      </c>
      <c r="I40" s="20">
        <v>126</v>
      </c>
      <c r="J40" s="20">
        <v>124</v>
      </c>
      <c r="K40" s="20">
        <v>124</v>
      </c>
      <c r="L40" s="20">
        <v>126</v>
      </c>
      <c r="M40" s="20">
        <v>160</v>
      </c>
      <c r="N40" s="37">
        <v>42</v>
      </c>
      <c r="O40" s="43"/>
      <c r="P40" s="22">
        <v>222</v>
      </c>
      <c r="Q40" s="22">
        <f>22.58*P40</f>
        <v>5012.7599999999993</v>
      </c>
      <c r="R40" s="20" t="s">
        <v>473</v>
      </c>
      <c r="S40" s="20" t="s">
        <v>386</v>
      </c>
      <c r="T40" s="13">
        <f t="shared" si="18"/>
        <v>222</v>
      </c>
      <c r="U40" s="10">
        <f t="shared" si="4"/>
        <v>22.58</v>
      </c>
      <c r="W40" t="s">
        <v>353</v>
      </c>
      <c r="Y40" s="20" t="s">
        <v>476</v>
      </c>
      <c r="Z40" s="20">
        <f t="shared" si="19"/>
        <v>1</v>
      </c>
      <c r="AA40" s="20" t="s">
        <v>499</v>
      </c>
    </row>
    <row r="41" spans="1:27" x14ac:dyDescent="0.25">
      <c r="A41" s="42" t="s">
        <v>39</v>
      </c>
      <c r="B41" s="42" t="s">
        <v>224</v>
      </c>
      <c r="C41" s="20">
        <v>124</v>
      </c>
      <c r="D41" s="20">
        <v>115</v>
      </c>
      <c r="E41" s="20">
        <v>136</v>
      </c>
      <c r="F41" s="20">
        <v>129</v>
      </c>
      <c r="G41" s="20">
        <v>138</v>
      </c>
      <c r="H41" s="20">
        <v>143</v>
      </c>
      <c r="I41" s="20">
        <v>135</v>
      </c>
      <c r="J41" s="20">
        <v>126</v>
      </c>
      <c r="K41" s="20">
        <v>148</v>
      </c>
      <c r="L41" s="20">
        <v>144</v>
      </c>
      <c r="M41" s="20">
        <v>149</v>
      </c>
      <c r="N41" s="37">
        <v>43</v>
      </c>
      <c r="O41" s="43"/>
      <c r="P41" s="22">
        <v>302</v>
      </c>
      <c r="Q41" s="22">
        <v>9488</v>
      </c>
      <c r="R41" s="20" t="s">
        <v>419</v>
      </c>
      <c r="S41" s="20" t="s">
        <v>386</v>
      </c>
      <c r="T41" s="13">
        <f t="shared" si="18"/>
        <v>652</v>
      </c>
      <c r="U41" s="10">
        <f t="shared" si="4"/>
        <v>31.417218543046356</v>
      </c>
      <c r="W41" t="s">
        <v>353</v>
      </c>
      <c r="Y41" s="20" t="s">
        <v>406</v>
      </c>
      <c r="Z41" s="20">
        <f t="shared" si="19"/>
        <v>1</v>
      </c>
      <c r="AA41" s="20" t="s">
        <v>499</v>
      </c>
    </row>
    <row r="42" spans="1:27" x14ac:dyDescent="0.25">
      <c r="A42" s="42" t="s">
        <v>40</v>
      </c>
      <c r="B42" s="42" t="s">
        <v>172</v>
      </c>
      <c r="C42" s="20">
        <v>121</v>
      </c>
      <c r="D42" s="20">
        <v>134</v>
      </c>
      <c r="E42" s="20">
        <v>136</v>
      </c>
      <c r="F42" s="20">
        <v>140</v>
      </c>
      <c r="G42" s="20">
        <v>139</v>
      </c>
      <c r="H42" s="20">
        <v>149</v>
      </c>
      <c r="I42" s="20">
        <v>142</v>
      </c>
      <c r="J42" s="20">
        <v>142</v>
      </c>
      <c r="K42" s="20">
        <v>139</v>
      </c>
      <c r="L42" s="20">
        <v>125</v>
      </c>
      <c r="M42" s="20">
        <v>145</v>
      </c>
      <c r="N42" s="37">
        <v>44</v>
      </c>
      <c r="O42" s="20"/>
      <c r="P42" s="22">
        <v>350</v>
      </c>
      <c r="Q42" s="22">
        <v>11512</v>
      </c>
      <c r="R42" s="20" t="s">
        <v>419</v>
      </c>
      <c r="S42" s="20" t="s">
        <v>386</v>
      </c>
      <c r="T42" s="13">
        <f t="shared" si="18"/>
        <v>652</v>
      </c>
      <c r="U42" s="10">
        <f t="shared" si="4"/>
        <v>32.89142857142857</v>
      </c>
      <c r="W42" t="s">
        <v>353</v>
      </c>
      <c r="Y42" s="20" t="s">
        <v>477</v>
      </c>
      <c r="Z42" s="20">
        <f t="shared" si="19"/>
        <v>1</v>
      </c>
      <c r="AA42" s="20" t="s">
        <v>499</v>
      </c>
    </row>
    <row r="43" spans="1:27" x14ac:dyDescent="0.25">
      <c r="A43" s="42" t="s">
        <v>41</v>
      </c>
      <c r="B43" s="42" t="s">
        <v>225</v>
      </c>
      <c r="C43" s="20">
        <v>181</v>
      </c>
      <c r="D43" s="20">
        <v>180</v>
      </c>
      <c r="E43" s="20">
        <v>180</v>
      </c>
      <c r="F43" s="20">
        <v>180</v>
      </c>
      <c r="G43" s="20">
        <v>180</v>
      </c>
      <c r="H43" s="20">
        <v>185</v>
      </c>
      <c r="I43" s="20">
        <v>180</v>
      </c>
      <c r="J43" s="20">
        <v>180</v>
      </c>
      <c r="K43" s="20">
        <v>180</v>
      </c>
      <c r="L43" s="20">
        <v>180</v>
      </c>
      <c r="M43" s="20">
        <v>180</v>
      </c>
      <c r="N43" s="37">
        <v>46</v>
      </c>
      <c r="O43" s="43"/>
      <c r="P43" s="22">
        <f t="shared" ref="P43:P44" si="20">12238/COUNTIF(R:R,R43)</f>
        <v>941.38461538461536</v>
      </c>
      <c r="Q43" s="22">
        <f t="shared" ref="Q43:Q44" si="21">336465/COUNTIF(R:R,R43)</f>
        <v>25881.923076923078</v>
      </c>
      <c r="R43" s="20" t="s">
        <v>342</v>
      </c>
      <c r="S43" s="20" t="s">
        <v>386</v>
      </c>
      <c r="T43" s="13">
        <f t="shared" si="18"/>
        <v>12238</v>
      </c>
      <c r="U43" s="10">
        <f t="shared" si="4"/>
        <v>27.49346298414774</v>
      </c>
      <c r="W43" t="s">
        <v>353</v>
      </c>
      <c r="Y43" s="20" t="s">
        <v>478</v>
      </c>
      <c r="Z43" s="20">
        <f t="shared" si="19"/>
        <v>1</v>
      </c>
      <c r="AA43" s="20" t="s">
        <v>499</v>
      </c>
    </row>
    <row r="44" spans="1:27" x14ac:dyDescent="0.25">
      <c r="A44" s="42" t="s">
        <v>42</v>
      </c>
      <c r="B44" s="42" t="e">
        <v>#N/A</v>
      </c>
      <c r="C44" s="20">
        <v>152</v>
      </c>
      <c r="D44" s="20">
        <v>150</v>
      </c>
      <c r="E44" s="20">
        <v>180</v>
      </c>
      <c r="F44" s="20">
        <v>180</v>
      </c>
      <c r="G44" s="20">
        <v>180</v>
      </c>
      <c r="H44" s="20">
        <v>180</v>
      </c>
      <c r="I44" s="20">
        <v>180</v>
      </c>
      <c r="J44" s="20">
        <v>180</v>
      </c>
      <c r="K44" s="20">
        <v>180</v>
      </c>
      <c r="L44" s="20">
        <v>180</v>
      </c>
      <c r="M44" s="20">
        <v>186</v>
      </c>
      <c r="N44" s="37">
        <v>45</v>
      </c>
      <c r="O44" s="20"/>
      <c r="P44" s="22">
        <f t="shared" si="20"/>
        <v>941.38461538461536</v>
      </c>
      <c r="Q44" s="22">
        <f t="shared" si="21"/>
        <v>25881.923076923078</v>
      </c>
      <c r="R44" s="20" t="s">
        <v>342</v>
      </c>
      <c r="S44" s="20" t="s">
        <v>386</v>
      </c>
      <c r="T44" s="13">
        <f t="shared" si="18"/>
        <v>12238</v>
      </c>
      <c r="U44" s="10">
        <f t="shared" si="4"/>
        <v>27.49346298414774</v>
      </c>
      <c r="W44" t="s">
        <v>353</v>
      </c>
      <c r="Y44" s="20" t="s">
        <v>360</v>
      </c>
      <c r="Z44" s="20">
        <f t="shared" si="19"/>
        <v>1</v>
      </c>
      <c r="AA44" s="20" t="s">
        <v>499</v>
      </c>
    </row>
    <row r="45" spans="1:27" x14ac:dyDescent="0.25">
      <c r="A45" s="42" t="s">
        <v>43</v>
      </c>
      <c r="B45" s="42" t="e">
        <v>#N/A</v>
      </c>
      <c r="C45" s="20">
        <v>119</v>
      </c>
      <c r="D45" s="20">
        <v>103</v>
      </c>
      <c r="E45" s="20">
        <v>113</v>
      </c>
      <c r="F45" s="20">
        <v>115</v>
      </c>
      <c r="G45" s="20">
        <v>111</v>
      </c>
      <c r="H45" s="20">
        <v>120</v>
      </c>
      <c r="I45" s="20">
        <v>120</v>
      </c>
      <c r="J45" s="20">
        <v>128</v>
      </c>
      <c r="K45" s="20">
        <v>121</v>
      </c>
      <c r="L45" s="20">
        <v>124</v>
      </c>
      <c r="M45" s="20">
        <v>121</v>
      </c>
      <c r="N45" s="37">
        <v>47</v>
      </c>
      <c r="O45" s="43"/>
      <c r="P45" s="22">
        <v>276</v>
      </c>
      <c r="Q45" s="22">
        <v>11651</v>
      </c>
      <c r="R45" s="20" t="s">
        <v>474</v>
      </c>
      <c r="S45" s="20" t="s">
        <v>386</v>
      </c>
      <c r="T45" s="13">
        <f t="shared" si="18"/>
        <v>276</v>
      </c>
      <c r="U45" s="10">
        <f t="shared" si="4"/>
        <v>42.213768115942031</v>
      </c>
      <c r="W45" t="s">
        <v>353</v>
      </c>
      <c r="Y45" s="20" t="s">
        <v>479</v>
      </c>
      <c r="Z45" s="20">
        <f t="shared" si="19"/>
        <v>1</v>
      </c>
      <c r="AA45" s="20" t="s">
        <v>499</v>
      </c>
    </row>
    <row r="46" spans="1:27" x14ac:dyDescent="0.25">
      <c r="A46" s="42" t="s">
        <v>44</v>
      </c>
      <c r="B46" s="42" t="s">
        <v>226</v>
      </c>
      <c r="C46" s="20">
        <v>118</v>
      </c>
      <c r="D46" s="20">
        <v>122</v>
      </c>
      <c r="E46" s="20">
        <v>116</v>
      </c>
      <c r="F46" s="20">
        <v>124</v>
      </c>
      <c r="G46" s="20">
        <v>121</v>
      </c>
      <c r="H46" s="20">
        <v>123</v>
      </c>
      <c r="I46" s="20">
        <v>155</v>
      </c>
      <c r="J46" s="20">
        <v>148</v>
      </c>
      <c r="K46" s="20">
        <v>150</v>
      </c>
      <c r="L46" s="20">
        <v>146</v>
      </c>
      <c r="M46" s="20">
        <v>151</v>
      </c>
      <c r="N46" s="37">
        <v>49</v>
      </c>
      <c r="O46" s="20"/>
      <c r="P46" s="22">
        <f>3846/COUNTIF(R:R,R46)</f>
        <v>641</v>
      </c>
      <c r="Q46" s="22">
        <f>386566/COUNTIF(R:R,R46)/2</f>
        <v>32213.833333333332</v>
      </c>
      <c r="R46" s="20" t="s">
        <v>352</v>
      </c>
      <c r="S46" s="20" t="s">
        <v>386</v>
      </c>
      <c r="T46" s="13">
        <f t="shared" si="18"/>
        <v>3846</v>
      </c>
      <c r="U46" s="10">
        <f t="shared" si="4"/>
        <v>50.255590223608941</v>
      </c>
      <c r="V46" t="s">
        <v>461</v>
      </c>
      <c r="W46" t="s">
        <v>353</v>
      </c>
      <c r="Y46" s="20" t="s">
        <v>465</v>
      </c>
      <c r="Z46" s="20">
        <f t="shared" si="19"/>
        <v>1</v>
      </c>
      <c r="AA46" s="20" t="s">
        <v>499</v>
      </c>
    </row>
    <row r="47" spans="1:27" x14ac:dyDescent="0.25">
      <c r="A47" s="42" t="s">
        <v>45</v>
      </c>
      <c r="B47" s="42" t="s">
        <v>227</v>
      </c>
      <c r="C47" s="20">
        <v>168</v>
      </c>
      <c r="D47" s="20">
        <v>179</v>
      </c>
      <c r="E47" s="20">
        <v>171</v>
      </c>
      <c r="F47" s="20">
        <v>179</v>
      </c>
      <c r="G47" s="20">
        <v>174</v>
      </c>
      <c r="H47" s="20">
        <v>182</v>
      </c>
      <c r="I47" s="20">
        <v>187</v>
      </c>
      <c r="J47" s="20">
        <v>224</v>
      </c>
      <c r="K47" s="20">
        <v>224</v>
      </c>
      <c r="L47" s="20">
        <v>220</v>
      </c>
      <c r="M47" s="20">
        <v>221</v>
      </c>
      <c r="N47" s="37">
        <v>52</v>
      </c>
      <c r="O47" s="43"/>
      <c r="P47" s="22">
        <f>16446/COUNTIF(R:R,R47)</f>
        <v>657.84</v>
      </c>
      <c r="Q47" s="22">
        <f>278209.64/COUNTIF(R:R,R47)</f>
        <v>11128.385600000001</v>
      </c>
      <c r="R47" s="20" t="s">
        <v>170</v>
      </c>
      <c r="S47" s="20" t="s">
        <v>386</v>
      </c>
      <c r="T47" s="13">
        <f t="shared" si="18"/>
        <v>16446</v>
      </c>
      <c r="U47" s="10">
        <f t="shared" si="4"/>
        <v>16.916553569256962</v>
      </c>
      <c r="W47" t="s">
        <v>353</v>
      </c>
      <c r="Y47" s="20" t="s">
        <v>480</v>
      </c>
      <c r="Z47" s="20">
        <f t="shared" si="19"/>
        <v>1</v>
      </c>
      <c r="AA47" s="20" t="s">
        <v>499</v>
      </c>
    </row>
    <row r="48" spans="1:27" x14ac:dyDescent="0.25">
      <c r="A48" s="42" t="s">
        <v>46</v>
      </c>
      <c r="B48" s="42" t="s">
        <v>228</v>
      </c>
      <c r="C48" s="20">
        <v>105</v>
      </c>
      <c r="D48" s="20">
        <v>103</v>
      </c>
      <c r="E48" s="20">
        <v>119</v>
      </c>
      <c r="F48" s="20">
        <v>114</v>
      </c>
      <c r="G48" s="20">
        <v>115</v>
      </c>
      <c r="H48" s="20">
        <v>116</v>
      </c>
      <c r="I48" s="20">
        <v>113</v>
      </c>
      <c r="J48" s="20">
        <v>116</v>
      </c>
      <c r="K48" s="20">
        <v>142</v>
      </c>
      <c r="L48" s="20">
        <v>139</v>
      </c>
      <c r="M48" s="20">
        <v>139</v>
      </c>
      <c r="N48" s="37">
        <v>48</v>
      </c>
      <c r="O48" s="43"/>
      <c r="P48" s="22">
        <f>2590/COUNTIF(R:R,R48)</f>
        <v>518</v>
      </c>
      <c r="Q48" s="22">
        <f>53146/COUNTIF(R:R,R48)</f>
        <v>10629.2</v>
      </c>
      <c r="R48" s="20" t="s">
        <v>356</v>
      </c>
      <c r="S48" s="20" t="s">
        <v>386</v>
      </c>
      <c r="T48" s="13">
        <f t="shared" si="18"/>
        <v>2590</v>
      </c>
      <c r="U48" s="10">
        <f t="shared" si="4"/>
        <v>20.519691119691121</v>
      </c>
      <c r="V48" t="s">
        <v>427</v>
      </c>
      <c r="W48" t="s">
        <v>353</v>
      </c>
      <c r="Y48" s="20" t="s">
        <v>481</v>
      </c>
      <c r="Z48" s="20">
        <f t="shared" si="19"/>
        <v>1</v>
      </c>
      <c r="AA48" s="20" t="s">
        <v>499</v>
      </c>
    </row>
    <row r="49" spans="1:27" x14ac:dyDescent="0.25">
      <c r="A49" s="42" t="s">
        <v>47</v>
      </c>
      <c r="B49" s="42" t="s">
        <v>229</v>
      </c>
      <c r="C49" s="20">
        <v>150</v>
      </c>
      <c r="D49" s="20">
        <v>183</v>
      </c>
      <c r="E49" s="20">
        <v>181</v>
      </c>
      <c r="F49" s="20">
        <v>181</v>
      </c>
      <c r="G49" s="20">
        <v>207</v>
      </c>
      <c r="H49" s="20">
        <v>214</v>
      </c>
      <c r="I49" s="20">
        <v>210</v>
      </c>
      <c r="J49" s="20">
        <v>212</v>
      </c>
      <c r="K49" s="20">
        <v>209</v>
      </c>
      <c r="L49" s="20">
        <v>210</v>
      </c>
      <c r="M49" s="20">
        <v>208</v>
      </c>
      <c r="N49" s="37">
        <v>51</v>
      </c>
      <c r="O49" s="43"/>
      <c r="P49" s="22">
        <v>1100</v>
      </c>
      <c r="Q49" s="22">
        <v>9900</v>
      </c>
      <c r="R49" s="20" t="s">
        <v>464</v>
      </c>
      <c r="S49" s="20" t="s">
        <v>415</v>
      </c>
      <c r="T49" s="13">
        <f t="shared" si="18"/>
        <v>1100</v>
      </c>
      <c r="U49" s="10">
        <f t="shared" si="4"/>
        <v>9</v>
      </c>
      <c r="W49" t="s">
        <v>353</v>
      </c>
      <c r="Y49" s="20" t="s">
        <v>482</v>
      </c>
      <c r="Z49" s="20">
        <f t="shared" si="19"/>
        <v>1</v>
      </c>
      <c r="AA49" s="20" t="s">
        <v>499</v>
      </c>
    </row>
    <row r="50" spans="1:27" x14ac:dyDescent="0.25">
      <c r="A50" s="42" t="s">
        <v>48</v>
      </c>
      <c r="B50" s="42" t="s">
        <v>230</v>
      </c>
      <c r="C50" s="20">
        <v>146</v>
      </c>
      <c r="D50" s="20">
        <v>120</v>
      </c>
      <c r="E50" s="20">
        <v>122</v>
      </c>
      <c r="F50" s="20">
        <v>128</v>
      </c>
      <c r="G50" s="20">
        <v>151</v>
      </c>
      <c r="H50" s="20">
        <v>161</v>
      </c>
      <c r="I50" s="20">
        <v>160</v>
      </c>
      <c r="J50" s="20">
        <v>148</v>
      </c>
      <c r="K50" s="20">
        <v>150</v>
      </c>
      <c r="L50" s="20">
        <v>149</v>
      </c>
      <c r="M50" s="20">
        <v>150</v>
      </c>
      <c r="N50" s="37">
        <v>53</v>
      </c>
      <c r="O50" s="43"/>
      <c r="P50" s="22">
        <f>4970/COUNTIF(R:R,R50)</f>
        <v>1242.5</v>
      </c>
      <c r="Q50" s="44">
        <f>P50*typical_cost</f>
        <v>32503.8</v>
      </c>
      <c r="R50" s="46" t="s">
        <v>308</v>
      </c>
      <c r="S50" s="20" t="s">
        <v>386</v>
      </c>
      <c r="T50" s="13">
        <f t="shared" si="18"/>
        <v>4970</v>
      </c>
      <c r="U50" s="10">
        <f t="shared" si="4"/>
        <v>26.16</v>
      </c>
      <c r="V50" t="s">
        <v>428</v>
      </c>
      <c r="W50" t="s">
        <v>353</v>
      </c>
      <c r="Y50" s="20" t="s">
        <v>407</v>
      </c>
      <c r="Z50" s="20">
        <f t="shared" si="19"/>
        <v>1</v>
      </c>
      <c r="AA50" s="20" t="s">
        <v>499</v>
      </c>
    </row>
    <row r="51" spans="1:27" x14ac:dyDescent="0.25">
      <c r="A51" s="42" t="s">
        <v>49</v>
      </c>
      <c r="B51" s="42" t="s">
        <v>231</v>
      </c>
      <c r="C51" s="20">
        <v>126</v>
      </c>
      <c r="D51" s="20">
        <v>121</v>
      </c>
      <c r="E51" s="20">
        <v>121</v>
      </c>
      <c r="F51" s="20">
        <v>128</v>
      </c>
      <c r="G51" s="20">
        <v>126</v>
      </c>
      <c r="H51" s="20">
        <v>149</v>
      </c>
      <c r="I51" s="20">
        <v>156</v>
      </c>
      <c r="J51" s="20">
        <v>154</v>
      </c>
      <c r="K51" s="20">
        <v>151</v>
      </c>
      <c r="L51" s="20">
        <v>127</v>
      </c>
      <c r="M51" s="20">
        <v>127</v>
      </c>
      <c r="N51" s="37">
        <v>55</v>
      </c>
      <c r="O51" s="43"/>
      <c r="P51" s="22">
        <v>219</v>
      </c>
      <c r="Q51" s="22">
        <v>13650</v>
      </c>
      <c r="R51" s="20" t="s">
        <v>423</v>
      </c>
      <c r="S51" s="20" t="s">
        <v>417</v>
      </c>
      <c r="T51" s="13">
        <f t="shared" si="18"/>
        <v>219</v>
      </c>
      <c r="U51" s="10">
        <f t="shared" si="4"/>
        <v>62.328767123287669</v>
      </c>
      <c r="W51" t="s">
        <v>353</v>
      </c>
      <c r="Y51" s="20" t="s">
        <v>483</v>
      </c>
      <c r="Z51" s="20">
        <f t="shared" si="19"/>
        <v>1</v>
      </c>
      <c r="AA51" s="20" t="s">
        <v>499</v>
      </c>
    </row>
    <row r="52" spans="1:27" x14ac:dyDescent="0.25">
      <c r="A52" s="42" t="s">
        <v>50</v>
      </c>
      <c r="B52" s="42" t="s">
        <v>232</v>
      </c>
      <c r="C52" s="20">
        <v>188</v>
      </c>
      <c r="D52" s="20">
        <v>182</v>
      </c>
      <c r="E52" s="20">
        <v>224</v>
      </c>
      <c r="F52" s="20">
        <v>197</v>
      </c>
      <c r="G52" s="20">
        <v>192</v>
      </c>
      <c r="H52" s="20">
        <v>220</v>
      </c>
      <c r="I52" s="20">
        <v>219</v>
      </c>
      <c r="J52" s="20">
        <v>224</v>
      </c>
      <c r="K52" s="20">
        <v>216</v>
      </c>
      <c r="L52" s="20">
        <v>209</v>
      </c>
      <c r="M52" s="20">
        <v>224</v>
      </c>
      <c r="N52" s="37">
        <v>57</v>
      </c>
      <c r="O52" s="43"/>
      <c r="P52" s="22">
        <f>16446/COUNTIF(R:R,R52)</f>
        <v>657.84</v>
      </c>
      <c r="Q52" s="22">
        <f>278209.64/COUNTIF(R:R,R52)</f>
        <v>11128.385600000001</v>
      </c>
      <c r="R52" s="20" t="s">
        <v>170</v>
      </c>
      <c r="S52" s="20" t="s">
        <v>386</v>
      </c>
      <c r="T52" s="13">
        <f t="shared" si="18"/>
        <v>16446</v>
      </c>
      <c r="U52" s="10">
        <f t="shared" si="4"/>
        <v>16.916553569256962</v>
      </c>
      <c r="W52" t="s">
        <v>353</v>
      </c>
      <c r="Y52" s="20" t="s">
        <v>485</v>
      </c>
      <c r="Z52" s="20">
        <f t="shared" si="19"/>
        <v>1</v>
      </c>
      <c r="AA52" s="20" t="s">
        <v>499</v>
      </c>
    </row>
    <row r="53" spans="1:27" x14ac:dyDescent="0.25">
      <c r="A53" s="42" t="s">
        <v>51</v>
      </c>
      <c r="B53" s="42" t="s">
        <v>233</v>
      </c>
      <c r="C53" s="20">
        <v>110</v>
      </c>
      <c r="D53" s="20">
        <v>106</v>
      </c>
      <c r="E53" s="20">
        <v>106</v>
      </c>
      <c r="F53" s="20">
        <v>124</v>
      </c>
      <c r="G53" s="20">
        <v>161</v>
      </c>
      <c r="H53" s="20">
        <v>151</v>
      </c>
      <c r="I53" s="20">
        <v>149</v>
      </c>
      <c r="J53" s="20">
        <v>149</v>
      </c>
      <c r="K53" s="20">
        <v>149</v>
      </c>
      <c r="L53" s="20">
        <v>145</v>
      </c>
      <c r="M53" s="20">
        <v>149</v>
      </c>
      <c r="N53" s="37"/>
      <c r="O53" s="20"/>
      <c r="P53" s="22">
        <f>3846/COUNTIF(R:R,R53)</f>
        <v>641</v>
      </c>
      <c r="Q53" s="22">
        <f>386566/COUNTIF(R:R,R53)/2</f>
        <v>32213.833333333332</v>
      </c>
      <c r="R53" s="20" t="s">
        <v>352</v>
      </c>
      <c r="S53" s="20" t="s">
        <v>386</v>
      </c>
      <c r="T53" s="13">
        <f t="shared" si="18"/>
        <v>3846</v>
      </c>
      <c r="U53" s="10">
        <f t="shared" si="4"/>
        <v>50.255590223608941</v>
      </c>
      <c r="V53" t="s">
        <v>461</v>
      </c>
      <c r="W53" t="s">
        <v>353</v>
      </c>
      <c r="Y53" s="20" t="s">
        <v>484</v>
      </c>
      <c r="Z53" s="20">
        <f t="shared" si="19"/>
        <v>1</v>
      </c>
      <c r="AA53" s="20" t="s">
        <v>499</v>
      </c>
    </row>
    <row r="54" spans="1:27" x14ac:dyDescent="0.25">
      <c r="A54" s="42" t="s">
        <v>52</v>
      </c>
      <c r="B54" s="42" t="s">
        <v>167</v>
      </c>
      <c r="C54" s="20">
        <v>119</v>
      </c>
      <c r="D54" s="20">
        <v>120</v>
      </c>
      <c r="E54" s="20">
        <v>120</v>
      </c>
      <c r="F54" s="20">
        <v>180</v>
      </c>
      <c r="G54" s="20">
        <v>180</v>
      </c>
      <c r="H54" s="20">
        <v>180</v>
      </c>
      <c r="I54" s="20">
        <v>180</v>
      </c>
      <c r="J54" s="20">
        <v>180</v>
      </c>
      <c r="K54" s="20">
        <v>180</v>
      </c>
      <c r="L54" s="20">
        <v>178</v>
      </c>
      <c r="M54" s="20">
        <v>178</v>
      </c>
      <c r="N54" s="37">
        <v>56</v>
      </c>
      <c r="O54" s="43"/>
      <c r="P54" s="22">
        <v>1116</v>
      </c>
      <c r="Q54" s="44">
        <f>P54*typical_cost</f>
        <v>29194.560000000001</v>
      </c>
      <c r="R54" s="20" t="s">
        <v>166</v>
      </c>
      <c r="S54" s="20" t="s">
        <v>386</v>
      </c>
      <c r="T54" s="13">
        <f t="shared" si="18"/>
        <v>2257</v>
      </c>
      <c r="U54" s="10">
        <f t="shared" si="4"/>
        <v>26.16</v>
      </c>
      <c r="V54" t="s">
        <v>429</v>
      </c>
      <c r="W54" t="s">
        <v>353</v>
      </c>
      <c r="Y54" s="20" t="s">
        <v>411</v>
      </c>
      <c r="Z54" s="20">
        <f t="shared" si="19"/>
        <v>1</v>
      </c>
      <c r="AA54" s="20" t="s">
        <v>499</v>
      </c>
    </row>
    <row r="55" spans="1:27" x14ac:dyDescent="0.25">
      <c r="A55" s="42" t="s">
        <v>53</v>
      </c>
      <c r="B55" s="42" t="s">
        <v>234</v>
      </c>
      <c r="C55" s="20">
        <v>192</v>
      </c>
      <c r="D55" s="20">
        <v>217</v>
      </c>
      <c r="E55" s="20">
        <v>241</v>
      </c>
      <c r="F55" s="20">
        <v>244</v>
      </c>
      <c r="G55" s="20">
        <v>237</v>
      </c>
      <c r="H55" s="20">
        <v>254</v>
      </c>
      <c r="I55" s="20">
        <v>255</v>
      </c>
      <c r="J55" s="20">
        <v>256</v>
      </c>
      <c r="K55" s="20">
        <v>256</v>
      </c>
      <c r="L55" s="20">
        <v>256</v>
      </c>
      <c r="M55" s="20">
        <v>246</v>
      </c>
      <c r="N55" s="37">
        <v>58</v>
      </c>
      <c r="O55" s="43"/>
      <c r="P55" s="22">
        <f>16446/COUNTIF(R:R,R55)</f>
        <v>657.84</v>
      </c>
      <c r="Q55" s="22">
        <f>278209.64/COUNTIF(R:R,R55)</f>
        <v>11128.385600000001</v>
      </c>
      <c r="R55" s="20" t="s">
        <v>170</v>
      </c>
      <c r="S55" s="20" t="s">
        <v>386</v>
      </c>
      <c r="T55" s="13">
        <f t="shared" si="18"/>
        <v>16446</v>
      </c>
      <c r="U55" s="10">
        <f t="shared" si="4"/>
        <v>16.916553569256962</v>
      </c>
      <c r="W55" t="s">
        <v>353</v>
      </c>
      <c r="Y55" s="20" t="s">
        <v>410</v>
      </c>
      <c r="Z55" s="20">
        <f t="shared" si="19"/>
        <v>1</v>
      </c>
      <c r="AA55" s="20" t="s">
        <v>499</v>
      </c>
    </row>
    <row r="56" spans="1:27" x14ac:dyDescent="0.25">
      <c r="A56" s="42" t="s">
        <v>54</v>
      </c>
      <c r="B56" s="42" t="s">
        <v>235</v>
      </c>
      <c r="C56" s="20">
        <v>151</v>
      </c>
      <c r="D56" s="20">
        <v>128</v>
      </c>
      <c r="E56" s="20">
        <v>145</v>
      </c>
      <c r="F56" s="20">
        <v>158</v>
      </c>
      <c r="G56" s="20">
        <v>156</v>
      </c>
      <c r="H56" s="20">
        <v>164</v>
      </c>
      <c r="I56" s="20">
        <v>180</v>
      </c>
      <c r="J56" s="20">
        <v>179</v>
      </c>
      <c r="K56" s="20">
        <v>185</v>
      </c>
      <c r="L56" s="20">
        <v>179</v>
      </c>
      <c r="M56" s="20">
        <v>187</v>
      </c>
      <c r="N56" s="37">
        <v>59</v>
      </c>
      <c r="O56" s="20"/>
      <c r="P56" s="22">
        <f>12238/COUNTIF(R:R,R56)</f>
        <v>941.38461538461536</v>
      </c>
      <c r="Q56" s="22">
        <f>336465/COUNTIF(R:R,R56)</f>
        <v>25881.923076923078</v>
      </c>
      <c r="R56" s="20" t="s">
        <v>342</v>
      </c>
      <c r="S56" s="20" t="s">
        <v>386</v>
      </c>
      <c r="T56" s="13">
        <f t="shared" si="18"/>
        <v>12238</v>
      </c>
      <c r="U56" s="10">
        <f t="shared" si="4"/>
        <v>27.49346298414774</v>
      </c>
      <c r="W56" t="s">
        <v>353</v>
      </c>
      <c r="Y56" s="20" t="s">
        <v>487</v>
      </c>
      <c r="Z56" s="20">
        <f t="shared" si="19"/>
        <v>1</v>
      </c>
      <c r="AA56" s="20" t="s">
        <v>499</v>
      </c>
    </row>
    <row r="57" spans="1:27" x14ac:dyDescent="0.25">
      <c r="A57" s="42" t="s">
        <v>55</v>
      </c>
      <c r="B57" s="42" t="s">
        <v>236</v>
      </c>
      <c r="C57" s="20">
        <v>96</v>
      </c>
      <c r="D57" s="20">
        <v>96</v>
      </c>
      <c r="E57" s="20">
        <v>96</v>
      </c>
      <c r="F57" s="20">
        <v>96</v>
      </c>
      <c r="G57" s="20">
        <v>96</v>
      </c>
      <c r="H57" s="20">
        <v>96</v>
      </c>
      <c r="I57" s="20">
        <v>96</v>
      </c>
      <c r="J57" s="20">
        <v>128</v>
      </c>
      <c r="K57" s="20">
        <v>128</v>
      </c>
      <c r="L57" s="20">
        <v>128</v>
      </c>
      <c r="M57" s="20">
        <v>128</v>
      </c>
      <c r="N57" s="37">
        <v>60</v>
      </c>
      <c r="O57" s="43"/>
      <c r="P57" s="22">
        <v>747</v>
      </c>
      <c r="Q57" s="22">
        <v>21354</v>
      </c>
      <c r="R57" s="20" t="s">
        <v>475</v>
      </c>
      <c r="S57" s="20" t="s">
        <v>386</v>
      </c>
      <c r="T57" s="13">
        <f t="shared" si="18"/>
        <v>747</v>
      </c>
      <c r="U57" s="10">
        <f t="shared" si="4"/>
        <v>28.586345381526105</v>
      </c>
      <c r="W57" t="s">
        <v>353</v>
      </c>
      <c r="Y57" s="20" t="s">
        <v>488</v>
      </c>
      <c r="Z57" s="20">
        <f t="shared" si="19"/>
        <v>1</v>
      </c>
      <c r="AA57" s="20" t="s">
        <v>499</v>
      </c>
    </row>
    <row r="58" spans="1:27" x14ac:dyDescent="0.25">
      <c r="A58" s="42" t="s">
        <v>56</v>
      </c>
      <c r="B58" s="42" t="e">
        <v>#N/A</v>
      </c>
      <c r="C58" s="20">
        <v>179</v>
      </c>
      <c r="D58" s="20">
        <v>180</v>
      </c>
      <c r="E58" s="20">
        <v>179</v>
      </c>
      <c r="F58" s="20">
        <v>173</v>
      </c>
      <c r="G58" s="20">
        <v>179</v>
      </c>
      <c r="H58" s="20">
        <v>179</v>
      </c>
      <c r="I58" s="20">
        <v>184</v>
      </c>
      <c r="J58" s="20">
        <v>175</v>
      </c>
      <c r="K58" s="20">
        <v>180</v>
      </c>
      <c r="L58" s="20">
        <v>177</v>
      </c>
      <c r="M58" s="20">
        <v>180</v>
      </c>
      <c r="N58" s="37">
        <v>61</v>
      </c>
      <c r="O58" s="20"/>
      <c r="P58" s="44">
        <f>VLOOKUP(A58,LincsData2,4,FALSE)</f>
        <v>403.29668674698797</v>
      </c>
      <c r="Q58" s="45">
        <f>VLOOKUP(A58,LincsData2,5,FALSE)</f>
        <v>13133.56</v>
      </c>
      <c r="R58" s="20" t="s">
        <v>332</v>
      </c>
      <c r="S58" s="20" t="s">
        <v>386</v>
      </c>
      <c r="T58" s="13">
        <f t="shared" si="18"/>
        <v>5053.9041164658629</v>
      </c>
      <c r="U58" s="10">
        <f t="shared" si="4"/>
        <v>32.565504333635808</v>
      </c>
      <c r="V58" t="s">
        <v>492</v>
      </c>
      <c r="W58" t="s">
        <v>353</v>
      </c>
      <c r="Y58" s="20" t="s">
        <v>489</v>
      </c>
      <c r="Z58" s="20">
        <f t="shared" si="19"/>
        <v>1</v>
      </c>
      <c r="AA58" s="20" t="s">
        <v>499</v>
      </c>
    </row>
    <row r="59" spans="1:27" x14ac:dyDescent="0.25">
      <c r="A59" s="42" t="s">
        <v>57</v>
      </c>
      <c r="B59" s="42" t="e">
        <v>#N/A</v>
      </c>
      <c r="C59" s="20">
        <v>118</v>
      </c>
      <c r="D59" s="20">
        <v>138</v>
      </c>
      <c r="E59" s="20">
        <v>120</v>
      </c>
      <c r="F59" s="20">
        <v>111</v>
      </c>
      <c r="G59" s="20">
        <v>125</v>
      </c>
      <c r="H59" s="20">
        <v>127</v>
      </c>
      <c r="I59" s="20">
        <v>146</v>
      </c>
      <c r="J59" s="20">
        <v>112</v>
      </c>
      <c r="K59" s="20">
        <v>123</v>
      </c>
      <c r="L59" s="20">
        <v>136</v>
      </c>
      <c r="M59" s="20">
        <v>128</v>
      </c>
      <c r="N59" s="37">
        <v>62</v>
      </c>
      <c r="O59" s="20"/>
      <c r="P59" s="44">
        <f>VLOOKUP(A59,LincsData2,4,FALSE)</f>
        <v>97.684738955823377</v>
      </c>
      <c r="Q59" s="44">
        <f>VLOOKUP(A59,LincsData2,5,FALSE)</f>
        <v>5016.5066666666689</v>
      </c>
      <c r="R59" s="20" t="s">
        <v>332</v>
      </c>
      <c r="S59" s="20" t="s">
        <v>386</v>
      </c>
      <c r="T59" s="13">
        <f t="shared" si="18"/>
        <v>5053.9041164658629</v>
      </c>
      <c r="U59" s="10">
        <f t="shared" si="4"/>
        <v>51.354046909367462</v>
      </c>
      <c r="V59" t="s">
        <v>492</v>
      </c>
      <c r="W59" t="s">
        <v>353</v>
      </c>
      <c r="Y59" s="20" t="s">
        <v>490</v>
      </c>
      <c r="Z59" s="33">
        <f>SUM(Z2:Z58)</f>
        <v>163</v>
      </c>
      <c r="AA59" s="33">
        <f>COUNTA(AA2:AA58)</f>
        <v>57</v>
      </c>
    </row>
    <row r="60" spans="1:27" ht="15.75" x14ac:dyDescent="0.25">
      <c r="A60" s="42" t="s">
        <v>58</v>
      </c>
      <c r="B60" s="42" t="s">
        <v>237</v>
      </c>
      <c r="C60" s="20">
        <v>104</v>
      </c>
      <c r="D60" s="20">
        <v>120</v>
      </c>
      <c r="E60" s="20">
        <v>120</v>
      </c>
      <c r="F60" s="20">
        <v>119</v>
      </c>
      <c r="G60" s="20">
        <v>140</v>
      </c>
      <c r="H60" s="20">
        <v>139</v>
      </c>
      <c r="I60" s="20">
        <v>140</v>
      </c>
      <c r="J60" s="20">
        <v>139</v>
      </c>
      <c r="K60" s="20">
        <v>140</v>
      </c>
      <c r="L60" s="20">
        <v>140</v>
      </c>
      <c r="M60" s="20">
        <v>140</v>
      </c>
      <c r="N60" s="37">
        <v>63</v>
      </c>
      <c r="O60" s="20"/>
      <c r="P60" s="22">
        <f t="shared" ref="P60:P63" si="22">4988/COUNTIF(R:R,R60)</f>
        <v>623.5</v>
      </c>
      <c r="Q60" s="50">
        <f t="shared" ref="Q60:Q63" si="23">178951/COUNTIF(R:R,R60)</f>
        <v>22368.875</v>
      </c>
      <c r="R60" s="20" t="s">
        <v>318</v>
      </c>
      <c r="S60" s="20" t="s">
        <v>386</v>
      </c>
      <c r="T60" s="13">
        <f t="shared" si="18"/>
        <v>4988</v>
      </c>
      <c r="U60" s="10">
        <f t="shared" si="4"/>
        <v>35.876303127506013</v>
      </c>
      <c r="W60" t="s">
        <v>353</v>
      </c>
    </row>
    <row r="61" spans="1:27" ht="15.75" x14ac:dyDescent="0.25">
      <c r="A61" s="42" t="s">
        <v>59</v>
      </c>
      <c r="B61" s="42" t="e">
        <v>#N/A</v>
      </c>
      <c r="C61" s="20">
        <v>120</v>
      </c>
      <c r="D61" s="20">
        <v>148</v>
      </c>
      <c r="E61" s="20">
        <v>150</v>
      </c>
      <c r="F61" s="20">
        <v>150</v>
      </c>
      <c r="G61" s="20">
        <v>150</v>
      </c>
      <c r="H61" s="20">
        <v>150</v>
      </c>
      <c r="I61" s="20">
        <v>150</v>
      </c>
      <c r="J61" s="20">
        <v>150</v>
      </c>
      <c r="K61" s="20">
        <v>150</v>
      </c>
      <c r="L61" s="20">
        <v>150</v>
      </c>
      <c r="M61" s="20">
        <v>150</v>
      </c>
      <c r="N61" s="37">
        <v>65</v>
      </c>
      <c r="O61" s="20"/>
      <c r="P61" s="22">
        <f t="shared" si="22"/>
        <v>623.5</v>
      </c>
      <c r="Q61" s="50">
        <f t="shared" si="23"/>
        <v>22368.875</v>
      </c>
      <c r="R61" s="20" t="s">
        <v>318</v>
      </c>
      <c r="S61" s="20" t="s">
        <v>386</v>
      </c>
      <c r="T61" s="13">
        <f t="shared" si="18"/>
        <v>4988</v>
      </c>
      <c r="U61" s="10">
        <f t="shared" si="4"/>
        <v>35.876303127506013</v>
      </c>
      <c r="W61" t="s">
        <v>353</v>
      </c>
    </row>
    <row r="62" spans="1:27" ht="15.75" x14ac:dyDescent="0.25">
      <c r="A62" s="42" t="s">
        <v>60</v>
      </c>
      <c r="B62" s="42" t="s">
        <v>238</v>
      </c>
      <c r="C62" s="20">
        <v>93</v>
      </c>
      <c r="D62" s="20">
        <v>120</v>
      </c>
      <c r="E62" s="20">
        <v>120</v>
      </c>
      <c r="F62" s="20">
        <v>121</v>
      </c>
      <c r="G62" s="20">
        <v>120</v>
      </c>
      <c r="H62" s="20">
        <v>120</v>
      </c>
      <c r="I62" s="20">
        <v>122</v>
      </c>
      <c r="J62" s="20">
        <v>150</v>
      </c>
      <c r="K62" s="20">
        <v>120</v>
      </c>
      <c r="L62" s="20">
        <v>150</v>
      </c>
      <c r="M62" s="20">
        <v>150</v>
      </c>
      <c r="N62" s="37">
        <v>64</v>
      </c>
      <c r="O62" s="20"/>
      <c r="P62" s="22">
        <f t="shared" si="22"/>
        <v>623.5</v>
      </c>
      <c r="Q62" s="50">
        <f t="shared" si="23"/>
        <v>22368.875</v>
      </c>
      <c r="R62" s="20" t="s">
        <v>318</v>
      </c>
      <c r="S62" s="20" t="s">
        <v>386</v>
      </c>
      <c r="T62" s="13">
        <f t="shared" si="18"/>
        <v>4988</v>
      </c>
      <c r="U62" s="10">
        <f t="shared" si="4"/>
        <v>35.876303127506013</v>
      </c>
      <c r="W62" t="s">
        <v>353</v>
      </c>
      <c r="Y62" t="s">
        <v>493</v>
      </c>
    </row>
    <row r="63" spans="1:27" ht="15.75" x14ac:dyDescent="0.25">
      <c r="A63" s="42" t="s">
        <v>61</v>
      </c>
      <c r="B63" s="42" t="e">
        <v>#N/A</v>
      </c>
      <c r="C63" s="20">
        <v>159</v>
      </c>
      <c r="D63" s="20">
        <v>180</v>
      </c>
      <c r="E63" s="20">
        <v>180</v>
      </c>
      <c r="F63" s="20">
        <v>179</v>
      </c>
      <c r="G63" s="20">
        <v>180</v>
      </c>
      <c r="H63" s="20">
        <v>180</v>
      </c>
      <c r="I63" s="20">
        <v>179</v>
      </c>
      <c r="J63" s="20">
        <v>180</v>
      </c>
      <c r="K63" s="20">
        <v>180</v>
      </c>
      <c r="L63" s="20">
        <v>180</v>
      </c>
      <c r="M63" s="20">
        <v>177</v>
      </c>
      <c r="N63" s="37">
        <v>66</v>
      </c>
      <c r="O63" s="20"/>
      <c r="P63" s="22">
        <f t="shared" si="22"/>
        <v>623.5</v>
      </c>
      <c r="Q63" s="50">
        <f t="shared" si="23"/>
        <v>22368.875</v>
      </c>
      <c r="R63" s="20" t="s">
        <v>318</v>
      </c>
      <c r="S63" s="20" t="s">
        <v>386</v>
      </c>
      <c r="T63" s="13">
        <f t="shared" si="18"/>
        <v>4988</v>
      </c>
      <c r="U63" s="10">
        <f t="shared" si="4"/>
        <v>35.876303127506013</v>
      </c>
      <c r="W63" t="s">
        <v>353</v>
      </c>
      <c r="Y63" t="s">
        <v>494</v>
      </c>
    </row>
    <row r="64" spans="1:27" x14ac:dyDescent="0.25">
      <c r="A64" s="42" t="s">
        <v>62</v>
      </c>
      <c r="B64" s="42" t="s">
        <v>239</v>
      </c>
      <c r="C64" s="20">
        <v>122</v>
      </c>
      <c r="D64" s="20">
        <v>145</v>
      </c>
      <c r="E64" s="20">
        <v>154</v>
      </c>
      <c r="F64" s="20">
        <v>151</v>
      </c>
      <c r="G64" s="20">
        <v>128</v>
      </c>
      <c r="H64" s="20">
        <v>165</v>
      </c>
      <c r="I64" s="20">
        <v>154</v>
      </c>
      <c r="J64" s="20">
        <v>154</v>
      </c>
      <c r="K64" s="20">
        <v>150</v>
      </c>
      <c r="L64" s="20">
        <v>146</v>
      </c>
      <c r="M64" s="20">
        <v>155</v>
      </c>
      <c r="N64" s="47">
        <v>67</v>
      </c>
      <c r="O64" s="20"/>
      <c r="P64" s="44">
        <f>VLOOKUP(A64,LincsData2,4,FALSE)</f>
        <v>436.54518072289159</v>
      </c>
      <c r="Q64" s="45">
        <f>VLOOKUP(A64,LincsData2,5,FALSE)</f>
        <v>14016.64</v>
      </c>
      <c r="R64" s="20" t="s">
        <v>332</v>
      </c>
      <c r="S64" s="20" t="s">
        <v>386</v>
      </c>
      <c r="T64" s="13">
        <f t="shared" si="18"/>
        <v>5053.9041164658629</v>
      </c>
      <c r="U64" s="10">
        <f t="shared" si="4"/>
        <v>32.108108436311952</v>
      </c>
      <c r="V64" t="s">
        <v>492</v>
      </c>
      <c r="W64" t="s">
        <v>353</v>
      </c>
      <c r="Y64" t="s">
        <v>495</v>
      </c>
    </row>
    <row r="65" spans="1:25" x14ac:dyDescent="0.25">
      <c r="A65" s="42" t="s">
        <v>63</v>
      </c>
      <c r="B65" s="42" t="s">
        <v>240</v>
      </c>
      <c r="C65" s="20">
        <v>120</v>
      </c>
      <c r="D65" s="20">
        <v>118</v>
      </c>
      <c r="E65" s="20">
        <v>150</v>
      </c>
      <c r="F65" s="20">
        <v>150</v>
      </c>
      <c r="G65" s="20">
        <v>150</v>
      </c>
      <c r="H65" s="20">
        <v>150</v>
      </c>
      <c r="I65" s="20">
        <v>150</v>
      </c>
      <c r="J65" s="20">
        <v>150</v>
      </c>
      <c r="K65" s="20">
        <v>150</v>
      </c>
      <c r="L65" s="20">
        <v>150</v>
      </c>
      <c r="M65" s="20">
        <v>150</v>
      </c>
      <c r="N65" s="37">
        <v>68</v>
      </c>
      <c r="O65" s="20"/>
      <c r="P65" s="22">
        <f>5295/7</f>
        <v>756.42857142857144</v>
      </c>
      <c r="Q65" s="22">
        <f>P65*typical_cost</f>
        <v>19788.17142857143</v>
      </c>
      <c r="R65" s="20" t="s">
        <v>316</v>
      </c>
      <c r="S65" s="20" t="s">
        <v>387</v>
      </c>
      <c r="T65" s="13">
        <f t="shared" si="18"/>
        <v>5295</v>
      </c>
      <c r="U65" s="10">
        <f t="shared" si="4"/>
        <v>26.16</v>
      </c>
      <c r="W65" t="s">
        <v>353</v>
      </c>
      <c r="Y65" t="s">
        <v>452</v>
      </c>
    </row>
    <row r="66" spans="1:25" ht="15.75" x14ac:dyDescent="0.25">
      <c r="A66" s="42" t="s">
        <v>64</v>
      </c>
      <c r="B66" s="42" t="s">
        <v>241</v>
      </c>
      <c r="C66" s="20">
        <v>149</v>
      </c>
      <c r="D66" s="20">
        <v>150</v>
      </c>
      <c r="E66" s="20">
        <v>150</v>
      </c>
      <c r="F66" s="20">
        <v>150</v>
      </c>
      <c r="G66" s="20">
        <v>150</v>
      </c>
      <c r="H66" s="20">
        <v>150</v>
      </c>
      <c r="I66" s="20">
        <v>147</v>
      </c>
      <c r="J66" s="20">
        <v>150</v>
      </c>
      <c r="K66" s="20">
        <v>150</v>
      </c>
      <c r="L66" s="20">
        <v>150</v>
      </c>
      <c r="M66" s="20">
        <v>150</v>
      </c>
      <c r="N66" s="37">
        <v>70</v>
      </c>
      <c r="O66" s="20"/>
      <c r="P66" s="22">
        <f t="shared" ref="P66:P67" si="24">4988/COUNTIF(R:R,R66)</f>
        <v>623.5</v>
      </c>
      <c r="Q66" s="50">
        <f t="shared" ref="Q66:Q67" si="25">178951/COUNTIF(R:R,R66)</f>
        <v>22368.875</v>
      </c>
      <c r="R66" s="20" t="s">
        <v>318</v>
      </c>
      <c r="S66" s="20" t="s">
        <v>386</v>
      </c>
      <c r="T66" s="13">
        <f t="shared" ref="T66:T97" si="26">SUMIF(R:R,R66,P:P)</f>
        <v>4988</v>
      </c>
      <c r="U66" s="10">
        <f t="shared" si="4"/>
        <v>35.876303127506013</v>
      </c>
      <c r="W66" t="s">
        <v>353</v>
      </c>
      <c r="Y66" t="s">
        <v>496</v>
      </c>
    </row>
    <row r="67" spans="1:25" ht="15.75" x14ac:dyDescent="0.25">
      <c r="A67" s="42" t="s">
        <v>65</v>
      </c>
      <c r="B67" s="42" t="s">
        <v>242</v>
      </c>
      <c r="C67" s="20">
        <v>128</v>
      </c>
      <c r="D67" s="20">
        <v>159</v>
      </c>
      <c r="E67" s="20">
        <v>160</v>
      </c>
      <c r="F67" s="20">
        <v>160</v>
      </c>
      <c r="G67" s="20">
        <v>160</v>
      </c>
      <c r="H67" s="20">
        <v>159</v>
      </c>
      <c r="I67" s="20">
        <v>160</v>
      </c>
      <c r="J67" s="20">
        <v>192</v>
      </c>
      <c r="K67" s="20">
        <v>192</v>
      </c>
      <c r="L67" s="20">
        <v>192</v>
      </c>
      <c r="M67" s="20">
        <v>189</v>
      </c>
      <c r="N67" s="37">
        <v>69</v>
      </c>
      <c r="O67" s="20"/>
      <c r="P67" s="22">
        <f t="shared" si="24"/>
        <v>623.5</v>
      </c>
      <c r="Q67" s="50">
        <f t="shared" si="25"/>
        <v>22368.875</v>
      </c>
      <c r="R67" s="20" t="s">
        <v>318</v>
      </c>
      <c r="S67" s="20" t="s">
        <v>386</v>
      </c>
      <c r="T67" s="13">
        <f t="shared" si="26"/>
        <v>4988</v>
      </c>
      <c r="U67" s="10">
        <f t="shared" ref="U67:U130" si="27">Q67/P67</f>
        <v>35.876303127506013</v>
      </c>
      <c r="W67" t="s">
        <v>353</v>
      </c>
    </row>
    <row r="68" spans="1:25" x14ac:dyDescent="0.25">
      <c r="A68" s="42" t="s">
        <v>66</v>
      </c>
      <c r="B68" s="42" t="s">
        <v>243</v>
      </c>
      <c r="C68" s="20">
        <v>84</v>
      </c>
      <c r="D68" s="20">
        <v>84</v>
      </c>
      <c r="E68" s="20">
        <v>84</v>
      </c>
      <c r="F68" s="20">
        <v>84</v>
      </c>
      <c r="G68" s="20">
        <v>90</v>
      </c>
      <c r="H68" s="20">
        <v>90</v>
      </c>
      <c r="I68" s="20">
        <v>91</v>
      </c>
      <c r="J68" s="20">
        <v>90</v>
      </c>
      <c r="K68" s="20">
        <v>90</v>
      </c>
      <c r="L68" s="20">
        <v>90</v>
      </c>
      <c r="M68" s="20">
        <v>90</v>
      </c>
      <c r="N68" s="37">
        <v>71</v>
      </c>
      <c r="O68" s="20"/>
      <c r="P68" s="22">
        <f>2926/5</f>
        <v>585.20000000000005</v>
      </c>
      <c r="Q68" s="22">
        <f>713526/20</f>
        <v>35676.300000000003</v>
      </c>
      <c r="R68" s="20" t="s">
        <v>343</v>
      </c>
      <c r="S68" s="20" t="s">
        <v>386</v>
      </c>
      <c r="T68" s="13">
        <f t="shared" si="26"/>
        <v>2926</v>
      </c>
      <c r="U68" s="10">
        <f t="shared" si="27"/>
        <v>60.964285714285715</v>
      </c>
      <c r="W68" t="s">
        <v>353</v>
      </c>
    </row>
    <row r="69" spans="1:25" x14ac:dyDescent="0.25">
      <c r="A69" s="42" t="s">
        <v>67</v>
      </c>
      <c r="B69" s="42" t="s">
        <v>244</v>
      </c>
      <c r="C69" s="20">
        <v>114</v>
      </c>
      <c r="D69" s="20">
        <v>114</v>
      </c>
      <c r="E69" s="20">
        <v>116</v>
      </c>
      <c r="F69" s="20">
        <v>143</v>
      </c>
      <c r="G69" s="20">
        <v>142</v>
      </c>
      <c r="H69" s="20">
        <v>144</v>
      </c>
      <c r="I69" s="20">
        <v>150</v>
      </c>
      <c r="J69" s="20">
        <v>147</v>
      </c>
      <c r="K69" s="20">
        <v>147</v>
      </c>
      <c r="L69" s="20">
        <v>145</v>
      </c>
      <c r="M69" s="20">
        <v>151</v>
      </c>
      <c r="N69" s="37">
        <v>74</v>
      </c>
      <c r="O69" s="20"/>
      <c r="P69" s="22">
        <v>318</v>
      </c>
      <c r="Q69" s="22">
        <f>45*P69</f>
        <v>14310</v>
      </c>
      <c r="R69" s="20" t="s">
        <v>416</v>
      </c>
      <c r="S69" s="20" t="s">
        <v>386</v>
      </c>
      <c r="T69" s="13">
        <f t="shared" si="26"/>
        <v>642</v>
      </c>
      <c r="U69" s="10">
        <f t="shared" si="27"/>
        <v>45</v>
      </c>
      <c r="W69" t="s">
        <v>353</v>
      </c>
    </row>
    <row r="70" spans="1:25" x14ac:dyDescent="0.25">
      <c r="A70" s="42" t="s">
        <v>68</v>
      </c>
      <c r="B70" s="42" t="e">
        <v>#N/A</v>
      </c>
      <c r="C70" s="20">
        <v>140</v>
      </c>
      <c r="D70" s="20">
        <v>139</v>
      </c>
      <c r="E70" s="20">
        <v>134</v>
      </c>
      <c r="F70" s="20">
        <v>146</v>
      </c>
      <c r="G70" s="20">
        <v>168</v>
      </c>
      <c r="H70" s="20">
        <v>171</v>
      </c>
      <c r="I70" s="20">
        <v>171</v>
      </c>
      <c r="J70" s="20">
        <v>168</v>
      </c>
      <c r="K70" s="20">
        <v>169</v>
      </c>
      <c r="L70" s="20">
        <v>167</v>
      </c>
      <c r="M70" s="20">
        <v>170</v>
      </c>
      <c r="N70" s="37">
        <v>77</v>
      </c>
      <c r="O70" s="20"/>
      <c r="P70" s="22">
        <v>324</v>
      </c>
      <c r="Q70" s="22">
        <v>12000</v>
      </c>
      <c r="R70" s="20" t="s">
        <v>416</v>
      </c>
      <c r="S70" s="20" t="s">
        <v>386</v>
      </c>
      <c r="T70" s="13">
        <f t="shared" si="26"/>
        <v>642</v>
      </c>
      <c r="U70" s="10">
        <f t="shared" si="27"/>
        <v>37.037037037037038</v>
      </c>
      <c r="W70" t="s">
        <v>353</v>
      </c>
    </row>
    <row r="71" spans="1:25" x14ac:dyDescent="0.25">
      <c r="A71" s="42" t="s">
        <v>69</v>
      </c>
      <c r="B71" s="42" t="s">
        <v>245</v>
      </c>
      <c r="C71" s="20">
        <v>150</v>
      </c>
      <c r="D71" s="20">
        <v>155</v>
      </c>
      <c r="E71" s="20">
        <v>155</v>
      </c>
      <c r="F71" s="20">
        <v>155</v>
      </c>
      <c r="G71" s="20">
        <v>184</v>
      </c>
      <c r="H71" s="20">
        <v>182</v>
      </c>
      <c r="I71" s="20">
        <v>185</v>
      </c>
      <c r="J71" s="20">
        <v>180</v>
      </c>
      <c r="K71" s="20">
        <v>180</v>
      </c>
      <c r="L71" s="20">
        <v>180</v>
      </c>
      <c r="M71" s="20">
        <v>182</v>
      </c>
      <c r="N71" s="37">
        <v>73</v>
      </c>
      <c r="O71" s="20"/>
      <c r="P71" s="22">
        <f>4970/COUNTIF(R:R,R71)</f>
        <v>1242.5</v>
      </c>
      <c r="Q71" s="44">
        <f>P71*typical_cost</f>
        <v>32503.8</v>
      </c>
      <c r="R71" s="46" t="s">
        <v>308</v>
      </c>
      <c r="S71" s="20" t="s">
        <v>386</v>
      </c>
      <c r="T71" s="13">
        <f t="shared" si="26"/>
        <v>4970</v>
      </c>
      <c r="U71" s="10">
        <f t="shared" si="27"/>
        <v>26.16</v>
      </c>
      <c r="V71" t="s">
        <v>428</v>
      </c>
      <c r="W71" t="s">
        <v>353</v>
      </c>
    </row>
    <row r="72" spans="1:25" x14ac:dyDescent="0.25">
      <c r="A72" s="42" t="s">
        <v>70</v>
      </c>
      <c r="B72" s="42" t="s">
        <v>246</v>
      </c>
      <c r="C72" s="20">
        <v>121</v>
      </c>
      <c r="D72" s="20">
        <v>120</v>
      </c>
      <c r="E72" s="20">
        <v>120</v>
      </c>
      <c r="F72" s="20">
        <v>120</v>
      </c>
      <c r="G72" s="20">
        <v>119</v>
      </c>
      <c r="H72" s="20">
        <v>121</v>
      </c>
      <c r="I72" s="20">
        <v>119</v>
      </c>
      <c r="J72" s="20">
        <v>150</v>
      </c>
      <c r="K72" s="20">
        <v>150</v>
      </c>
      <c r="L72" s="20">
        <v>149</v>
      </c>
      <c r="M72" s="20">
        <v>150</v>
      </c>
      <c r="N72" s="37">
        <v>75</v>
      </c>
      <c r="O72" s="20"/>
      <c r="P72" s="22">
        <f>2926/5</f>
        <v>585.20000000000005</v>
      </c>
      <c r="Q72" s="22">
        <f>713526/20</f>
        <v>35676.300000000003</v>
      </c>
      <c r="R72" s="20" t="s">
        <v>343</v>
      </c>
      <c r="S72" s="20" t="s">
        <v>386</v>
      </c>
      <c r="T72" s="13">
        <f t="shared" si="26"/>
        <v>2926</v>
      </c>
      <c r="U72" s="10">
        <f t="shared" si="27"/>
        <v>60.964285714285715</v>
      </c>
      <c r="W72" t="s">
        <v>353</v>
      </c>
    </row>
    <row r="73" spans="1:25" x14ac:dyDescent="0.25">
      <c r="A73" s="42" t="s">
        <v>71</v>
      </c>
      <c r="B73" s="42" t="s">
        <v>247</v>
      </c>
      <c r="C73" s="20">
        <v>150</v>
      </c>
      <c r="D73" s="20">
        <v>163</v>
      </c>
      <c r="E73" s="20">
        <v>156</v>
      </c>
      <c r="F73" s="20">
        <v>158</v>
      </c>
      <c r="G73" s="20">
        <v>157</v>
      </c>
      <c r="H73" s="20">
        <v>160</v>
      </c>
      <c r="I73" s="20">
        <v>157</v>
      </c>
      <c r="J73" s="20">
        <v>159</v>
      </c>
      <c r="K73" s="20">
        <v>161</v>
      </c>
      <c r="L73" s="20">
        <v>151</v>
      </c>
      <c r="M73" s="20">
        <v>160</v>
      </c>
      <c r="N73" s="37">
        <v>76</v>
      </c>
      <c r="O73" s="20"/>
      <c r="P73" s="22">
        <v>554</v>
      </c>
      <c r="Q73" s="22">
        <v>10882.66</v>
      </c>
      <c r="R73" s="20" t="s">
        <v>476</v>
      </c>
      <c r="S73" s="20" t="s">
        <v>386</v>
      </c>
      <c r="T73" s="13">
        <f t="shared" si="26"/>
        <v>554</v>
      </c>
      <c r="U73" s="10">
        <f t="shared" si="27"/>
        <v>19.643790613718412</v>
      </c>
      <c r="W73" t="s">
        <v>353</v>
      </c>
    </row>
    <row r="74" spans="1:25" x14ac:dyDescent="0.25">
      <c r="A74" s="42" t="s">
        <v>72</v>
      </c>
      <c r="B74" s="42" t="s">
        <v>248</v>
      </c>
      <c r="C74" s="20">
        <v>171</v>
      </c>
      <c r="D74" s="20">
        <v>183</v>
      </c>
      <c r="E74" s="20">
        <v>187</v>
      </c>
      <c r="F74" s="20">
        <v>190</v>
      </c>
      <c r="G74" s="20">
        <v>216</v>
      </c>
      <c r="H74" s="20">
        <v>216</v>
      </c>
      <c r="I74" s="20">
        <v>221</v>
      </c>
      <c r="J74" s="20">
        <v>218</v>
      </c>
      <c r="K74" s="20">
        <v>199</v>
      </c>
      <c r="L74" s="20">
        <v>215</v>
      </c>
      <c r="M74" s="20">
        <v>214</v>
      </c>
      <c r="N74" s="37">
        <v>81</v>
      </c>
      <c r="O74" s="20"/>
      <c r="P74" s="22">
        <f>16446/COUNTIF(R:R,R74)</f>
        <v>657.84</v>
      </c>
      <c r="Q74" s="22">
        <f t="shared" ref="Q74:Q75" si="28">278209.64/COUNTIF(R:R,R74)</f>
        <v>11128.385600000001</v>
      </c>
      <c r="R74" s="20" t="s">
        <v>170</v>
      </c>
      <c r="S74" s="20" t="s">
        <v>386</v>
      </c>
      <c r="T74" s="13">
        <f t="shared" si="26"/>
        <v>16446</v>
      </c>
      <c r="U74" s="10">
        <f t="shared" si="27"/>
        <v>16.916553569256962</v>
      </c>
      <c r="W74" t="s">
        <v>353</v>
      </c>
    </row>
    <row r="75" spans="1:25" x14ac:dyDescent="0.25">
      <c r="A75" s="42" t="s">
        <v>73</v>
      </c>
      <c r="B75" s="42" t="s">
        <v>249</v>
      </c>
      <c r="C75" s="20">
        <v>155</v>
      </c>
      <c r="D75" s="20">
        <v>153</v>
      </c>
      <c r="E75" s="20">
        <v>189</v>
      </c>
      <c r="F75" s="20">
        <v>176</v>
      </c>
      <c r="G75" s="20">
        <v>175</v>
      </c>
      <c r="H75" s="20">
        <v>189</v>
      </c>
      <c r="I75" s="20">
        <v>183</v>
      </c>
      <c r="J75" s="20">
        <v>163</v>
      </c>
      <c r="K75" s="20">
        <v>171</v>
      </c>
      <c r="L75" s="20">
        <v>150</v>
      </c>
      <c r="M75" s="20">
        <v>191</v>
      </c>
      <c r="N75" s="37">
        <v>80</v>
      </c>
      <c r="O75" s="20"/>
      <c r="P75" s="22">
        <f>16446/COUNTIF(R:R,R75)</f>
        <v>657.84</v>
      </c>
      <c r="Q75" s="22">
        <f t="shared" si="28"/>
        <v>11128.385600000001</v>
      </c>
      <c r="R75" s="20" t="s">
        <v>170</v>
      </c>
      <c r="S75" s="20" t="s">
        <v>386</v>
      </c>
      <c r="T75" s="13">
        <f t="shared" si="26"/>
        <v>16446</v>
      </c>
      <c r="U75" s="10">
        <f t="shared" si="27"/>
        <v>16.916553569256962</v>
      </c>
      <c r="W75" t="s">
        <v>353</v>
      </c>
    </row>
    <row r="76" spans="1:25" x14ac:dyDescent="0.25">
      <c r="A76" s="42" t="s">
        <v>74</v>
      </c>
      <c r="B76" s="42" t="s">
        <v>250</v>
      </c>
      <c r="C76" s="20">
        <v>122</v>
      </c>
      <c r="D76" s="20">
        <v>128</v>
      </c>
      <c r="E76" s="20">
        <v>127</v>
      </c>
      <c r="F76" s="20">
        <v>160</v>
      </c>
      <c r="G76" s="20">
        <v>158</v>
      </c>
      <c r="H76" s="20">
        <v>159</v>
      </c>
      <c r="I76" s="20">
        <v>160</v>
      </c>
      <c r="J76" s="20">
        <v>154</v>
      </c>
      <c r="K76" s="20">
        <v>160</v>
      </c>
      <c r="L76" s="20">
        <v>160</v>
      </c>
      <c r="M76" s="20">
        <v>153</v>
      </c>
      <c r="N76" s="37">
        <v>78</v>
      </c>
      <c r="O76" s="20"/>
      <c r="P76" s="22">
        <f>2670/COUNTIF(R:R,R76)</f>
        <v>381.42857142857144</v>
      </c>
      <c r="Q76" s="22">
        <f>65000/COUNTIF(R:R,R76)</f>
        <v>9285.7142857142862</v>
      </c>
      <c r="R76" s="20" t="s">
        <v>310</v>
      </c>
      <c r="S76" s="20" t="s">
        <v>386</v>
      </c>
      <c r="T76" s="13">
        <f t="shared" si="26"/>
        <v>2670.0000000000005</v>
      </c>
      <c r="U76" s="10">
        <f t="shared" si="27"/>
        <v>24.344569288389515</v>
      </c>
      <c r="V76" t="s">
        <v>425</v>
      </c>
      <c r="W76" t="s">
        <v>353</v>
      </c>
    </row>
    <row r="77" spans="1:25" x14ac:dyDescent="0.25">
      <c r="A77" s="42" t="s">
        <v>75</v>
      </c>
      <c r="B77" s="42" t="s">
        <v>251</v>
      </c>
      <c r="C77" s="20">
        <v>132</v>
      </c>
      <c r="D77" s="20">
        <v>137</v>
      </c>
      <c r="E77" s="20">
        <v>174</v>
      </c>
      <c r="F77" s="20">
        <v>167</v>
      </c>
      <c r="G77" s="20">
        <v>191</v>
      </c>
      <c r="H77" s="20">
        <v>192</v>
      </c>
      <c r="I77" s="20">
        <v>192</v>
      </c>
      <c r="J77" s="20">
        <v>210</v>
      </c>
      <c r="K77" s="20">
        <v>224</v>
      </c>
      <c r="L77" s="20">
        <v>218</v>
      </c>
      <c r="M77" s="20">
        <v>215</v>
      </c>
      <c r="N77" s="37">
        <v>79</v>
      </c>
      <c r="O77" s="20"/>
      <c r="P77" s="22">
        <v>415</v>
      </c>
      <c r="Q77" s="22">
        <v>8624</v>
      </c>
      <c r="R77" s="20" t="s">
        <v>422</v>
      </c>
      <c r="S77" s="20" t="s">
        <v>417</v>
      </c>
      <c r="T77" s="13">
        <f t="shared" si="26"/>
        <v>415</v>
      </c>
      <c r="U77" s="10">
        <f t="shared" si="27"/>
        <v>20.780722891566263</v>
      </c>
      <c r="W77" t="s">
        <v>353</v>
      </c>
    </row>
    <row r="78" spans="1:25" x14ac:dyDescent="0.25">
      <c r="A78" s="42" t="s">
        <v>76</v>
      </c>
      <c r="B78" s="42" t="e">
        <v>#N/A</v>
      </c>
      <c r="C78" s="20">
        <v>79</v>
      </c>
      <c r="D78" s="20">
        <v>84</v>
      </c>
      <c r="E78" s="20">
        <v>82</v>
      </c>
      <c r="F78" s="20">
        <v>84</v>
      </c>
      <c r="G78" s="20">
        <v>84</v>
      </c>
      <c r="H78" s="20">
        <v>85</v>
      </c>
      <c r="I78" s="20">
        <v>90</v>
      </c>
      <c r="J78" s="20">
        <v>90</v>
      </c>
      <c r="K78" s="20">
        <v>120</v>
      </c>
      <c r="L78" s="20">
        <v>150</v>
      </c>
      <c r="M78" s="20">
        <v>120</v>
      </c>
      <c r="N78" s="37">
        <v>82</v>
      </c>
      <c r="O78" s="20"/>
      <c r="P78" s="22">
        <f>2590/COUNTIF(R:R,R78)</f>
        <v>518</v>
      </c>
      <c r="Q78" s="22">
        <f>53146/COUNTIF(R:R,R78)</f>
        <v>10629.2</v>
      </c>
      <c r="R78" s="20" t="s">
        <v>356</v>
      </c>
      <c r="S78" s="20" t="s">
        <v>386</v>
      </c>
      <c r="T78" s="13">
        <f t="shared" si="26"/>
        <v>2590</v>
      </c>
      <c r="U78" s="10">
        <f t="shared" si="27"/>
        <v>20.519691119691121</v>
      </c>
      <c r="V78" t="s">
        <v>426</v>
      </c>
      <c r="W78" t="s">
        <v>353</v>
      </c>
    </row>
    <row r="79" spans="1:25" x14ac:dyDescent="0.25">
      <c r="A79" s="42" t="s">
        <v>77</v>
      </c>
      <c r="B79" s="42" t="s">
        <v>252</v>
      </c>
      <c r="C79" s="20">
        <v>160</v>
      </c>
      <c r="D79" s="20">
        <v>160</v>
      </c>
      <c r="E79" s="20">
        <v>159</v>
      </c>
      <c r="F79" s="20">
        <v>160</v>
      </c>
      <c r="G79" s="20">
        <v>160</v>
      </c>
      <c r="H79" s="20">
        <v>160</v>
      </c>
      <c r="I79" s="20">
        <v>160</v>
      </c>
      <c r="J79" s="20">
        <v>159</v>
      </c>
      <c r="K79" s="20">
        <v>168</v>
      </c>
      <c r="L79" s="20">
        <v>168</v>
      </c>
      <c r="M79" s="20">
        <v>167</v>
      </c>
      <c r="N79" s="37">
        <v>86</v>
      </c>
      <c r="O79" s="20"/>
      <c r="P79" s="22">
        <v>1288</v>
      </c>
      <c r="Q79" s="44">
        <f>P79*typical_cost</f>
        <v>33694.080000000002</v>
      </c>
      <c r="R79" s="20" t="s">
        <v>406</v>
      </c>
      <c r="S79" s="20" t="s">
        <v>387</v>
      </c>
      <c r="T79" s="13">
        <f t="shared" si="26"/>
        <v>1288</v>
      </c>
      <c r="U79" s="10">
        <f t="shared" si="27"/>
        <v>26.16</v>
      </c>
      <c r="W79" t="s">
        <v>353</v>
      </c>
    </row>
    <row r="80" spans="1:25" x14ac:dyDescent="0.25">
      <c r="A80" s="42" t="s">
        <v>78</v>
      </c>
      <c r="B80" s="42" t="s">
        <v>253</v>
      </c>
      <c r="C80" s="20">
        <v>180</v>
      </c>
      <c r="D80" s="20">
        <v>179</v>
      </c>
      <c r="E80" s="20">
        <v>210</v>
      </c>
      <c r="F80" s="20">
        <v>210</v>
      </c>
      <c r="G80" s="20">
        <v>206</v>
      </c>
      <c r="H80" s="20">
        <v>210</v>
      </c>
      <c r="I80" s="20">
        <v>210</v>
      </c>
      <c r="J80" s="20">
        <v>239</v>
      </c>
      <c r="K80" s="20">
        <v>210</v>
      </c>
      <c r="L80" s="20">
        <v>210</v>
      </c>
      <c r="M80" s="20">
        <v>210</v>
      </c>
      <c r="N80" s="37">
        <v>84</v>
      </c>
      <c r="O80" s="43"/>
      <c r="P80" s="22">
        <v>1918.5</v>
      </c>
      <c r="Q80" s="44">
        <f>P80*typical_cost</f>
        <v>50187.96</v>
      </c>
      <c r="R80" s="20" t="s">
        <v>317</v>
      </c>
      <c r="S80" s="20" t="s">
        <v>387</v>
      </c>
      <c r="T80" s="13">
        <f t="shared" si="26"/>
        <v>14197</v>
      </c>
      <c r="U80" s="10">
        <f t="shared" si="27"/>
        <v>26.16</v>
      </c>
      <c r="W80" t="s">
        <v>353</v>
      </c>
    </row>
    <row r="81" spans="1:23" x14ac:dyDescent="0.25">
      <c r="A81" s="42" t="s">
        <v>79</v>
      </c>
      <c r="B81" s="42" t="e">
        <v>#N/A</v>
      </c>
      <c r="C81" s="20">
        <v>155</v>
      </c>
      <c r="D81" s="20">
        <v>155</v>
      </c>
      <c r="E81" s="20">
        <v>155</v>
      </c>
      <c r="F81" s="20">
        <v>155</v>
      </c>
      <c r="G81" s="20">
        <v>190</v>
      </c>
      <c r="H81" s="20">
        <v>180</v>
      </c>
      <c r="I81" s="20">
        <v>180</v>
      </c>
      <c r="J81" s="20">
        <v>180</v>
      </c>
      <c r="K81" s="20">
        <v>180</v>
      </c>
      <c r="L81" s="20">
        <v>180</v>
      </c>
      <c r="M81" s="20">
        <v>180</v>
      </c>
      <c r="N81" s="37">
        <v>141</v>
      </c>
      <c r="O81" s="20"/>
      <c r="P81" s="22">
        <f>1205/2</f>
        <v>602.5</v>
      </c>
      <c r="Q81" s="22">
        <v>12919</v>
      </c>
      <c r="R81" s="20" t="s">
        <v>477</v>
      </c>
      <c r="S81" s="20" t="s">
        <v>415</v>
      </c>
      <c r="T81" s="13">
        <f t="shared" si="26"/>
        <v>602.5</v>
      </c>
      <c r="U81" s="10">
        <f t="shared" si="27"/>
        <v>21.442323651452281</v>
      </c>
      <c r="W81" t="s">
        <v>353</v>
      </c>
    </row>
    <row r="82" spans="1:23" x14ac:dyDescent="0.25">
      <c r="A82" s="42" t="s">
        <v>80</v>
      </c>
      <c r="B82" s="42" t="s">
        <v>254</v>
      </c>
      <c r="C82" s="20">
        <v>149</v>
      </c>
      <c r="D82" s="20">
        <v>139</v>
      </c>
      <c r="E82" s="20">
        <v>153</v>
      </c>
      <c r="F82" s="20">
        <v>173</v>
      </c>
      <c r="G82" s="20">
        <v>151</v>
      </c>
      <c r="H82" s="20">
        <v>159</v>
      </c>
      <c r="I82" s="20">
        <v>158</v>
      </c>
      <c r="J82" s="20">
        <v>160</v>
      </c>
      <c r="K82" s="20">
        <v>160</v>
      </c>
      <c r="L82" s="20">
        <v>155</v>
      </c>
      <c r="M82" s="20">
        <v>159</v>
      </c>
      <c r="N82" s="37">
        <v>85</v>
      </c>
      <c r="O82" s="20"/>
      <c r="P82" s="22">
        <f>16446/COUNTIF(R:R,R82)</f>
        <v>657.84</v>
      </c>
      <c r="Q82" s="22">
        <f>278209.64/COUNTIF(R:R,R82)</f>
        <v>11128.385600000001</v>
      </c>
      <c r="R82" s="20" t="s">
        <v>170</v>
      </c>
      <c r="S82" s="20" t="s">
        <v>386</v>
      </c>
      <c r="T82" s="13">
        <f t="shared" si="26"/>
        <v>16446</v>
      </c>
      <c r="U82" s="10">
        <f t="shared" si="27"/>
        <v>16.916553569256962</v>
      </c>
      <c r="W82" t="s">
        <v>353</v>
      </c>
    </row>
    <row r="83" spans="1:23" x14ac:dyDescent="0.25">
      <c r="A83" s="42" t="s">
        <v>81</v>
      </c>
      <c r="B83" s="42" t="s">
        <v>255</v>
      </c>
      <c r="C83" s="20">
        <v>177</v>
      </c>
      <c r="D83" s="20">
        <v>193</v>
      </c>
      <c r="E83" s="20">
        <v>180</v>
      </c>
      <c r="F83" s="20">
        <v>188</v>
      </c>
      <c r="G83" s="20">
        <v>183</v>
      </c>
      <c r="H83" s="20">
        <v>184</v>
      </c>
      <c r="I83" s="20">
        <v>191</v>
      </c>
      <c r="J83" s="20">
        <v>193</v>
      </c>
      <c r="K83" s="20">
        <v>192</v>
      </c>
      <c r="L83" s="20">
        <v>192</v>
      </c>
      <c r="M83" s="20">
        <v>192</v>
      </c>
      <c r="N83" s="37">
        <v>87</v>
      </c>
      <c r="O83" s="20"/>
      <c r="P83" s="22">
        <v>310</v>
      </c>
      <c r="Q83" s="22">
        <v>8182.5</v>
      </c>
      <c r="R83" s="23" t="s">
        <v>384</v>
      </c>
      <c r="S83" s="20" t="s">
        <v>386</v>
      </c>
      <c r="T83" s="13">
        <f t="shared" si="26"/>
        <v>1433</v>
      </c>
      <c r="U83" s="10">
        <f t="shared" si="27"/>
        <v>26.39516129032258</v>
      </c>
      <c r="W83" t="s">
        <v>353</v>
      </c>
    </row>
    <row r="84" spans="1:23" x14ac:dyDescent="0.25">
      <c r="A84" s="42" t="s">
        <v>82</v>
      </c>
      <c r="B84" s="42" t="s">
        <v>256</v>
      </c>
      <c r="C84" s="20">
        <v>122</v>
      </c>
      <c r="D84" s="20">
        <v>120</v>
      </c>
      <c r="E84" s="20">
        <v>121</v>
      </c>
      <c r="F84" s="20">
        <v>150</v>
      </c>
      <c r="G84" s="20">
        <v>145</v>
      </c>
      <c r="H84" s="20">
        <v>155</v>
      </c>
      <c r="I84" s="20">
        <v>148</v>
      </c>
      <c r="J84" s="20">
        <v>151</v>
      </c>
      <c r="K84" s="20">
        <v>149</v>
      </c>
      <c r="L84" s="20">
        <v>150</v>
      </c>
      <c r="M84" s="20">
        <v>150</v>
      </c>
      <c r="N84" s="37">
        <v>88</v>
      </c>
      <c r="O84" s="20"/>
      <c r="P84" s="22">
        <f>2670/COUNTIF(R:R,R84)</f>
        <v>381.42857142857144</v>
      </c>
      <c r="Q84" s="22">
        <f>65000/COUNTIF(R:R,R84)</f>
        <v>9285.7142857142862</v>
      </c>
      <c r="R84" s="20" t="s">
        <v>310</v>
      </c>
      <c r="S84" s="20" t="s">
        <v>386</v>
      </c>
      <c r="T84" s="13">
        <f t="shared" si="26"/>
        <v>2670.0000000000005</v>
      </c>
      <c r="U84" s="10">
        <f t="shared" si="27"/>
        <v>24.344569288389515</v>
      </c>
      <c r="V84" t="s">
        <v>425</v>
      </c>
      <c r="W84" t="s">
        <v>353</v>
      </c>
    </row>
    <row r="85" spans="1:23" x14ac:dyDescent="0.25">
      <c r="A85" s="42" t="s">
        <v>83</v>
      </c>
      <c r="B85" s="42" t="s">
        <v>169</v>
      </c>
      <c r="C85" s="20">
        <v>121</v>
      </c>
      <c r="D85" s="20">
        <v>119</v>
      </c>
      <c r="E85" s="20">
        <v>120</v>
      </c>
      <c r="F85" s="20">
        <v>121</v>
      </c>
      <c r="G85" s="20">
        <v>121</v>
      </c>
      <c r="H85" s="20">
        <v>122</v>
      </c>
      <c r="I85" s="20">
        <v>121</v>
      </c>
      <c r="J85" s="20">
        <v>120</v>
      </c>
      <c r="K85" s="20">
        <v>121</v>
      </c>
      <c r="L85" s="20">
        <v>120</v>
      </c>
      <c r="M85" s="20">
        <v>120</v>
      </c>
      <c r="N85" s="37">
        <v>89</v>
      </c>
      <c r="O85" s="20"/>
      <c r="P85" s="22">
        <v>222</v>
      </c>
      <c r="Q85" s="22">
        <f>22.58*P85</f>
        <v>5012.7599999999993</v>
      </c>
      <c r="R85" s="20" t="s">
        <v>478</v>
      </c>
      <c r="S85" s="20" t="s">
        <v>386</v>
      </c>
      <c r="T85" s="13">
        <f t="shared" si="26"/>
        <v>222</v>
      </c>
      <c r="U85" s="10">
        <f t="shared" si="27"/>
        <v>22.58</v>
      </c>
      <c r="W85" t="s">
        <v>353</v>
      </c>
    </row>
    <row r="86" spans="1:23" x14ac:dyDescent="0.25">
      <c r="A86" s="42" t="s">
        <v>84</v>
      </c>
      <c r="B86" s="42" t="s">
        <v>257</v>
      </c>
      <c r="C86" s="20">
        <v>179</v>
      </c>
      <c r="D86" s="20">
        <v>176</v>
      </c>
      <c r="E86" s="20">
        <v>180</v>
      </c>
      <c r="F86" s="20">
        <v>182</v>
      </c>
      <c r="G86" s="20">
        <v>185</v>
      </c>
      <c r="H86" s="20">
        <v>181</v>
      </c>
      <c r="I86" s="20">
        <v>184</v>
      </c>
      <c r="J86" s="20">
        <v>180</v>
      </c>
      <c r="K86" s="20">
        <v>175</v>
      </c>
      <c r="L86" s="20">
        <v>180</v>
      </c>
      <c r="M86" s="20">
        <v>180</v>
      </c>
      <c r="N86" s="37">
        <v>90</v>
      </c>
      <c r="O86" s="43"/>
      <c r="P86" s="22">
        <v>300</v>
      </c>
      <c r="Q86" s="22">
        <f>P86*25.05</f>
        <v>7515</v>
      </c>
      <c r="R86" s="20" t="s">
        <v>384</v>
      </c>
      <c r="S86" s="20" t="s">
        <v>386</v>
      </c>
      <c r="T86" s="13">
        <f t="shared" si="26"/>
        <v>1433</v>
      </c>
      <c r="U86" s="10">
        <f>Q86/P86</f>
        <v>25.05</v>
      </c>
      <c r="W86" t="s">
        <v>353</v>
      </c>
    </row>
    <row r="87" spans="1:23" x14ac:dyDescent="0.25">
      <c r="A87" s="48" t="s">
        <v>85</v>
      </c>
      <c r="B87" s="42" t="s">
        <v>258</v>
      </c>
      <c r="C87" s="20">
        <v>122</v>
      </c>
      <c r="D87" s="20">
        <v>120</v>
      </c>
      <c r="E87" s="20">
        <v>128</v>
      </c>
      <c r="F87" s="20">
        <v>128</v>
      </c>
      <c r="G87" s="20">
        <v>128</v>
      </c>
      <c r="H87" s="20">
        <v>150</v>
      </c>
      <c r="I87" s="20">
        <v>159</v>
      </c>
      <c r="J87" s="20">
        <v>160</v>
      </c>
      <c r="K87" s="20">
        <v>160</v>
      </c>
      <c r="L87" s="20">
        <v>161</v>
      </c>
      <c r="M87" s="20">
        <v>160</v>
      </c>
      <c r="N87" s="37">
        <v>91</v>
      </c>
      <c r="O87" s="20"/>
      <c r="P87" s="22">
        <v>271</v>
      </c>
      <c r="Q87" s="22">
        <v>7857.72</v>
      </c>
      <c r="R87" s="20" t="s">
        <v>479</v>
      </c>
      <c r="S87" s="20" t="s">
        <v>386</v>
      </c>
      <c r="T87" s="13">
        <f t="shared" si="26"/>
        <v>271</v>
      </c>
      <c r="U87" s="10">
        <f t="shared" si="27"/>
        <v>28.995276752767527</v>
      </c>
      <c r="W87" t="s">
        <v>353</v>
      </c>
    </row>
    <row r="88" spans="1:23" x14ac:dyDescent="0.25">
      <c r="A88" s="48" t="s">
        <v>90</v>
      </c>
      <c r="B88" s="42" t="s">
        <v>309</v>
      </c>
      <c r="C88" s="20">
        <v>147</v>
      </c>
      <c r="D88" s="20">
        <v>147</v>
      </c>
      <c r="E88" s="20">
        <v>146</v>
      </c>
      <c r="F88" s="20">
        <v>149</v>
      </c>
      <c r="G88" s="20">
        <v>156</v>
      </c>
      <c r="H88" s="20">
        <v>151</v>
      </c>
      <c r="I88" s="20">
        <v>155</v>
      </c>
      <c r="J88" s="20">
        <v>153</v>
      </c>
      <c r="K88" s="20">
        <v>152</v>
      </c>
      <c r="L88" s="20">
        <v>154</v>
      </c>
      <c r="M88" s="20">
        <v>186</v>
      </c>
      <c r="N88" s="37">
        <v>96</v>
      </c>
      <c r="O88" s="20"/>
      <c r="P88" s="22">
        <v>3433</v>
      </c>
      <c r="Q88" s="22">
        <v>56332</v>
      </c>
      <c r="R88" s="20" t="s">
        <v>360</v>
      </c>
      <c r="S88" s="20" t="s">
        <v>386</v>
      </c>
      <c r="T88" s="13">
        <f t="shared" si="26"/>
        <v>3433</v>
      </c>
      <c r="U88" s="10">
        <f t="shared" si="27"/>
        <v>16.408971744829596</v>
      </c>
      <c r="W88" t="s">
        <v>353</v>
      </c>
    </row>
    <row r="89" spans="1:23" x14ac:dyDescent="0.25">
      <c r="A89" s="42" t="s">
        <v>87</v>
      </c>
      <c r="B89" s="42" t="s">
        <v>191</v>
      </c>
      <c r="C89" s="20">
        <v>96</v>
      </c>
      <c r="D89" s="20">
        <v>111</v>
      </c>
      <c r="E89" s="20">
        <v>97</v>
      </c>
      <c r="F89" s="20">
        <v>119</v>
      </c>
      <c r="G89" s="20">
        <v>121</v>
      </c>
      <c r="H89" s="20">
        <v>124</v>
      </c>
      <c r="I89" s="20">
        <v>133</v>
      </c>
      <c r="J89" s="20">
        <v>129</v>
      </c>
      <c r="K89" s="20">
        <v>122</v>
      </c>
      <c r="L89" s="20">
        <v>123</v>
      </c>
      <c r="M89" s="20">
        <v>121</v>
      </c>
      <c r="N89" s="37">
        <v>93</v>
      </c>
      <c r="O89" s="43"/>
      <c r="P89" s="22">
        <f>16446/COUNTIF(R:R,R89)</f>
        <v>657.84</v>
      </c>
      <c r="Q89" s="22">
        <f>278209.64/COUNTIF(R:R,R89)</f>
        <v>11128.385600000001</v>
      </c>
      <c r="R89" s="20" t="s">
        <v>170</v>
      </c>
      <c r="S89" s="20" t="s">
        <v>386</v>
      </c>
      <c r="T89" s="13">
        <f t="shared" si="26"/>
        <v>16446</v>
      </c>
      <c r="U89" s="10">
        <f t="shared" si="27"/>
        <v>16.916553569256962</v>
      </c>
      <c r="W89" t="s">
        <v>353</v>
      </c>
    </row>
    <row r="90" spans="1:23" x14ac:dyDescent="0.25">
      <c r="A90" s="42" t="s">
        <v>88</v>
      </c>
      <c r="B90" s="42" t="e">
        <v>#N/A</v>
      </c>
      <c r="C90" s="20">
        <v>68</v>
      </c>
      <c r="D90" s="20">
        <v>87</v>
      </c>
      <c r="E90" s="20">
        <v>77</v>
      </c>
      <c r="F90" s="20">
        <v>76</v>
      </c>
      <c r="G90" s="20">
        <v>83</v>
      </c>
      <c r="H90" s="20">
        <v>86</v>
      </c>
      <c r="I90" s="20">
        <v>93</v>
      </c>
      <c r="J90" s="20">
        <v>73</v>
      </c>
      <c r="K90" s="20">
        <v>94</v>
      </c>
      <c r="L90" s="20">
        <v>84</v>
      </c>
      <c r="M90" s="20">
        <v>82</v>
      </c>
      <c r="N90" s="37">
        <v>92</v>
      </c>
      <c r="O90" s="43"/>
      <c r="P90" s="44">
        <f>VLOOKUP(A90,LincsData2,4,FALSE)</f>
        <v>204.74849397590361</v>
      </c>
      <c r="Q90" s="45">
        <f>VLOOKUP(A90,LincsData2,5,FALSE)</f>
        <v>7860.12</v>
      </c>
      <c r="R90" s="20" t="s">
        <v>332</v>
      </c>
      <c r="S90" s="20" t="s">
        <v>386</v>
      </c>
      <c r="T90" s="13">
        <f t="shared" si="26"/>
        <v>5053.9041164658629</v>
      </c>
      <c r="U90" s="10">
        <f t="shared" si="27"/>
        <v>38.389146837510019</v>
      </c>
      <c r="V90" t="s">
        <v>492</v>
      </c>
      <c r="W90" t="s">
        <v>353</v>
      </c>
    </row>
    <row r="91" spans="1:23" x14ac:dyDescent="0.25">
      <c r="A91" s="42" t="s">
        <v>89</v>
      </c>
      <c r="B91" s="42" t="e">
        <v>#N/A</v>
      </c>
      <c r="C91" s="20">
        <v>186</v>
      </c>
      <c r="D91" s="20">
        <v>180</v>
      </c>
      <c r="E91" s="20">
        <v>187</v>
      </c>
      <c r="F91" s="20">
        <v>182</v>
      </c>
      <c r="G91" s="20">
        <v>191</v>
      </c>
      <c r="H91" s="20">
        <v>194</v>
      </c>
      <c r="I91" s="20">
        <v>194</v>
      </c>
      <c r="J91" s="20">
        <v>188</v>
      </c>
      <c r="K91" s="20">
        <v>188</v>
      </c>
      <c r="L91" s="20">
        <v>187</v>
      </c>
      <c r="M91" s="20">
        <v>186</v>
      </c>
      <c r="N91" s="37">
        <v>143</v>
      </c>
      <c r="O91" s="20"/>
      <c r="P91" s="44">
        <f>VLOOKUP(A91,LincsData2,4,FALSE)</f>
        <v>783.14081325301208</v>
      </c>
      <c r="Q91" s="45">
        <f>VLOOKUP(A91,LincsData2,5,FALSE)</f>
        <v>23222.22</v>
      </c>
      <c r="R91" s="20" t="s">
        <v>332</v>
      </c>
      <c r="S91" s="20" t="s">
        <v>386</v>
      </c>
      <c r="T91" s="13">
        <f t="shared" si="26"/>
        <v>5053.9041164658629</v>
      </c>
      <c r="U91" s="10">
        <f t="shared" si="27"/>
        <v>29.652674981322313</v>
      </c>
      <c r="V91" t="s">
        <v>492</v>
      </c>
      <c r="W91" t="s">
        <v>353</v>
      </c>
    </row>
    <row r="92" spans="1:23" x14ac:dyDescent="0.25">
      <c r="A92" s="48" t="s">
        <v>86</v>
      </c>
      <c r="B92" s="42" t="e">
        <v>#N/A</v>
      </c>
      <c r="C92" s="20">
        <v>180</v>
      </c>
      <c r="D92" s="20">
        <v>181</v>
      </c>
      <c r="E92" s="20">
        <v>180</v>
      </c>
      <c r="F92" s="20">
        <v>182</v>
      </c>
      <c r="G92" s="20">
        <v>192</v>
      </c>
      <c r="H92" s="20">
        <v>192</v>
      </c>
      <c r="I92" s="20">
        <v>192</v>
      </c>
      <c r="J92" s="20">
        <v>192</v>
      </c>
      <c r="K92" s="20">
        <v>192</v>
      </c>
      <c r="L92" s="20">
        <v>192</v>
      </c>
      <c r="M92" s="20">
        <v>192</v>
      </c>
      <c r="N92" s="37"/>
      <c r="O92" s="20"/>
      <c r="P92" s="44">
        <f>VLOOKUP(A92,LincsData2,4,FALSE)</f>
        <v>97.684738955823377</v>
      </c>
      <c r="Q92" s="44">
        <f>VLOOKUP(A92,LincsData2,5,FALSE)</f>
        <v>5016.5066666666689</v>
      </c>
      <c r="R92" s="20" t="s">
        <v>332</v>
      </c>
      <c r="S92" s="20" t="s">
        <v>386</v>
      </c>
      <c r="T92" s="13">
        <f t="shared" si="26"/>
        <v>5053.9041164658629</v>
      </c>
      <c r="U92" s="10">
        <f t="shared" si="27"/>
        <v>51.354046909367462</v>
      </c>
      <c r="V92" t="s">
        <v>492</v>
      </c>
      <c r="W92" t="s">
        <v>353</v>
      </c>
    </row>
    <row r="93" spans="1:23" x14ac:dyDescent="0.25">
      <c r="A93" s="42" t="s">
        <v>91</v>
      </c>
      <c r="B93" s="42" t="s">
        <v>259</v>
      </c>
      <c r="C93" s="20">
        <v>112</v>
      </c>
      <c r="D93" s="20">
        <v>120</v>
      </c>
      <c r="E93" s="20">
        <v>120</v>
      </c>
      <c r="F93" s="20">
        <v>150</v>
      </c>
      <c r="G93" s="20">
        <v>150</v>
      </c>
      <c r="H93" s="20">
        <v>150</v>
      </c>
      <c r="I93" s="20">
        <v>150</v>
      </c>
      <c r="J93" s="20">
        <v>179</v>
      </c>
      <c r="K93" s="20">
        <v>180</v>
      </c>
      <c r="L93" s="20">
        <v>177</v>
      </c>
      <c r="M93" s="20">
        <v>180</v>
      </c>
      <c r="N93" s="37">
        <v>97</v>
      </c>
      <c r="O93" s="20"/>
      <c r="P93" s="22">
        <f t="shared" ref="P93:P94" si="29">2590/COUNTIF(R:R,R93)</f>
        <v>518</v>
      </c>
      <c r="Q93" s="22">
        <f t="shared" ref="Q93:Q94" si="30">53146/COUNTIF(R:R,R93)</f>
        <v>10629.2</v>
      </c>
      <c r="R93" s="20" t="s">
        <v>356</v>
      </c>
      <c r="S93" s="20" t="s">
        <v>386</v>
      </c>
      <c r="T93" s="13">
        <f t="shared" si="26"/>
        <v>2590</v>
      </c>
      <c r="U93" s="10">
        <f t="shared" si="27"/>
        <v>20.519691119691121</v>
      </c>
      <c r="V93" t="s">
        <v>426</v>
      </c>
      <c r="W93" t="s">
        <v>353</v>
      </c>
    </row>
    <row r="94" spans="1:23" x14ac:dyDescent="0.25">
      <c r="A94" s="42" t="s">
        <v>92</v>
      </c>
      <c r="B94" s="42" t="s">
        <v>260</v>
      </c>
      <c r="C94" s="20">
        <v>111</v>
      </c>
      <c r="D94" s="20">
        <v>120</v>
      </c>
      <c r="E94" s="20">
        <v>120</v>
      </c>
      <c r="F94" s="20">
        <v>120</v>
      </c>
      <c r="G94" s="20">
        <v>120</v>
      </c>
      <c r="H94" s="20">
        <v>120</v>
      </c>
      <c r="I94" s="20">
        <v>150</v>
      </c>
      <c r="J94" s="20">
        <v>150</v>
      </c>
      <c r="K94" s="20">
        <v>150</v>
      </c>
      <c r="L94" s="20">
        <v>149</v>
      </c>
      <c r="M94" s="20">
        <v>150</v>
      </c>
      <c r="N94" s="37">
        <v>98</v>
      </c>
      <c r="O94" s="20"/>
      <c r="P94" s="22">
        <f t="shared" si="29"/>
        <v>518</v>
      </c>
      <c r="Q94" s="22">
        <f t="shared" si="30"/>
        <v>10629.2</v>
      </c>
      <c r="R94" s="20" t="s">
        <v>356</v>
      </c>
      <c r="S94" s="20" t="s">
        <v>386</v>
      </c>
      <c r="T94" s="13">
        <f t="shared" si="26"/>
        <v>2590</v>
      </c>
      <c r="U94" s="10">
        <f t="shared" si="27"/>
        <v>20.519691119691121</v>
      </c>
      <c r="V94" t="s">
        <v>426</v>
      </c>
      <c r="W94" t="s">
        <v>353</v>
      </c>
    </row>
    <row r="95" spans="1:23" x14ac:dyDescent="0.25">
      <c r="A95" s="42" t="s">
        <v>93</v>
      </c>
      <c r="B95" s="42" t="s">
        <v>261</v>
      </c>
      <c r="C95" s="20">
        <v>202</v>
      </c>
      <c r="D95" s="20">
        <v>210</v>
      </c>
      <c r="E95" s="20">
        <v>210</v>
      </c>
      <c r="F95" s="20">
        <v>210</v>
      </c>
      <c r="G95" s="20">
        <v>210</v>
      </c>
      <c r="H95" s="20">
        <v>243</v>
      </c>
      <c r="I95" s="20">
        <v>239</v>
      </c>
      <c r="J95" s="20">
        <v>239</v>
      </c>
      <c r="K95" s="20">
        <v>239</v>
      </c>
      <c r="L95" s="20">
        <v>239</v>
      </c>
      <c r="M95" s="20">
        <v>237</v>
      </c>
      <c r="N95" s="37">
        <v>99</v>
      </c>
      <c r="O95" s="20"/>
      <c r="P95" s="22">
        <f>3846/COUNTIF(R:R,R95)</f>
        <v>641</v>
      </c>
      <c r="Q95" s="22">
        <f>386566/COUNTIF(R:R,R95)/2</f>
        <v>32213.833333333332</v>
      </c>
      <c r="R95" s="20" t="s">
        <v>352</v>
      </c>
      <c r="S95" s="20" t="s">
        <v>386</v>
      </c>
      <c r="T95" s="13">
        <f t="shared" si="26"/>
        <v>3846</v>
      </c>
      <c r="U95" s="10">
        <f t="shared" si="27"/>
        <v>50.255590223608941</v>
      </c>
      <c r="V95" t="s">
        <v>461</v>
      </c>
      <c r="W95" t="s">
        <v>353</v>
      </c>
    </row>
    <row r="96" spans="1:23" x14ac:dyDescent="0.25">
      <c r="A96" s="42" t="s">
        <v>94</v>
      </c>
      <c r="B96" s="42" t="s">
        <v>262</v>
      </c>
      <c r="C96" s="20">
        <v>114</v>
      </c>
      <c r="D96" s="20">
        <v>113</v>
      </c>
      <c r="E96" s="20">
        <v>124</v>
      </c>
      <c r="F96" s="20">
        <v>150</v>
      </c>
      <c r="G96" s="20">
        <v>150</v>
      </c>
      <c r="H96" s="20">
        <v>151</v>
      </c>
      <c r="I96" s="20">
        <v>150</v>
      </c>
      <c r="J96" s="20">
        <v>150</v>
      </c>
      <c r="K96" s="20">
        <v>151</v>
      </c>
      <c r="L96" s="20">
        <v>150</v>
      </c>
      <c r="M96" s="20">
        <v>150</v>
      </c>
      <c r="N96" s="37">
        <v>102</v>
      </c>
      <c r="O96" s="43"/>
      <c r="P96" s="22">
        <v>1075</v>
      </c>
      <c r="Q96" s="22">
        <v>9900</v>
      </c>
      <c r="R96" s="20" t="s">
        <v>465</v>
      </c>
      <c r="S96" s="20" t="s">
        <v>415</v>
      </c>
      <c r="T96" s="13">
        <f t="shared" si="26"/>
        <v>1075</v>
      </c>
      <c r="U96" s="10">
        <f t="shared" si="27"/>
        <v>9.2093023255813957</v>
      </c>
      <c r="W96" t="s">
        <v>353</v>
      </c>
    </row>
    <row r="97" spans="1:23" x14ac:dyDescent="0.25">
      <c r="A97" s="42" t="s">
        <v>95</v>
      </c>
      <c r="B97" s="42" t="s">
        <v>263</v>
      </c>
      <c r="C97" s="20">
        <v>110</v>
      </c>
      <c r="D97" s="20">
        <v>120</v>
      </c>
      <c r="E97" s="20">
        <v>115</v>
      </c>
      <c r="F97" s="20">
        <v>120</v>
      </c>
      <c r="G97" s="20">
        <v>120</v>
      </c>
      <c r="H97" s="20">
        <v>124</v>
      </c>
      <c r="I97" s="20">
        <v>154</v>
      </c>
      <c r="J97" s="20">
        <v>153</v>
      </c>
      <c r="K97" s="20">
        <v>150</v>
      </c>
      <c r="L97" s="20">
        <v>152</v>
      </c>
      <c r="M97" s="20">
        <v>148</v>
      </c>
      <c r="N97" s="37">
        <v>101</v>
      </c>
      <c r="O97" s="20"/>
      <c r="P97" s="22">
        <f>2670/COUNTIF(R:R,R97)</f>
        <v>381.42857142857144</v>
      </c>
      <c r="Q97" s="22">
        <f>65000/COUNTIF(R:R,R97)</f>
        <v>9285.7142857142862</v>
      </c>
      <c r="R97" s="20" t="s">
        <v>310</v>
      </c>
      <c r="S97" s="20" t="s">
        <v>386</v>
      </c>
      <c r="T97" s="13">
        <f t="shared" si="26"/>
        <v>2670.0000000000005</v>
      </c>
      <c r="U97" s="10">
        <f t="shared" si="27"/>
        <v>24.344569288389515</v>
      </c>
      <c r="V97" t="s">
        <v>425</v>
      </c>
      <c r="W97" t="s">
        <v>353</v>
      </c>
    </row>
    <row r="98" spans="1:23" x14ac:dyDescent="0.25">
      <c r="A98" s="42" t="s">
        <v>96</v>
      </c>
      <c r="B98" s="42" t="s">
        <v>178</v>
      </c>
      <c r="C98" s="20">
        <v>117</v>
      </c>
      <c r="D98" s="20">
        <v>118</v>
      </c>
      <c r="E98" s="20">
        <v>120</v>
      </c>
      <c r="F98" s="20">
        <v>120</v>
      </c>
      <c r="G98" s="20">
        <v>120</v>
      </c>
      <c r="H98" s="20">
        <v>118</v>
      </c>
      <c r="I98" s="20">
        <v>119</v>
      </c>
      <c r="J98" s="20">
        <v>118</v>
      </c>
      <c r="K98" s="20">
        <v>119</v>
      </c>
      <c r="L98" s="20">
        <v>120</v>
      </c>
      <c r="M98" s="20">
        <v>118</v>
      </c>
      <c r="N98" s="37">
        <v>100</v>
      </c>
      <c r="O98" s="20"/>
      <c r="P98" s="22">
        <v>247</v>
      </c>
      <c r="Q98" s="22">
        <f>37400</f>
        <v>37400</v>
      </c>
      <c r="R98" s="20" t="s">
        <v>500</v>
      </c>
      <c r="S98" s="20" t="s">
        <v>386</v>
      </c>
      <c r="T98" s="13">
        <f t="shared" ref="T98:T129" si="31">SUMIF(R:R,R98,P:P)</f>
        <v>247</v>
      </c>
      <c r="U98" s="10">
        <f t="shared" si="27"/>
        <v>151.41700404858301</v>
      </c>
      <c r="W98" t="s">
        <v>353</v>
      </c>
    </row>
    <row r="99" spans="1:23" x14ac:dyDescent="0.25">
      <c r="A99" s="42" t="s">
        <v>97</v>
      </c>
      <c r="B99" s="42" t="e">
        <v>#N/A</v>
      </c>
      <c r="C99" s="20">
        <v>178</v>
      </c>
      <c r="D99" s="20">
        <v>175</v>
      </c>
      <c r="E99" s="20">
        <v>201</v>
      </c>
      <c r="F99" s="20">
        <v>179</v>
      </c>
      <c r="G99" s="20">
        <v>204</v>
      </c>
      <c r="H99" s="20">
        <v>204</v>
      </c>
      <c r="I99" s="20">
        <v>173</v>
      </c>
      <c r="J99" s="20">
        <v>232</v>
      </c>
      <c r="K99" s="20">
        <v>204</v>
      </c>
      <c r="L99" s="20">
        <v>204</v>
      </c>
      <c r="M99" s="20">
        <v>202</v>
      </c>
      <c r="N99" s="37">
        <v>144</v>
      </c>
      <c r="O99" s="20"/>
      <c r="P99" s="22">
        <f>3846/COUNTIF(R:R,R99)</f>
        <v>641</v>
      </c>
      <c r="Q99" s="22">
        <f>386566/COUNTIF(R:R,R99)/2</f>
        <v>32213.833333333332</v>
      </c>
      <c r="R99" s="20" t="s">
        <v>352</v>
      </c>
      <c r="S99" s="20" t="s">
        <v>386</v>
      </c>
      <c r="T99" s="13">
        <f t="shared" si="31"/>
        <v>3846</v>
      </c>
      <c r="U99" s="10">
        <f t="shared" si="27"/>
        <v>50.255590223608941</v>
      </c>
      <c r="V99" t="s">
        <v>461</v>
      </c>
      <c r="W99" t="s">
        <v>353</v>
      </c>
    </row>
    <row r="100" spans="1:23" x14ac:dyDescent="0.25">
      <c r="A100" s="42" t="s">
        <v>98</v>
      </c>
      <c r="B100" s="42" t="e">
        <v>#N/A</v>
      </c>
      <c r="C100" s="20">
        <v>192</v>
      </c>
      <c r="D100" s="20">
        <v>192</v>
      </c>
      <c r="E100" s="20">
        <v>185</v>
      </c>
      <c r="F100" s="20">
        <v>194</v>
      </c>
      <c r="G100" s="20">
        <v>192</v>
      </c>
      <c r="H100" s="20">
        <v>195</v>
      </c>
      <c r="I100" s="20">
        <v>193</v>
      </c>
      <c r="J100" s="20">
        <v>210</v>
      </c>
      <c r="K100" s="20">
        <v>190</v>
      </c>
      <c r="L100" s="20">
        <v>191</v>
      </c>
      <c r="M100" s="20">
        <v>194</v>
      </c>
      <c r="N100" s="37">
        <v>145</v>
      </c>
      <c r="O100" s="43"/>
      <c r="P100" s="22">
        <f>12238/COUNTIF(R:R,R100)</f>
        <v>941.38461538461536</v>
      </c>
      <c r="Q100" s="22">
        <f>336465/COUNTIF(R:R,R100)</f>
        <v>25881.923076923078</v>
      </c>
      <c r="R100" s="20" t="s">
        <v>342</v>
      </c>
      <c r="S100" s="20" t="s">
        <v>386</v>
      </c>
      <c r="T100" s="13">
        <f t="shared" si="31"/>
        <v>12238</v>
      </c>
      <c r="U100" s="10">
        <f t="shared" si="27"/>
        <v>27.49346298414774</v>
      </c>
      <c r="W100" t="s">
        <v>353</v>
      </c>
    </row>
    <row r="101" spans="1:23" x14ac:dyDescent="0.25">
      <c r="A101" s="42" t="s">
        <v>99</v>
      </c>
      <c r="B101" s="42" t="s">
        <v>264</v>
      </c>
      <c r="C101" s="20">
        <v>120</v>
      </c>
      <c r="D101" s="20">
        <v>120</v>
      </c>
      <c r="E101" s="20">
        <v>119</v>
      </c>
      <c r="F101" s="20">
        <v>120</v>
      </c>
      <c r="G101" s="20">
        <v>118</v>
      </c>
      <c r="H101" s="20">
        <v>121</v>
      </c>
      <c r="I101" s="20">
        <v>119</v>
      </c>
      <c r="J101" s="20">
        <v>119</v>
      </c>
      <c r="K101" s="20">
        <v>120</v>
      </c>
      <c r="L101" s="20">
        <v>120</v>
      </c>
      <c r="M101" s="20">
        <v>120</v>
      </c>
      <c r="N101" s="37">
        <v>104</v>
      </c>
      <c r="O101" s="20"/>
      <c r="P101" s="22">
        <f>2926/5</f>
        <v>585.20000000000005</v>
      </c>
      <c r="Q101" s="22">
        <f>713526/20</f>
        <v>35676.300000000003</v>
      </c>
      <c r="R101" s="20" t="s">
        <v>343</v>
      </c>
      <c r="S101" s="20" t="s">
        <v>386</v>
      </c>
      <c r="T101" s="13">
        <f t="shared" si="31"/>
        <v>2926</v>
      </c>
      <c r="U101" s="10">
        <f t="shared" si="27"/>
        <v>60.964285714285715</v>
      </c>
      <c r="W101" t="s">
        <v>353</v>
      </c>
    </row>
    <row r="102" spans="1:23" x14ac:dyDescent="0.25">
      <c r="A102" s="42" t="s">
        <v>100</v>
      </c>
      <c r="B102" s="42" t="s">
        <v>265</v>
      </c>
      <c r="C102" s="20">
        <v>172</v>
      </c>
      <c r="D102" s="20">
        <v>137</v>
      </c>
      <c r="E102" s="20">
        <v>150</v>
      </c>
      <c r="F102" s="20">
        <v>173</v>
      </c>
      <c r="G102" s="20">
        <v>159</v>
      </c>
      <c r="H102" s="20">
        <v>179</v>
      </c>
      <c r="I102" s="20">
        <v>180</v>
      </c>
      <c r="J102" s="20">
        <v>150</v>
      </c>
      <c r="K102" s="20">
        <v>149</v>
      </c>
      <c r="L102" s="20">
        <v>150</v>
      </c>
      <c r="M102" s="20">
        <v>180</v>
      </c>
      <c r="N102" s="37">
        <v>105</v>
      </c>
      <c r="O102" s="20"/>
      <c r="P102" s="22">
        <v>671</v>
      </c>
      <c r="Q102" s="44">
        <f>P102*typical_cost</f>
        <v>17553.36</v>
      </c>
      <c r="R102" s="20" t="s">
        <v>480</v>
      </c>
      <c r="S102" s="20" t="s">
        <v>387</v>
      </c>
      <c r="T102" s="13">
        <f t="shared" si="31"/>
        <v>671</v>
      </c>
      <c r="U102" s="10">
        <f t="shared" si="27"/>
        <v>26.16</v>
      </c>
      <c r="W102" t="s">
        <v>353</v>
      </c>
    </row>
    <row r="103" spans="1:23" x14ac:dyDescent="0.25">
      <c r="A103" s="42" t="s">
        <v>101</v>
      </c>
      <c r="B103" s="42" t="s">
        <v>266</v>
      </c>
      <c r="C103" s="20">
        <v>180</v>
      </c>
      <c r="D103" s="20">
        <v>180</v>
      </c>
      <c r="E103" s="20">
        <v>180</v>
      </c>
      <c r="F103" s="20">
        <v>180</v>
      </c>
      <c r="G103" s="20">
        <v>180</v>
      </c>
      <c r="H103" s="20">
        <v>192</v>
      </c>
      <c r="I103" s="20">
        <v>192</v>
      </c>
      <c r="J103" s="20">
        <v>192</v>
      </c>
      <c r="K103" s="20">
        <v>192</v>
      </c>
      <c r="L103" s="20">
        <v>192</v>
      </c>
      <c r="M103" s="20">
        <v>191</v>
      </c>
      <c r="N103" s="37">
        <v>106</v>
      </c>
      <c r="O103" s="20"/>
      <c r="P103" s="22">
        <f>Q103/U103</f>
        <v>841.41632524983413</v>
      </c>
      <c r="Q103" s="22">
        <v>23467</v>
      </c>
      <c r="R103" s="20" t="s">
        <v>307</v>
      </c>
      <c r="S103" s="20" t="s">
        <v>386</v>
      </c>
      <c r="T103" s="13">
        <f t="shared" si="31"/>
        <v>3945.0000000000005</v>
      </c>
      <c r="U103" s="10">
        <f>SUMIF(R:R,R103,Q:Q)/3945</f>
        <v>27.889879594423316</v>
      </c>
      <c r="W103" t="s">
        <v>353</v>
      </c>
    </row>
    <row r="104" spans="1:23" x14ac:dyDescent="0.25">
      <c r="A104" s="42" t="s">
        <v>102</v>
      </c>
      <c r="B104" s="42" t="s">
        <v>173</v>
      </c>
      <c r="C104" s="20">
        <v>158</v>
      </c>
      <c r="D104" s="20">
        <v>176</v>
      </c>
      <c r="E104" s="20">
        <v>156</v>
      </c>
      <c r="F104" s="20">
        <v>177</v>
      </c>
      <c r="G104" s="20">
        <v>155</v>
      </c>
      <c r="H104" s="20">
        <v>172</v>
      </c>
      <c r="I104" s="20">
        <v>180</v>
      </c>
      <c r="J104" s="20">
        <v>172</v>
      </c>
      <c r="K104" s="20">
        <v>171</v>
      </c>
      <c r="L104" s="20">
        <v>174</v>
      </c>
      <c r="M104" s="20">
        <v>181</v>
      </c>
      <c r="N104" s="37">
        <v>108</v>
      </c>
      <c r="O104" s="43"/>
      <c r="P104" s="22">
        <f>16446/COUNTIF(R:R,R104)</f>
        <v>657.84</v>
      </c>
      <c r="Q104" s="22">
        <f t="shared" ref="Q104:Q105" si="32">278209.64/COUNTIF(R:R,R104)</f>
        <v>11128.385600000001</v>
      </c>
      <c r="R104" s="20" t="s">
        <v>170</v>
      </c>
      <c r="S104" s="20" t="s">
        <v>386</v>
      </c>
      <c r="T104" s="13">
        <f t="shared" si="31"/>
        <v>16446</v>
      </c>
      <c r="U104" s="10">
        <f t="shared" si="27"/>
        <v>16.916553569256962</v>
      </c>
      <c r="W104" t="s">
        <v>353</v>
      </c>
    </row>
    <row r="105" spans="1:23" x14ac:dyDescent="0.25">
      <c r="A105" s="42" t="s">
        <v>103</v>
      </c>
      <c r="B105" s="42" t="s">
        <v>267</v>
      </c>
      <c r="C105" s="20">
        <v>128</v>
      </c>
      <c r="D105" s="20">
        <v>128</v>
      </c>
      <c r="E105" s="20">
        <v>123</v>
      </c>
      <c r="F105" s="20">
        <v>128</v>
      </c>
      <c r="G105" s="20">
        <v>128</v>
      </c>
      <c r="H105" s="20">
        <v>128</v>
      </c>
      <c r="I105" s="20">
        <v>157</v>
      </c>
      <c r="J105" s="20">
        <v>160</v>
      </c>
      <c r="K105" s="20">
        <v>160</v>
      </c>
      <c r="L105" s="20">
        <v>160</v>
      </c>
      <c r="M105" s="20">
        <v>155</v>
      </c>
      <c r="N105" s="37">
        <v>109</v>
      </c>
      <c r="O105" s="43"/>
      <c r="P105" s="22">
        <f>16446/COUNTIF(R:R,R105)</f>
        <v>657.84</v>
      </c>
      <c r="Q105" s="22">
        <f t="shared" si="32"/>
        <v>11128.385600000001</v>
      </c>
      <c r="R105" s="20" t="s">
        <v>170</v>
      </c>
      <c r="S105" s="20" t="s">
        <v>386</v>
      </c>
      <c r="T105" s="13">
        <f t="shared" si="31"/>
        <v>16446</v>
      </c>
      <c r="U105" s="10">
        <f t="shared" si="27"/>
        <v>16.916553569256962</v>
      </c>
      <c r="W105" t="s">
        <v>353</v>
      </c>
    </row>
    <row r="106" spans="1:23" x14ac:dyDescent="0.25">
      <c r="A106" s="42" t="s">
        <v>104</v>
      </c>
      <c r="B106" s="42" t="s">
        <v>268</v>
      </c>
      <c r="C106" s="20">
        <v>143</v>
      </c>
      <c r="D106" s="20">
        <v>120</v>
      </c>
      <c r="E106" s="20">
        <v>178</v>
      </c>
      <c r="F106" s="20">
        <v>179</v>
      </c>
      <c r="G106" s="20">
        <v>173</v>
      </c>
      <c r="H106" s="20">
        <v>184</v>
      </c>
      <c r="I106" s="20">
        <v>183</v>
      </c>
      <c r="J106" s="20">
        <v>182</v>
      </c>
      <c r="K106" s="20">
        <v>185</v>
      </c>
      <c r="L106" s="20">
        <v>185</v>
      </c>
      <c r="M106" s="20">
        <v>186</v>
      </c>
      <c r="N106" s="37">
        <v>110</v>
      </c>
      <c r="O106" s="20"/>
      <c r="P106" s="22">
        <f>12238/COUNTIF(R:R,R106)</f>
        <v>941.38461538461536</v>
      </c>
      <c r="Q106" s="22">
        <f>336465/COUNTIF(R:R,R106)</f>
        <v>25881.923076923078</v>
      </c>
      <c r="R106" s="20" t="s">
        <v>342</v>
      </c>
      <c r="S106" s="20" t="s">
        <v>386</v>
      </c>
      <c r="T106" s="13">
        <f t="shared" si="31"/>
        <v>12238</v>
      </c>
      <c r="U106" s="10">
        <f t="shared" si="27"/>
        <v>27.49346298414774</v>
      </c>
      <c r="W106" t="s">
        <v>353</v>
      </c>
    </row>
    <row r="107" spans="1:23" x14ac:dyDescent="0.25">
      <c r="A107" s="42" t="s">
        <v>105</v>
      </c>
      <c r="B107" s="42" t="e">
        <v>#N/A</v>
      </c>
      <c r="C107" s="20">
        <v>174</v>
      </c>
      <c r="D107" s="20">
        <v>185</v>
      </c>
      <c r="E107" s="20">
        <v>188</v>
      </c>
      <c r="F107" s="20">
        <v>197</v>
      </c>
      <c r="G107" s="20">
        <v>212</v>
      </c>
      <c r="H107" s="20">
        <v>213</v>
      </c>
      <c r="I107" s="20">
        <v>216</v>
      </c>
      <c r="J107" s="20">
        <v>216</v>
      </c>
      <c r="K107" s="20">
        <v>216</v>
      </c>
      <c r="L107" s="20">
        <v>217</v>
      </c>
      <c r="M107" s="20">
        <v>217</v>
      </c>
      <c r="N107" s="37">
        <v>112</v>
      </c>
      <c r="O107" s="43"/>
      <c r="P107" s="22">
        <f>3846/COUNTIF(R:R,R107)</f>
        <v>641</v>
      </c>
      <c r="Q107" s="22">
        <f>386566/COUNTIF(R:R,R107)/2</f>
        <v>32213.833333333332</v>
      </c>
      <c r="R107" s="20" t="s">
        <v>352</v>
      </c>
      <c r="S107" s="20" t="s">
        <v>386</v>
      </c>
      <c r="T107" s="13">
        <f t="shared" si="31"/>
        <v>3846</v>
      </c>
      <c r="U107" s="10">
        <f t="shared" si="27"/>
        <v>50.255590223608941</v>
      </c>
      <c r="V107" t="s">
        <v>461</v>
      </c>
      <c r="W107" t="s">
        <v>353</v>
      </c>
    </row>
    <row r="108" spans="1:23" x14ac:dyDescent="0.25">
      <c r="A108" s="42" t="s">
        <v>106</v>
      </c>
      <c r="B108" s="42" t="s">
        <v>269</v>
      </c>
      <c r="C108" s="20">
        <v>128</v>
      </c>
      <c r="D108" s="20">
        <v>155</v>
      </c>
      <c r="E108" s="20">
        <v>158</v>
      </c>
      <c r="F108" s="20">
        <v>159</v>
      </c>
      <c r="G108" s="20">
        <v>158</v>
      </c>
      <c r="H108" s="20">
        <v>158</v>
      </c>
      <c r="I108" s="20">
        <v>154</v>
      </c>
      <c r="J108" s="20">
        <v>155</v>
      </c>
      <c r="K108" s="20">
        <v>153</v>
      </c>
      <c r="L108" s="20">
        <v>136</v>
      </c>
      <c r="M108" s="20">
        <v>153</v>
      </c>
      <c r="N108" s="37">
        <v>111</v>
      </c>
      <c r="O108" s="20"/>
      <c r="P108" s="22">
        <f>16446/COUNTIF(R:R,R108)</f>
        <v>657.84</v>
      </c>
      <c r="Q108" s="22">
        <f>278209.64/COUNTIF(R:R,R108)</f>
        <v>11128.385600000001</v>
      </c>
      <c r="R108" s="20" t="s">
        <v>170</v>
      </c>
      <c r="S108" s="20" t="s">
        <v>386</v>
      </c>
      <c r="T108" s="13">
        <f t="shared" si="31"/>
        <v>16446</v>
      </c>
      <c r="U108" s="10">
        <f t="shared" si="27"/>
        <v>16.916553569256962</v>
      </c>
      <c r="W108" t="s">
        <v>353</v>
      </c>
    </row>
    <row r="109" spans="1:23" x14ac:dyDescent="0.25">
      <c r="A109" s="42" t="s">
        <v>107</v>
      </c>
      <c r="B109" s="42" t="s">
        <v>270</v>
      </c>
      <c r="C109" s="20">
        <v>111</v>
      </c>
      <c r="D109" s="20">
        <v>113</v>
      </c>
      <c r="E109" s="20">
        <v>119</v>
      </c>
      <c r="F109" s="20">
        <v>122</v>
      </c>
      <c r="G109" s="20">
        <v>123</v>
      </c>
      <c r="H109" s="20">
        <v>154</v>
      </c>
      <c r="I109" s="20">
        <v>158</v>
      </c>
      <c r="J109" s="20">
        <v>147</v>
      </c>
      <c r="K109" s="20">
        <v>154</v>
      </c>
      <c r="L109" s="20">
        <v>159</v>
      </c>
      <c r="M109" s="20">
        <v>158</v>
      </c>
      <c r="N109" s="37">
        <v>113</v>
      </c>
      <c r="O109" s="20"/>
      <c r="P109" s="22">
        <f>2670/COUNTIF(R:R,R109)</f>
        <v>381.42857142857144</v>
      </c>
      <c r="Q109" s="22">
        <f>65000/COUNTIF(R:R,R109)</f>
        <v>9285.7142857142862</v>
      </c>
      <c r="R109" s="20" t="s">
        <v>310</v>
      </c>
      <c r="S109" s="20" t="s">
        <v>386</v>
      </c>
      <c r="T109" s="13">
        <f t="shared" si="31"/>
        <v>2670.0000000000005</v>
      </c>
      <c r="U109" s="10">
        <f t="shared" si="27"/>
        <v>24.344569288389515</v>
      </c>
      <c r="V109" t="s">
        <v>425</v>
      </c>
      <c r="W109" t="s">
        <v>353</v>
      </c>
    </row>
    <row r="110" spans="1:23" x14ac:dyDescent="0.25">
      <c r="A110" s="42" t="s">
        <v>108</v>
      </c>
      <c r="B110" s="42" t="e">
        <v>#N/A</v>
      </c>
      <c r="C110" s="20">
        <v>121</v>
      </c>
      <c r="D110" s="20">
        <v>121</v>
      </c>
      <c r="E110" s="20">
        <v>121</v>
      </c>
      <c r="F110" s="20">
        <v>124</v>
      </c>
      <c r="G110" s="20">
        <v>121</v>
      </c>
      <c r="H110" s="20">
        <v>122</v>
      </c>
      <c r="I110" s="20">
        <v>126</v>
      </c>
      <c r="J110" s="20">
        <v>151</v>
      </c>
      <c r="K110" s="20">
        <v>152</v>
      </c>
      <c r="L110" s="20">
        <v>152</v>
      </c>
      <c r="M110" s="20">
        <v>150</v>
      </c>
      <c r="N110" s="37">
        <v>114</v>
      </c>
      <c r="O110" s="20"/>
      <c r="P110" s="22">
        <f>12238/COUNTIF(R:R,R110)</f>
        <v>941.38461538461536</v>
      </c>
      <c r="Q110" s="22">
        <f>336465/COUNTIF(R:R,R110)</f>
        <v>25881.923076923078</v>
      </c>
      <c r="R110" s="46" t="s">
        <v>342</v>
      </c>
      <c r="S110" s="20" t="s">
        <v>386</v>
      </c>
      <c r="T110" s="13">
        <f t="shared" si="31"/>
        <v>12238</v>
      </c>
      <c r="U110" s="10">
        <f t="shared" si="27"/>
        <v>27.49346298414774</v>
      </c>
      <c r="W110" t="s">
        <v>353</v>
      </c>
    </row>
    <row r="111" spans="1:23" x14ac:dyDescent="0.25">
      <c r="A111" s="42" t="s">
        <v>109</v>
      </c>
      <c r="B111" s="42" t="s">
        <v>271</v>
      </c>
      <c r="C111" s="20">
        <v>59</v>
      </c>
      <c r="D111" s="20">
        <v>55</v>
      </c>
      <c r="E111" s="20">
        <v>57</v>
      </c>
      <c r="F111" s="20">
        <v>63</v>
      </c>
      <c r="G111" s="20">
        <v>77</v>
      </c>
      <c r="H111" s="20">
        <v>52</v>
      </c>
      <c r="I111" s="20">
        <v>115</v>
      </c>
      <c r="J111" s="20">
        <v>119</v>
      </c>
      <c r="K111" s="20">
        <v>106</v>
      </c>
      <c r="L111" s="20">
        <v>124</v>
      </c>
      <c r="M111" s="20">
        <v>106</v>
      </c>
      <c r="N111" s="37">
        <v>147</v>
      </c>
      <c r="O111" s="43"/>
      <c r="P111" s="44">
        <f>VLOOKUP(A111,LincsData2,4,FALSE)</f>
        <v>123.5203313253012</v>
      </c>
      <c r="Q111" s="45">
        <f>VLOOKUP(A111,LincsData2,5,FALSE)</f>
        <v>5702.7</v>
      </c>
      <c r="R111" s="46" t="s">
        <v>332</v>
      </c>
      <c r="S111" s="20" t="s">
        <v>386</v>
      </c>
      <c r="T111" s="13">
        <f t="shared" si="31"/>
        <v>5053.9041164658629</v>
      </c>
      <c r="U111" s="10">
        <f t="shared" si="27"/>
        <v>46.16810802572622</v>
      </c>
      <c r="V111" t="s">
        <v>492</v>
      </c>
      <c r="W111" t="s">
        <v>353</v>
      </c>
    </row>
    <row r="112" spans="1:23" x14ac:dyDescent="0.25">
      <c r="A112" s="42" t="s">
        <v>110</v>
      </c>
      <c r="B112" s="42" t="s">
        <v>272</v>
      </c>
      <c r="C112" s="20">
        <v>112</v>
      </c>
      <c r="D112" s="20">
        <v>116</v>
      </c>
      <c r="E112" s="20">
        <v>120</v>
      </c>
      <c r="F112" s="20">
        <v>120</v>
      </c>
      <c r="G112" s="20">
        <v>144</v>
      </c>
      <c r="H112" s="20">
        <v>145</v>
      </c>
      <c r="I112" s="20">
        <v>118</v>
      </c>
      <c r="J112" s="20">
        <v>116</v>
      </c>
      <c r="K112" s="20">
        <v>116</v>
      </c>
      <c r="L112" s="20">
        <v>143</v>
      </c>
      <c r="M112" s="20">
        <v>145</v>
      </c>
      <c r="N112" s="37">
        <v>116</v>
      </c>
      <c r="O112" s="43"/>
      <c r="P112" s="22">
        <v>247</v>
      </c>
      <c r="Q112" s="22">
        <v>11611.41</v>
      </c>
      <c r="R112" s="20" t="s">
        <v>481</v>
      </c>
      <c r="S112" s="20" t="s">
        <v>415</v>
      </c>
      <c r="T112" s="13">
        <f t="shared" si="31"/>
        <v>247</v>
      </c>
      <c r="U112" s="10">
        <f t="shared" si="27"/>
        <v>47.00975708502024</v>
      </c>
      <c r="W112" t="s">
        <v>353</v>
      </c>
    </row>
    <row r="113" spans="1:23" x14ac:dyDescent="0.25">
      <c r="A113" s="42" t="s">
        <v>111</v>
      </c>
      <c r="B113" s="42" t="s">
        <v>273</v>
      </c>
      <c r="C113" s="20">
        <v>128</v>
      </c>
      <c r="D113" s="20">
        <v>128</v>
      </c>
      <c r="E113" s="20">
        <v>148</v>
      </c>
      <c r="F113" s="20">
        <v>150</v>
      </c>
      <c r="G113" s="20">
        <v>160</v>
      </c>
      <c r="H113" s="20">
        <v>159</v>
      </c>
      <c r="I113" s="20">
        <v>159</v>
      </c>
      <c r="J113" s="20">
        <v>159</v>
      </c>
      <c r="K113" s="20">
        <v>154</v>
      </c>
      <c r="L113" s="20">
        <v>151</v>
      </c>
      <c r="M113" s="20">
        <v>160</v>
      </c>
      <c r="N113" s="37">
        <v>115</v>
      </c>
      <c r="O113" s="43"/>
      <c r="P113" s="22">
        <v>377</v>
      </c>
      <c r="Q113" s="22">
        <f>P113*24.24</f>
        <v>9138.48</v>
      </c>
      <c r="R113" s="20" t="s">
        <v>482</v>
      </c>
      <c r="S113" s="20" t="s">
        <v>386</v>
      </c>
      <c r="T113" s="13">
        <f t="shared" si="31"/>
        <v>377</v>
      </c>
      <c r="U113" s="10">
        <f t="shared" si="27"/>
        <v>24.24</v>
      </c>
      <c r="W113" t="s">
        <v>353</v>
      </c>
    </row>
    <row r="114" spans="1:23" x14ac:dyDescent="0.25">
      <c r="A114" s="42" t="s">
        <v>112</v>
      </c>
      <c r="B114" s="42" t="e">
        <v>#N/A</v>
      </c>
      <c r="C114" s="20">
        <v>149</v>
      </c>
      <c r="D114" s="20">
        <v>150</v>
      </c>
      <c r="E114" s="20">
        <v>167</v>
      </c>
      <c r="F114" s="20">
        <v>179</v>
      </c>
      <c r="G114" s="20">
        <v>180</v>
      </c>
      <c r="H114" s="20">
        <v>179</v>
      </c>
      <c r="I114" s="20">
        <v>179</v>
      </c>
      <c r="J114" s="20">
        <v>180</v>
      </c>
      <c r="K114" s="20">
        <v>180</v>
      </c>
      <c r="L114" s="20">
        <v>165</v>
      </c>
      <c r="M114" s="20">
        <v>180</v>
      </c>
      <c r="N114" s="37">
        <v>117</v>
      </c>
      <c r="O114" s="43"/>
      <c r="P114" s="22">
        <f>5295/7</f>
        <v>756.42857142857144</v>
      </c>
      <c r="Q114" s="22">
        <f>P114*typical_cost</f>
        <v>19788.17142857143</v>
      </c>
      <c r="R114" s="46" t="s">
        <v>316</v>
      </c>
      <c r="S114" s="20" t="s">
        <v>387</v>
      </c>
      <c r="T114" s="13">
        <f t="shared" si="31"/>
        <v>5295</v>
      </c>
      <c r="U114" s="10">
        <f t="shared" si="27"/>
        <v>26.16</v>
      </c>
      <c r="W114" t="s">
        <v>353</v>
      </c>
    </row>
    <row r="115" spans="1:23" x14ac:dyDescent="0.25">
      <c r="A115" s="42" t="s">
        <v>113</v>
      </c>
      <c r="B115" s="42" t="s">
        <v>274</v>
      </c>
      <c r="C115" s="20">
        <v>150</v>
      </c>
      <c r="D115" s="20">
        <v>180</v>
      </c>
      <c r="E115" s="20">
        <v>180</v>
      </c>
      <c r="F115" s="20">
        <v>180</v>
      </c>
      <c r="G115" s="20">
        <v>180</v>
      </c>
      <c r="H115" s="20">
        <v>180</v>
      </c>
      <c r="I115" s="20">
        <v>180</v>
      </c>
      <c r="J115" s="20">
        <v>180</v>
      </c>
      <c r="K115" s="20">
        <v>180</v>
      </c>
      <c r="L115" s="20">
        <v>179</v>
      </c>
      <c r="M115" s="20">
        <v>183</v>
      </c>
      <c r="N115" s="37">
        <v>118</v>
      </c>
      <c r="O115" s="43"/>
      <c r="P115" s="22">
        <f>5295/7</f>
        <v>756.42857142857144</v>
      </c>
      <c r="Q115" s="22">
        <f>P115*typical_cost</f>
        <v>19788.17142857143</v>
      </c>
      <c r="R115" s="46" t="s">
        <v>316</v>
      </c>
      <c r="S115" s="20" t="s">
        <v>387</v>
      </c>
      <c r="T115" s="13">
        <f t="shared" si="31"/>
        <v>5295</v>
      </c>
      <c r="U115" s="10">
        <f t="shared" si="27"/>
        <v>26.16</v>
      </c>
      <c r="W115" t="s">
        <v>353</v>
      </c>
    </row>
    <row r="116" spans="1:23" x14ac:dyDescent="0.25">
      <c r="A116" s="42" t="s">
        <v>114</v>
      </c>
      <c r="B116" s="42" t="s">
        <v>275</v>
      </c>
      <c r="C116" s="20">
        <v>144</v>
      </c>
      <c r="D116" s="20">
        <v>134</v>
      </c>
      <c r="E116" s="20">
        <v>135</v>
      </c>
      <c r="F116" s="20">
        <v>113</v>
      </c>
      <c r="G116" s="20">
        <v>120</v>
      </c>
      <c r="H116" s="20">
        <v>123</v>
      </c>
      <c r="I116" s="20">
        <v>152</v>
      </c>
      <c r="J116" s="20">
        <v>149</v>
      </c>
      <c r="K116" s="20">
        <v>151</v>
      </c>
      <c r="L116" s="20">
        <v>137</v>
      </c>
      <c r="M116" s="20">
        <v>150</v>
      </c>
      <c r="N116" s="37">
        <v>119</v>
      </c>
      <c r="O116" s="43"/>
      <c r="P116" s="44">
        <f>VLOOKUP(A116,LincsData2,4,FALSE)</f>
        <v>331.7018072289157</v>
      </c>
      <c r="Q116" s="45">
        <f>VLOOKUP(A116,LincsData2,5,FALSE)</f>
        <v>11232</v>
      </c>
      <c r="R116" s="46" t="s">
        <v>332</v>
      </c>
      <c r="S116" s="20" t="s">
        <v>386</v>
      </c>
      <c r="T116" s="13">
        <f t="shared" si="31"/>
        <v>5053.9041164658629</v>
      </c>
      <c r="U116" s="10">
        <f t="shared" si="27"/>
        <v>33.861738933030644</v>
      </c>
      <c r="V116" t="s">
        <v>492</v>
      </c>
      <c r="W116" t="s">
        <v>353</v>
      </c>
    </row>
    <row r="117" spans="1:23" x14ac:dyDescent="0.25">
      <c r="A117" s="42" t="s">
        <v>115</v>
      </c>
      <c r="B117" s="42" t="s">
        <v>175</v>
      </c>
      <c r="C117" s="20">
        <v>150</v>
      </c>
      <c r="D117" s="20">
        <v>154</v>
      </c>
      <c r="E117" s="20">
        <v>146</v>
      </c>
      <c r="F117" s="20">
        <v>146</v>
      </c>
      <c r="G117" s="20">
        <v>136</v>
      </c>
      <c r="H117" s="20">
        <v>144</v>
      </c>
      <c r="I117" s="20">
        <v>150</v>
      </c>
      <c r="J117" s="20">
        <v>150</v>
      </c>
      <c r="K117" s="20">
        <v>155</v>
      </c>
      <c r="L117" s="20">
        <v>150</v>
      </c>
      <c r="M117" s="20">
        <v>153</v>
      </c>
      <c r="N117" s="37">
        <v>120</v>
      </c>
      <c r="O117" s="43"/>
      <c r="P117" s="44">
        <f>VLOOKUP(A117,LincsData2,4,FALSE)</f>
        <v>511.81362951807233</v>
      </c>
      <c r="Q117" s="45">
        <f>VLOOKUP(A117,LincsData2,5,FALSE)</f>
        <v>16015.77</v>
      </c>
      <c r="R117" s="46" t="s">
        <v>332</v>
      </c>
      <c r="S117" s="20" t="s">
        <v>386</v>
      </c>
      <c r="T117" s="13">
        <f t="shared" si="31"/>
        <v>5053.9041164658629</v>
      </c>
      <c r="U117" s="10">
        <f t="shared" si="27"/>
        <v>31.292191290569132</v>
      </c>
      <c r="V117" t="s">
        <v>492</v>
      </c>
      <c r="W117" t="s">
        <v>353</v>
      </c>
    </row>
    <row r="118" spans="1:23" x14ac:dyDescent="0.25">
      <c r="A118" s="42" t="s">
        <v>116</v>
      </c>
      <c r="B118" s="42" t="s">
        <v>276</v>
      </c>
      <c r="C118" s="20">
        <v>121</v>
      </c>
      <c r="D118" s="20">
        <v>131</v>
      </c>
      <c r="E118" s="20">
        <v>155</v>
      </c>
      <c r="F118" s="20">
        <v>153</v>
      </c>
      <c r="G118" s="20">
        <v>146</v>
      </c>
      <c r="H118" s="20">
        <v>154</v>
      </c>
      <c r="I118" s="20">
        <v>158</v>
      </c>
      <c r="J118" s="20">
        <v>156</v>
      </c>
      <c r="K118" s="20">
        <v>154</v>
      </c>
      <c r="L118" s="20">
        <v>157</v>
      </c>
      <c r="M118" s="20">
        <v>148</v>
      </c>
      <c r="N118" s="37">
        <v>122</v>
      </c>
      <c r="O118" s="43"/>
      <c r="P118" s="22">
        <v>571</v>
      </c>
      <c r="Q118" s="44">
        <f>P118*typical_cost</f>
        <v>14937.36</v>
      </c>
      <c r="R118" s="20" t="s">
        <v>483</v>
      </c>
      <c r="S118" s="20" t="s">
        <v>387</v>
      </c>
      <c r="T118" s="13">
        <f t="shared" si="31"/>
        <v>571</v>
      </c>
      <c r="U118" s="10">
        <f t="shared" si="27"/>
        <v>26.16</v>
      </c>
      <c r="W118" t="s">
        <v>353</v>
      </c>
    </row>
    <row r="119" spans="1:23" x14ac:dyDescent="0.25">
      <c r="A119" s="42" t="s">
        <v>117</v>
      </c>
      <c r="B119" s="42" t="s">
        <v>277</v>
      </c>
      <c r="C119" s="20">
        <v>125</v>
      </c>
      <c r="D119" s="20">
        <v>122</v>
      </c>
      <c r="E119" s="20">
        <v>122</v>
      </c>
      <c r="F119" s="20">
        <v>124</v>
      </c>
      <c r="G119" s="20">
        <v>119</v>
      </c>
      <c r="H119" s="20">
        <v>127</v>
      </c>
      <c r="I119" s="20">
        <v>159</v>
      </c>
      <c r="J119" s="20">
        <v>142</v>
      </c>
      <c r="K119" s="20">
        <v>150</v>
      </c>
      <c r="L119" s="20">
        <v>136</v>
      </c>
      <c r="M119" s="20">
        <v>153</v>
      </c>
      <c r="N119" s="37">
        <v>121</v>
      </c>
      <c r="O119" s="43"/>
      <c r="P119" s="22">
        <f>4970/COUNTIF(R:R,R119)</f>
        <v>1242.5</v>
      </c>
      <c r="Q119" s="44">
        <f>P119*typical_cost</f>
        <v>32503.8</v>
      </c>
      <c r="R119" s="46" t="s">
        <v>308</v>
      </c>
      <c r="S119" s="20" t="s">
        <v>386</v>
      </c>
      <c r="T119" s="13">
        <f t="shared" si="31"/>
        <v>4970</v>
      </c>
      <c r="U119" s="10">
        <f t="shared" si="27"/>
        <v>26.16</v>
      </c>
      <c r="V119" t="s">
        <v>428</v>
      </c>
      <c r="W119" t="s">
        <v>353</v>
      </c>
    </row>
    <row r="120" spans="1:23" x14ac:dyDescent="0.25">
      <c r="A120" s="42" t="s">
        <v>118</v>
      </c>
      <c r="B120" s="42" t="e">
        <v>#N/A</v>
      </c>
      <c r="C120" s="20">
        <v>96</v>
      </c>
      <c r="D120" s="20">
        <v>96</v>
      </c>
      <c r="E120" s="20">
        <v>95</v>
      </c>
      <c r="F120" s="20">
        <v>96</v>
      </c>
      <c r="G120" s="20">
        <v>96</v>
      </c>
      <c r="H120" s="20">
        <v>96</v>
      </c>
      <c r="I120" s="20">
        <v>128</v>
      </c>
      <c r="J120" s="20">
        <v>128</v>
      </c>
      <c r="K120" s="20">
        <v>128</v>
      </c>
      <c r="L120" s="20">
        <v>128</v>
      </c>
      <c r="M120" s="20">
        <v>128</v>
      </c>
      <c r="N120" s="37">
        <v>124</v>
      </c>
      <c r="O120" s="43"/>
      <c r="P120" s="22">
        <v>275</v>
      </c>
      <c r="Q120" s="22">
        <v>15000</v>
      </c>
      <c r="R120" s="20" t="s">
        <v>484</v>
      </c>
      <c r="S120" s="20" t="s">
        <v>386</v>
      </c>
      <c r="T120" s="13">
        <f t="shared" si="31"/>
        <v>275</v>
      </c>
      <c r="U120" s="10">
        <f t="shared" si="27"/>
        <v>54.545454545454547</v>
      </c>
      <c r="W120" t="s">
        <v>353</v>
      </c>
    </row>
    <row r="121" spans="1:23" x14ac:dyDescent="0.25">
      <c r="A121" s="42" t="s">
        <v>119</v>
      </c>
      <c r="B121" s="42" t="e">
        <v>#N/A</v>
      </c>
      <c r="C121" s="20">
        <v>120</v>
      </c>
      <c r="D121" s="20">
        <v>128</v>
      </c>
      <c r="E121" s="20">
        <v>128</v>
      </c>
      <c r="F121" s="20">
        <v>128</v>
      </c>
      <c r="G121" s="20">
        <v>128</v>
      </c>
      <c r="H121" s="20">
        <v>128</v>
      </c>
      <c r="I121" s="20">
        <v>128</v>
      </c>
      <c r="J121" s="20">
        <v>128</v>
      </c>
      <c r="K121" s="20">
        <v>128</v>
      </c>
      <c r="L121" s="20">
        <v>128</v>
      </c>
      <c r="M121" s="20">
        <v>128</v>
      </c>
      <c r="N121" s="37">
        <v>126</v>
      </c>
      <c r="O121" s="20"/>
      <c r="P121" s="22">
        <v>1626</v>
      </c>
      <c r="Q121" s="44">
        <f>P121*typical_cost</f>
        <v>42536.160000000003</v>
      </c>
      <c r="R121" s="20" t="s">
        <v>407</v>
      </c>
      <c r="S121" s="20" t="s">
        <v>387</v>
      </c>
      <c r="T121" s="13">
        <f t="shared" si="31"/>
        <v>1626</v>
      </c>
      <c r="U121" s="10">
        <f t="shared" si="27"/>
        <v>26.160000000000004</v>
      </c>
      <c r="W121" t="s">
        <v>353</v>
      </c>
    </row>
    <row r="122" spans="1:23" x14ac:dyDescent="0.25">
      <c r="A122" s="42" t="s">
        <v>120</v>
      </c>
      <c r="B122" s="42" t="e">
        <v>#N/A</v>
      </c>
      <c r="C122" s="20">
        <v>152</v>
      </c>
      <c r="D122" s="20">
        <v>155</v>
      </c>
      <c r="E122" s="20">
        <v>153</v>
      </c>
      <c r="F122" s="20">
        <v>150</v>
      </c>
      <c r="G122" s="20">
        <v>151</v>
      </c>
      <c r="H122" s="20">
        <v>155</v>
      </c>
      <c r="I122" s="20">
        <v>151</v>
      </c>
      <c r="J122" s="20">
        <v>154</v>
      </c>
      <c r="K122" s="20">
        <v>151</v>
      </c>
      <c r="L122" s="20">
        <v>150</v>
      </c>
      <c r="M122" s="20">
        <v>150</v>
      </c>
      <c r="N122" s="37">
        <v>123</v>
      </c>
      <c r="O122" s="43"/>
      <c r="P122" s="22">
        <v>469</v>
      </c>
      <c r="Q122" s="44">
        <f>P122*typical_cost</f>
        <v>12269.04</v>
      </c>
      <c r="R122" s="20" t="s">
        <v>485</v>
      </c>
      <c r="S122" s="20" t="s">
        <v>387</v>
      </c>
      <c r="T122" s="13">
        <f t="shared" si="31"/>
        <v>469</v>
      </c>
      <c r="U122" s="10">
        <f t="shared" si="27"/>
        <v>26.16</v>
      </c>
      <c r="W122" t="s">
        <v>353</v>
      </c>
    </row>
    <row r="123" spans="1:23" x14ac:dyDescent="0.25">
      <c r="A123" s="42" t="s">
        <v>121</v>
      </c>
      <c r="B123" s="42" t="s">
        <v>278</v>
      </c>
      <c r="C123" s="20">
        <v>111</v>
      </c>
      <c r="D123" s="20">
        <v>113</v>
      </c>
      <c r="E123" s="20">
        <v>119</v>
      </c>
      <c r="F123" s="20">
        <v>119</v>
      </c>
      <c r="G123" s="20">
        <v>118</v>
      </c>
      <c r="H123" s="20">
        <v>120</v>
      </c>
      <c r="I123" s="20">
        <v>120</v>
      </c>
      <c r="J123" s="20">
        <v>120</v>
      </c>
      <c r="K123" s="20">
        <v>120</v>
      </c>
      <c r="L123" s="20">
        <v>120</v>
      </c>
      <c r="M123" s="20">
        <v>120</v>
      </c>
      <c r="N123" s="37">
        <v>127</v>
      </c>
      <c r="O123" s="20"/>
      <c r="P123" s="22">
        <f>2926/5</f>
        <v>585.20000000000005</v>
      </c>
      <c r="Q123" s="22">
        <f>713526/20</f>
        <v>35676.300000000003</v>
      </c>
      <c r="R123" s="20" t="s">
        <v>343</v>
      </c>
      <c r="S123" s="20" t="s">
        <v>386</v>
      </c>
      <c r="T123" s="13">
        <f t="shared" si="31"/>
        <v>2926</v>
      </c>
      <c r="U123" s="10">
        <f t="shared" si="27"/>
        <v>60.964285714285715</v>
      </c>
      <c r="W123" t="s">
        <v>353</v>
      </c>
    </row>
    <row r="124" spans="1:23" x14ac:dyDescent="0.25">
      <c r="A124" s="42" t="s">
        <v>122</v>
      </c>
      <c r="B124" s="42" t="s">
        <v>279</v>
      </c>
      <c r="C124" s="20">
        <v>128</v>
      </c>
      <c r="D124" s="20">
        <v>131</v>
      </c>
      <c r="E124" s="20">
        <v>130</v>
      </c>
      <c r="F124" s="20">
        <v>160</v>
      </c>
      <c r="G124" s="20">
        <v>120</v>
      </c>
      <c r="H124" s="20">
        <v>160</v>
      </c>
      <c r="I124" s="20">
        <v>160</v>
      </c>
      <c r="J124" s="20">
        <v>160</v>
      </c>
      <c r="K124" s="20">
        <v>159</v>
      </c>
      <c r="L124" s="20">
        <v>159</v>
      </c>
      <c r="M124" s="20">
        <v>159</v>
      </c>
      <c r="N124" s="37">
        <v>128</v>
      </c>
      <c r="O124" s="43"/>
      <c r="P124" s="22">
        <f>Q124/U124</f>
        <v>789</v>
      </c>
      <c r="Q124" s="22">
        <f>AVERAGE(Q3,Q4,Q103,Q150)</f>
        <v>22005.114999999998</v>
      </c>
      <c r="R124" s="20" t="s">
        <v>307</v>
      </c>
      <c r="S124" s="20" t="s">
        <v>386</v>
      </c>
      <c r="T124" s="13">
        <f t="shared" si="31"/>
        <v>3945.0000000000005</v>
      </c>
      <c r="U124" s="10">
        <f>SUMIF(R:R,R124,Q:Q)/3945</f>
        <v>27.889879594423316</v>
      </c>
      <c r="W124" t="s">
        <v>353</v>
      </c>
    </row>
    <row r="125" spans="1:23" x14ac:dyDescent="0.25">
      <c r="A125" s="42" t="s">
        <v>123</v>
      </c>
      <c r="B125" s="42" t="s">
        <v>280</v>
      </c>
      <c r="C125" s="20">
        <v>127</v>
      </c>
      <c r="D125" s="20">
        <v>128</v>
      </c>
      <c r="E125" s="20">
        <v>128</v>
      </c>
      <c r="F125" s="20">
        <v>154</v>
      </c>
      <c r="G125" s="20">
        <v>155</v>
      </c>
      <c r="H125" s="20">
        <v>160</v>
      </c>
      <c r="I125" s="20">
        <v>160</v>
      </c>
      <c r="J125" s="20">
        <v>160</v>
      </c>
      <c r="K125" s="20">
        <v>155</v>
      </c>
      <c r="L125" s="20">
        <v>156</v>
      </c>
      <c r="M125" s="20">
        <v>159</v>
      </c>
      <c r="N125" s="37">
        <v>107</v>
      </c>
      <c r="O125" s="43"/>
      <c r="P125" s="22">
        <f>2670/COUNTIF(R:R,R125)</f>
        <v>381.42857142857144</v>
      </c>
      <c r="Q125" s="22">
        <f>65000/COUNTIF(R:R,R125)</f>
        <v>9285.7142857142862</v>
      </c>
      <c r="R125" s="20" t="s">
        <v>310</v>
      </c>
      <c r="S125" s="20" t="s">
        <v>386</v>
      </c>
      <c r="T125" s="13">
        <f t="shared" si="31"/>
        <v>2670.0000000000005</v>
      </c>
      <c r="U125" s="10">
        <f t="shared" si="27"/>
        <v>24.344569288389515</v>
      </c>
      <c r="V125" t="s">
        <v>425</v>
      </c>
      <c r="W125" t="s">
        <v>353</v>
      </c>
    </row>
    <row r="126" spans="1:23" ht="15.75" x14ac:dyDescent="0.25">
      <c r="A126" s="42" t="s">
        <v>124</v>
      </c>
      <c r="B126" s="42" t="s">
        <v>281</v>
      </c>
      <c r="C126" s="20">
        <v>149</v>
      </c>
      <c r="D126" s="20">
        <v>180</v>
      </c>
      <c r="E126" s="20">
        <v>178</v>
      </c>
      <c r="F126" s="20">
        <v>179</v>
      </c>
      <c r="G126" s="20">
        <v>180</v>
      </c>
      <c r="H126" s="20">
        <v>180</v>
      </c>
      <c r="I126" s="20">
        <v>180</v>
      </c>
      <c r="J126" s="20">
        <v>180</v>
      </c>
      <c r="K126" s="20">
        <v>180</v>
      </c>
      <c r="L126" s="20">
        <v>179</v>
      </c>
      <c r="M126" s="20">
        <v>180</v>
      </c>
      <c r="N126" s="37">
        <v>130</v>
      </c>
      <c r="O126" s="20"/>
      <c r="P126" s="22">
        <f>4988/COUNTIF(R:R,R126)</f>
        <v>623.5</v>
      </c>
      <c r="Q126" s="50">
        <f>178951/COUNTIF(R:R,R126)</f>
        <v>22368.875</v>
      </c>
      <c r="R126" s="20" t="s">
        <v>318</v>
      </c>
      <c r="S126" s="20" t="s">
        <v>386</v>
      </c>
      <c r="T126" s="13">
        <f t="shared" si="31"/>
        <v>4988</v>
      </c>
      <c r="U126" s="10">
        <f t="shared" si="27"/>
        <v>35.876303127506013</v>
      </c>
      <c r="W126" t="s">
        <v>353</v>
      </c>
    </row>
    <row r="127" spans="1:23" x14ac:dyDescent="0.25">
      <c r="A127" s="42" t="s">
        <v>125</v>
      </c>
      <c r="B127" s="42" t="s">
        <v>282</v>
      </c>
      <c r="C127" s="20">
        <v>120</v>
      </c>
      <c r="D127" s="20">
        <v>120</v>
      </c>
      <c r="E127" s="20">
        <v>135</v>
      </c>
      <c r="F127" s="20">
        <v>133</v>
      </c>
      <c r="G127" s="20">
        <v>135</v>
      </c>
      <c r="H127" s="20">
        <v>135</v>
      </c>
      <c r="I127" s="20">
        <v>135</v>
      </c>
      <c r="J127" s="20">
        <v>135</v>
      </c>
      <c r="K127" s="20">
        <v>134</v>
      </c>
      <c r="L127" s="20">
        <v>135</v>
      </c>
      <c r="M127" s="20">
        <v>140</v>
      </c>
      <c r="N127" s="37">
        <v>131</v>
      </c>
      <c r="O127" s="43"/>
      <c r="P127" s="22">
        <v>7900</v>
      </c>
      <c r="Q127" s="22">
        <f>P127*typical_cost</f>
        <v>206664</v>
      </c>
      <c r="R127" s="20" t="s">
        <v>317</v>
      </c>
      <c r="S127" s="20" t="s">
        <v>387</v>
      </c>
      <c r="T127" s="13">
        <f t="shared" si="31"/>
        <v>14197</v>
      </c>
      <c r="U127" s="10">
        <f t="shared" si="27"/>
        <v>26.16</v>
      </c>
      <c r="W127" t="s">
        <v>353</v>
      </c>
    </row>
    <row r="128" spans="1:23" x14ac:dyDescent="0.25">
      <c r="A128" s="42" t="s">
        <v>126</v>
      </c>
      <c r="B128" s="42" t="s">
        <v>283</v>
      </c>
      <c r="C128" s="20">
        <v>124</v>
      </c>
      <c r="D128" s="20">
        <v>124</v>
      </c>
      <c r="E128" s="20">
        <v>149</v>
      </c>
      <c r="F128" s="20">
        <v>151</v>
      </c>
      <c r="G128" s="20">
        <v>179</v>
      </c>
      <c r="H128" s="20">
        <v>186</v>
      </c>
      <c r="I128" s="20">
        <v>180</v>
      </c>
      <c r="J128" s="20">
        <v>183</v>
      </c>
      <c r="K128" s="20">
        <v>182</v>
      </c>
      <c r="L128" s="20">
        <v>180</v>
      </c>
      <c r="M128" s="20">
        <v>183</v>
      </c>
      <c r="N128" s="37">
        <v>132</v>
      </c>
      <c r="O128" s="20"/>
      <c r="P128" s="22">
        <v>1186</v>
      </c>
      <c r="Q128" s="22">
        <v>9900</v>
      </c>
      <c r="R128" s="20" t="s">
        <v>466</v>
      </c>
      <c r="S128" s="20" t="s">
        <v>415</v>
      </c>
      <c r="T128" s="13">
        <f t="shared" si="31"/>
        <v>1186</v>
      </c>
      <c r="U128" s="10">
        <f t="shared" si="27"/>
        <v>8.347386172006745</v>
      </c>
      <c r="W128" t="s">
        <v>353</v>
      </c>
    </row>
    <row r="129" spans="1:23" x14ac:dyDescent="0.25">
      <c r="A129" s="42" t="s">
        <v>127</v>
      </c>
      <c r="B129" s="42" t="s">
        <v>284</v>
      </c>
      <c r="C129" s="20">
        <v>156</v>
      </c>
      <c r="D129" s="20">
        <v>155</v>
      </c>
      <c r="E129" s="20">
        <v>180</v>
      </c>
      <c r="F129" s="20">
        <v>180</v>
      </c>
      <c r="G129" s="20">
        <v>186</v>
      </c>
      <c r="H129" s="20">
        <v>186</v>
      </c>
      <c r="I129" s="20">
        <v>180</v>
      </c>
      <c r="J129" s="20">
        <v>180</v>
      </c>
      <c r="K129" s="20">
        <v>184</v>
      </c>
      <c r="L129" s="20">
        <v>180</v>
      </c>
      <c r="M129" s="20">
        <v>180</v>
      </c>
      <c r="N129" s="37">
        <v>133</v>
      </c>
      <c r="O129" s="43"/>
      <c r="P129" s="22">
        <f>1205/2</f>
        <v>602.5</v>
      </c>
      <c r="Q129" s="22">
        <v>12919</v>
      </c>
      <c r="R129" s="20" t="s">
        <v>486</v>
      </c>
      <c r="S129" s="20" t="s">
        <v>415</v>
      </c>
      <c r="T129" s="13">
        <f t="shared" si="31"/>
        <v>602.5</v>
      </c>
      <c r="U129" s="10">
        <f t="shared" si="27"/>
        <v>21.442323651452281</v>
      </c>
      <c r="W129" t="s">
        <v>353</v>
      </c>
    </row>
    <row r="130" spans="1:23" x14ac:dyDescent="0.25">
      <c r="A130" s="42" t="s">
        <v>128</v>
      </c>
      <c r="B130" s="42" t="s">
        <v>285</v>
      </c>
      <c r="C130" s="20">
        <v>120</v>
      </c>
      <c r="D130" s="20">
        <v>127</v>
      </c>
      <c r="E130" s="20">
        <v>133</v>
      </c>
      <c r="F130" s="20">
        <v>143</v>
      </c>
      <c r="G130" s="20">
        <v>148</v>
      </c>
      <c r="H130" s="20">
        <v>151</v>
      </c>
      <c r="I130" s="20">
        <v>153</v>
      </c>
      <c r="J130" s="20">
        <v>150</v>
      </c>
      <c r="K130" s="20">
        <v>154</v>
      </c>
      <c r="L130" s="20">
        <v>156</v>
      </c>
      <c r="M130" s="20">
        <v>149</v>
      </c>
      <c r="N130" s="37">
        <v>134</v>
      </c>
      <c r="O130" s="43"/>
      <c r="P130" s="22">
        <f>2670/COUNTIF(R:R,R130)</f>
        <v>381.42857142857144</v>
      </c>
      <c r="Q130" s="22">
        <f>65000/COUNTIF(R:R,R130)</f>
        <v>9285.7142857142862</v>
      </c>
      <c r="R130" s="20" t="s">
        <v>310</v>
      </c>
      <c r="S130" s="20" t="s">
        <v>386</v>
      </c>
      <c r="T130" s="13">
        <f t="shared" ref="T130:T164" si="33">SUMIF(R:R,R130,P:P)</f>
        <v>2670.0000000000005</v>
      </c>
      <c r="U130" s="10">
        <f t="shared" si="27"/>
        <v>24.344569288389515</v>
      </c>
      <c r="V130" t="s">
        <v>425</v>
      </c>
      <c r="W130" t="s">
        <v>353</v>
      </c>
    </row>
    <row r="131" spans="1:23" x14ac:dyDescent="0.25">
      <c r="A131" s="42" t="s">
        <v>129</v>
      </c>
      <c r="B131" s="42" t="s">
        <v>286</v>
      </c>
      <c r="C131" s="20">
        <v>176</v>
      </c>
      <c r="D131" s="20">
        <v>183</v>
      </c>
      <c r="E131" s="20">
        <v>180</v>
      </c>
      <c r="F131" s="20">
        <v>182</v>
      </c>
      <c r="G131" s="20">
        <v>186</v>
      </c>
      <c r="H131" s="20">
        <v>186</v>
      </c>
      <c r="I131" s="20">
        <v>188</v>
      </c>
      <c r="J131" s="20">
        <v>187</v>
      </c>
      <c r="K131" s="20">
        <v>195</v>
      </c>
      <c r="L131" s="20">
        <v>192</v>
      </c>
      <c r="M131" s="20">
        <v>187</v>
      </c>
      <c r="N131" s="37">
        <v>135</v>
      </c>
      <c r="O131" s="43"/>
      <c r="P131" s="22">
        <v>372</v>
      </c>
      <c r="Q131" s="22">
        <v>9000</v>
      </c>
      <c r="R131" s="20" t="s">
        <v>420</v>
      </c>
      <c r="S131" s="20" t="s">
        <v>417</v>
      </c>
      <c r="T131" s="13">
        <f t="shared" si="33"/>
        <v>707</v>
      </c>
      <c r="U131" s="10">
        <f t="shared" ref="U131:U164" si="34">Q131/P131</f>
        <v>24.193548387096776</v>
      </c>
      <c r="W131" t="s">
        <v>353</v>
      </c>
    </row>
    <row r="132" spans="1:23" x14ac:dyDescent="0.25">
      <c r="A132" s="42" t="s">
        <v>130</v>
      </c>
      <c r="B132" s="42" t="s">
        <v>287</v>
      </c>
      <c r="C132" s="20">
        <v>131</v>
      </c>
      <c r="D132" s="20">
        <v>150</v>
      </c>
      <c r="E132" s="20">
        <v>147</v>
      </c>
      <c r="F132" s="20">
        <v>149</v>
      </c>
      <c r="G132" s="20">
        <v>181</v>
      </c>
      <c r="H132" s="20">
        <v>152</v>
      </c>
      <c r="I132" s="20">
        <v>153</v>
      </c>
      <c r="J132" s="20">
        <v>152</v>
      </c>
      <c r="K132" s="20">
        <v>155</v>
      </c>
      <c r="L132" s="20">
        <v>164</v>
      </c>
      <c r="M132" s="20">
        <v>177</v>
      </c>
      <c r="N132" s="37">
        <v>137</v>
      </c>
      <c r="O132" s="20"/>
      <c r="P132" s="22">
        <v>335</v>
      </c>
      <c r="Q132" s="22">
        <v>9141</v>
      </c>
      <c r="R132" s="20" t="s">
        <v>420</v>
      </c>
      <c r="S132" s="20" t="s">
        <v>417</v>
      </c>
      <c r="T132" s="13">
        <f t="shared" si="33"/>
        <v>707</v>
      </c>
      <c r="U132" s="10">
        <f t="shared" si="34"/>
        <v>27.286567164179104</v>
      </c>
      <c r="W132" t="s">
        <v>353</v>
      </c>
    </row>
    <row r="133" spans="1:23" x14ac:dyDescent="0.25">
      <c r="A133" s="48" t="s">
        <v>131</v>
      </c>
      <c r="B133" s="42" t="s">
        <v>288</v>
      </c>
      <c r="C133" s="20">
        <v>100</v>
      </c>
      <c r="D133" s="20">
        <v>100</v>
      </c>
      <c r="E133" s="20">
        <v>100</v>
      </c>
      <c r="F133" s="20">
        <v>100</v>
      </c>
      <c r="G133" s="20">
        <v>104</v>
      </c>
      <c r="H133" s="20">
        <v>104</v>
      </c>
      <c r="I133" s="20">
        <v>104</v>
      </c>
      <c r="J133" s="20">
        <v>104</v>
      </c>
      <c r="K133" s="20">
        <v>104</v>
      </c>
      <c r="L133" s="20">
        <v>104</v>
      </c>
      <c r="M133" s="20">
        <v>104</v>
      </c>
      <c r="N133" s="37">
        <v>136</v>
      </c>
      <c r="O133" s="20"/>
      <c r="P133" s="22">
        <v>2649</v>
      </c>
      <c r="Q133" s="22">
        <v>41590</v>
      </c>
      <c r="R133" s="20" t="s">
        <v>408</v>
      </c>
      <c r="S133" s="20" t="s">
        <v>386</v>
      </c>
      <c r="T133" s="13">
        <f t="shared" si="33"/>
        <v>2649</v>
      </c>
      <c r="U133" s="10">
        <f t="shared" si="34"/>
        <v>15.700264250660627</v>
      </c>
      <c r="W133" t="s">
        <v>353</v>
      </c>
    </row>
    <row r="134" spans="1:23" x14ac:dyDescent="0.25">
      <c r="A134" s="42" t="s">
        <v>132</v>
      </c>
      <c r="B134" s="42" t="s">
        <v>289</v>
      </c>
      <c r="C134" s="20">
        <v>155</v>
      </c>
      <c r="D134" s="20">
        <v>157</v>
      </c>
      <c r="E134" s="20">
        <v>155</v>
      </c>
      <c r="F134" s="20">
        <v>157</v>
      </c>
      <c r="G134" s="20">
        <v>189</v>
      </c>
      <c r="H134" s="20">
        <v>184</v>
      </c>
      <c r="I134" s="20">
        <v>192</v>
      </c>
      <c r="J134" s="20">
        <v>192</v>
      </c>
      <c r="K134" s="20">
        <v>192</v>
      </c>
      <c r="L134" s="20">
        <v>192</v>
      </c>
      <c r="M134" s="20">
        <v>192</v>
      </c>
      <c r="N134" s="37">
        <v>138</v>
      </c>
      <c r="O134" s="20"/>
      <c r="P134" s="22">
        <f>16446/COUNTIF(R:R,R134)</f>
        <v>657.84</v>
      </c>
      <c r="Q134" s="22">
        <f>278209.64/COUNTIF(R:R,R134)</f>
        <v>11128.385600000001</v>
      </c>
      <c r="R134" s="20" t="s">
        <v>170</v>
      </c>
      <c r="S134" s="20" t="s">
        <v>386</v>
      </c>
      <c r="T134" s="13">
        <f t="shared" si="33"/>
        <v>16446</v>
      </c>
      <c r="U134" s="10">
        <f t="shared" si="34"/>
        <v>16.916553569256962</v>
      </c>
      <c r="W134" t="s">
        <v>353</v>
      </c>
    </row>
    <row r="135" spans="1:23" x14ac:dyDescent="0.25">
      <c r="A135" s="42" t="s">
        <v>133</v>
      </c>
      <c r="B135" s="42" t="e">
        <v>#N/A</v>
      </c>
      <c r="C135" s="20">
        <v>148</v>
      </c>
      <c r="D135" s="20">
        <v>179</v>
      </c>
      <c r="E135" s="20">
        <v>185</v>
      </c>
      <c r="F135" s="20">
        <v>186</v>
      </c>
      <c r="G135" s="20">
        <v>183</v>
      </c>
      <c r="H135" s="20">
        <v>194</v>
      </c>
      <c r="I135" s="20">
        <v>187</v>
      </c>
      <c r="J135" s="20">
        <v>180</v>
      </c>
      <c r="K135" s="20">
        <v>175</v>
      </c>
      <c r="L135" s="20">
        <v>180</v>
      </c>
      <c r="M135" s="20">
        <v>179</v>
      </c>
      <c r="N135" s="37">
        <v>139</v>
      </c>
      <c r="O135" s="20"/>
      <c r="P135" s="44">
        <f>VLOOKUP(A135,LincsData2,4,FALSE)</f>
        <v>286.58885542168673</v>
      </c>
      <c r="Q135" s="44">
        <f>VLOOKUP(A135,LincsData2,5,FALSE)</f>
        <v>10033.799999999999</v>
      </c>
      <c r="R135" s="20" t="s">
        <v>332</v>
      </c>
      <c r="S135" s="20" t="s">
        <v>386</v>
      </c>
      <c r="T135" s="13">
        <f t="shared" si="33"/>
        <v>5053.9041164658629</v>
      </c>
      <c r="U135" s="10">
        <f t="shared" si="34"/>
        <v>35.011131138495493</v>
      </c>
      <c r="V135" t="s">
        <v>492</v>
      </c>
      <c r="W135" t="s">
        <v>353</v>
      </c>
    </row>
    <row r="136" spans="1:23" x14ac:dyDescent="0.25">
      <c r="A136" s="42" t="s">
        <v>134</v>
      </c>
      <c r="B136" s="42" t="s">
        <v>290</v>
      </c>
      <c r="C136" s="20">
        <v>186</v>
      </c>
      <c r="D136" s="20">
        <v>186</v>
      </c>
      <c r="E136" s="20">
        <v>186</v>
      </c>
      <c r="F136" s="20">
        <v>186</v>
      </c>
      <c r="G136" s="20">
        <v>192</v>
      </c>
      <c r="H136" s="20">
        <v>192</v>
      </c>
      <c r="I136" s="20">
        <v>192</v>
      </c>
      <c r="J136" s="20">
        <v>192</v>
      </c>
      <c r="K136" s="20">
        <v>192</v>
      </c>
      <c r="L136" s="20">
        <v>191</v>
      </c>
      <c r="M136" s="20">
        <v>192</v>
      </c>
      <c r="N136" s="37">
        <v>140</v>
      </c>
      <c r="O136" s="43"/>
      <c r="P136" s="22">
        <v>2611</v>
      </c>
      <c r="Q136" s="22">
        <v>40334</v>
      </c>
      <c r="R136" s="20" t="s">
        <v>409</v>
      </c>
      <c r="S136" s="20" t="s">
        <v>386</v>
      </c>
      <c r="T136" s="13">
        <f t="shared" si="33"/>
        <v>2611</v>
      </c>
      <c r="U136" s="10">
        <f t="shared" si="34"/>
        <v>15.447721179624665</v>
      </c>
      <c r="W136" t="s">
        <v>353</v>
      </c>
    </row>
    <row r="137" spans="1:23" x14ac:dyDescent="0.25">
      <c r="A137" s="42" t="s">
        <v>135</v>
      </c>
      <c r="B137" s="42" t="s">
        <v>291</v>
      </c>
      <c r="C137" s="20">
        <v>176</v>
      </c>
      <c r="D137" s="20">
        <v>171</v>
      </c>
      <c r="E137" s="20">
        <v>172</v>
      </c>
      <c r="F137" s="20">
        <v>203</v>
      </c>
      <c r="G137" s="20">
        <v>167</v>
      </c>
      <c r="H137" s="20">
        <v>194</v>
      </c>
      <c r="I137" s="20">
        <v>200</v>
      </c>
      <c r="J137" s="20">
        <v>209</v>
      </c>
      <c r="K137" s="20">
        <v>197</v>
      </c>
      <c r="L137" s="20">
        <v>185</v>
      </c>
      <c r="M137" s="20">
        <v>208</v>
      </c>
      <c r="N137" s="37">
        <v>142</v>
      </c>
      <c r="O137" s="20"/>
      <c r="P137" s="22">
        <f>16446/COUNTIF(R:R,R137)</f>
        <v>657.84</v>
      </c>
      <c r="Q137" s="22">
        <f>278209.64/COUNTIF(R:R,R137)</f>
        <v>11128.385600000001</v>
      </c>
      <c r="R137" s="20" t="s">
        <v>170</v>
      </c>
      <c r="S137" s="20" t="s">
        <v>386</v>
      </c>
      <c r="T137" s="13">
        <f t="shared" si="33"/>
        <v>16446</v>
      </c>
      <c r="U137" s="10">
        <f t="shared" si="34"/>
        <v>16.916553569256962</v>
      </c>
      <c r="W137" t="s">
        <v>353</v>
      </c>
    </row>
    <row r="138" spans="1:23" x14ac:dyDescent="0.25">
      <c r="A138" s="42" t="s">
        <v>136</v>
      </c>
      <c r="B138" s="42" t="e">
        <v>#N/A</v>
      </c>
      <c r="C138" s="20">
        <v>178</v>
      </c>
      <c r="D138" s="20">
        <v>178</v>
      </c>
      <c r="E138" s="20">
        <v>176</v>
      </c>
      <c r="F138" s="20">
        <v>174</v>
      </c>
      <c r="G138" s="20">
        <v>174</v>
      </c>
      <c r="H138" s="20">
        <v>182</v>
      </c>
      <c r="I138" s="20">
        <v>174</v>
      </c>
      <c r="J138" s="20">
        <v>174</v>
      </c>
      <c r="K138" s="20">
        <v>175</v>
      </c>
      <c r="L138" s="20">
        <v>175</v>
      </c>
      <c r="M138" s="20">
        <v>173</v>
      </c>
      <c r="N138" s="37">
        <v>103</v>
      </c>
      <c r="O138" s="43"/>
      <c r="P138" s="22">
        <f>12238/COUNTIF(R:R,R138)</f>
        <v>941.38461538461536</v>
      </c>
      <c r="Q138" s="22">
        <f>336465/COUNTIF(R:R,R138)</f>
        <v>25881.923076923078</v>
      </c>
      <c r="R138" s="20" t="s">
        <v>342</v>
      </c>
      <c r="S138" s="20" t="s">
        <v>386</v>
      </c>
      <c r="T138" s="13">
        <f t="shared" si="33"/>
        <v>12238</v>
      </c>
      <c r="U138" s="10">
        <f t="shared" si="34"/>
        <v>27.49346298414774</v>
      </c>
      <c r="W138" t="s">
        <v>353</v>
      </c>
    </row>
    <row r="139" spans="1:23" x14ac:dyDescent="0.25">
      <c r="A139" s="42" t="s">
        <v>137</v>
      </c>
      <c r="B139" s="42" t="e">
        <v>#N/A</v>
      </c>
      <c r="C139" s="20">
        <v>150</v>
      </c>
      <c r="D139" s="20">
        <v>150</v>
      </c>
      <c r="E139" s="20">
        <v>151</v>
      </c>
      <c r="F139" s="20">
        <v>153</v>
      </c>
      <c r="G139" s="20">
        <v>160</v>
      </c>
      <c r="H139" s="20">
        <v>156</v>
      </c>
      <c r="I139" s="20">
        <v>160</v>
      </c>
      <c r="J139" s="20">
        <v>163</v>
      </c>
      <c r="K139" s="20">
        <v>160</v>
      </c>
      <c r="L139" s="20">
        <v>160</v>
      </c>
      <c r="M139" s="20">
        <v>160</v>
      </c>
      <c r="N139" s="37">
        <v>146</v>
      </c>
      <c r="O139" s="43"/>
      <c r="P139" s="22">
        <f>16446/COUNTIF(R:R,R139)</f>
        <v>657.84</v>
      </c>
      <c r="Q139" s="22">
        <f>278209.64/COUNTIF(R:R,R139)</f>
        <v>11128.385600000001</v>
      </c>
      <c r="R139" s="20" t="s">
        <v>170</v>
      </c>
      <c r="S139" s="20" t="s">
        <v>386</v>
      </c>
      <c r="T139" s="13">
        <f t="shared" si="33"/>
        <v>16446</v>
      </c>
      <c r="U139" s="10">
        <f t="shared" si="34"/>
        <v>16.916553569256962</v>
      </c>
      <c r="W139" t="s">
        <v>353</v>
      </c>
    </row>
    <row r="140" spans="1:23" x14ac:dyDescent="0.25">
      <c r="A140" s="42" t="s">
        <v>138</v>
      </c>
      <c r="B140" s="42" t="s">
        <v>292</v>
      </c>
      <c r="C140" s="20">
        <v>150</v>
      </c>
      <c r="D140" s="20">
        <v>150</v>
      </c>
      <c r="E140" s="20">
        <v>150</v>
      </c>
      <c r="F140" s="20">
        <v>180</v>
      </c>
      <c r="G140" s="20">
        <v>180</v>
      </c>
      <c r="H140" s="20">
        <v>180</v>
      </c>
      <c r="I140" s="20">
        <v>180</v>
      </c>
      <c r="J140" s="20">
        <v>179</v>
      </c>
      <c r="K140" s="20">
        <v>180</v>
      </c>
      <c r="L140" s="20">
        <v>180</v>
      </c>
      <c r="M140" s="20">
        <v>180</v>
      </c>
      <c r="N140" s="37">
        <v>148</v>
      </c>
      <c r="O140" s="43"/>
      <c r="P140" s="22">
        <v>1485</v>
      </c>
      <c r="Q140" s="44">
        <f>P140*typical_cost</f>
        <v>38847.599999999999</v>
      </c>
      <c r="R140" s="20" t="s">
        <v>410</v>
      </c>
      <c r="S140" s="20" t="s">
        <v>387</v>
      </c>
      <c r="T140" s="13">
        <f t="shared" si="33"/>
        <v>1485</v>
      </c>
      <c r="U140" s="10">
        <f t="shared" si="34"/>
        <v>26.16</v>
      </c>
      <c r="W140" t="s">
        <v>353</v>
      </c>
    </row>
    <row r="141" spans="1:23" x14ac:dyDescent="0.25">
      <c r="A141" s="42" t="s">
        <v>139</v>
      </c>
      <c r="B141" s="42" t="s">
        <v>293</v>
      </c>
      <c r="C141" s="20">
        <v>151</v>
      </c>
      <c r="D141" s="20">
        <v>150</v>
      </c>
      <c r="E141" s="20">
        <v>180</v>
      </c>
      <c r="F141" s="20">
        <v>180</v>
      </c>
      <c r="G141" s="20">
        <v>180</v>
      </c>
      <c r="H141" s="20">
        <v>186</v>
      </c>
      <c r="I141" s="20">
        <v>186</v>
      </c>
      <c r="J141" s="20">
        <v>185</v>
      </c>
      <c r="K141" s="20">
        <v>186</v>
      </c>
      <c r="L141" s="20">
        <v>186</v>
      </c>
      <c r="M141" s="20">
        <v>186</v>
      </c>
      <c r="N141" s="37">
        <v>149</v>
      </c>
      <c r="O141" s="43"/>
      <c r="P141" s="22">
        <v>1677</v>
      </c>
      <c r="Q141" s="44">
        <f>P141*typical_cost</f>
        <v>43870.32</v>
      </c>
      <c r="R141" s="20" t="s">
        <v>411</v>
      </c>
      <c r="S141" s="20" t="s">
        <v>387</v>
      </c>
      <c r="T141" s="13">
        <f t="shared" si="33"/>
        <v>1677</v>
      </c>
      <c r="U141" s="10">
        <f t="shared" si="34"/>
        <v>26.16</v>
      </c>
      <c r="W141" t="s">
        <v>353</v>
      </c>
    </row>
    <row r="142" spans="1:23" x14ac:dyDescent="0.25">
      <c r="A142" s="42" t="s">
        <v>140</v>
      </c>
      <c r="B142" s="42" t="s">
        <v>294</v>
      </c>
      <c r="C142" s="20">
        <v>180</v>
      </c>
      <c r="D142" s="20">
        <v>179</v>
      </c>
      <c r="E142" s="20">
        <v>180</v>
      </c>
      <c r="F142" s="20">
        <v>180</v>
      </c>
      <c r="G142" s="20">
        <v>180</v>
      </c>
      <c r="H142" s="20">
        <v>179</v>
      </c>
      <c r="I142" s="20">
        <v>180</v>
      </c>
      <c r="J142" s="20">
        <v>180</v>
      </c>
      <c r="K142" s="20">
        <v>180</v>
      </c>
      <c r="L142" s="20">
        <v>180</v>
      </c>
      <c r="M142" s="20">
        <v>179</v>
      </c>
      <c r="N142" s="37">
        <v>150</v>
      </c>
      <c r="O142" s="43"/>
      <c r="P142" s="22">
        <f>16446/COUNTIF(R:R,R142)</f>
        <v>657.84</v>
      </c>
      <c r="Q142" s="22">
        <f>278209.64/COUNTIF(R:R,R142)</f>
        <v>11128.385600000001</v>
      </c>
      <c r="R142" s="20" t="s">
        <v>170</v>
      </c>
      <c r="S142" s="20" t="s">
        <v>386</v>
      </c>
      <c r="T142" s="13">
        <f t="shared" si="33"/>
        <v>16446</v>
      </c>
      <c r="U142" s="10">
        <f t="shared" si="34"/>
        <v>16.916553569256962</v>
      </c>
      <c r="W142" t="s">
        <v>353</v>
      </c>
    </row>
    <row r="143" spans="1:23" x14ac:dyDescent="0.25">
      <c r="A143" s="42" t="s">
        <v>141</v>
      </c>
      <c r="B143" s="42" t="s">
        <v>295</v>
      </c>
      <c r="C143" s="20">
        <v>155</v>
      </c>
      <c r="D143" s="20">
        <v>158</v>
      </c>
      <c r="E143" s="20">
        <v>158</v>
      </c>
      <c r="F143" s="20">
        <v>155</v>
      </c>
      <c r="G143" s="20">
        <v>167</v>
      </c>
      <c r="H143" s="20">
        <v>168</v>
      </c>
      <c r="I143" s="20">
        <v>167</v>
      </c>
      <c r="J143" s="20">
        <v>166</v>
      </c>
      <c r="K143" s="20">
        <v>162</v>
      </c>
      <c r="L143" s="20">
        <v>168</v>
      </c>
      <c r="M143" s="20">
        <v>168</v>
      </c>
      <c r="N143" s="37">
        <v>151</v>
      </c>
      <c r="O143" s="43"/>
      <c r="P143" s="22">
        <v>405</v>
      </c>
      <c r="Q143" s="22">
        <v>8186.04</v>
      </c>
      <c r="R143" s="20" t="s">
        <v>487</v>
      </c>
      <c r="S143" s="20" t="s">
        <v>386</v>
      </c>
      <c r="T143" s="13">
        <f t="shared" si="33"/>
        <v>405</v>
      </c>
      <c r="U143" s="10">
        <f t="shared" si="34"/>
        <v>20.212444444444444</v>
      </c>
      <c r="W143" t="s">
        <v>353</v>
      </c>
    </row>
    <row r="144" spans="1:23" x14ac:dyDescent="0.25">
      <c r="A144" s="42" t="s">
        <v>142</v>
      </c>
      <c r="B144" s="42" t="s">
        <v>296</v>
      </c>
      <c r="C144" s="20">
        <v>128</v>
      </c>
      <c r="D144" s="20">
        <v>129</v>
      </c>
      <c r="E144" s="20">
        <v>150</v>
      </c>
      <c r="F144" s="20">
        <v>150</v>
      </c>
      <c r="G144" s="20">
        <v>147</v>
      </c>
      <c r="H144" s="20">
        <v>155</v>
      </c>
      <c r="I144" s="20">
        <v>155</v>
      </c>
      <c r="J144" s="20">
        <v>155</v>
      </c>
      <c r="K144" s="20">
        <v>156</v>
      </c>
      <c r="L144" s="20">
        <v>160</v>
      </c>
      <c r="M144" s="20">
        <v>160</v>
      </c>
      <c r="N144" s="37">
        <v>152</v>
      </c>
      <c r="O144" s="43"/>
      <c r="P144" s="22">
        <v>372</v>
      </c>
      <c r="Q144" s="22">
        <v>7520.44</v>
      </c>
      <c r="R144" s="20" t="s">
        <v>488</v>
      </c>
      <c r="S144" s="20" t="s">
        <v>386</v>
      </c>
      <c r="T144" s="13">
        <f t="shared" si="33"/>
        <v>372</v>
      </c>
      <c r="U144" s="10">
        <f t="shared" si="34"/>
        <v>20.216236559139784</v>
      </c>
      <c r="W144" t="s">
        <v>353</v>
      </c>
    </row>
    <row r="145" spans="1:23" x14ac:dyDescent="0.25">
      <c r="A145" s="42" t="s">
        <v>143</v>
      </c>
      <c r="B145" s="42" t="s">
        <v>297</v>
      </c>
      <c r="C145" s="20">
        <v>210</v>
      </c>
      <c r="D145" s="20">
        <v>210</v>
      </c>
      <c r="E145" s="20">
        <v>210</v>
      </c>
      <c r="F145" s="20">
        <v>224</v>
      </c>
      <c r="G145" s="20">
        <v>223</v>
      </c>
      <c r="H145" s="20">
        <v>224</v>
      </c>
      <c r="I145" s="20">
        <v>221</v>
      </c>
      <c r="J145" s="20">
        <v>224</v>
      </c>
      <c r="K145" s="20">
        <v>224</v>
      </c>
      <c r="L145" s="20">
        <v>224</v>
      </c>
      <c r="M145" s="20">
        <v>224</v>
      </c>
      <c r="N145" s="37">
        <v>153</v>
      </c>
      <c r="O145" s="43"/>
      <c r="P145" s="22">
        <f>5855/4</f>
        <v>1463.75</v>
      </c>
      <c r="Q145" s="22">
        <f>131000/4</f>
        <v>32750</v>
      </c>
      <c r="R145" s="20" t="s">
        <v>312</v>
      </c>
      <c r="S145" s="20" t="s">
        <v>386</v>
      </c>
      <c r="T145" s="13">
        <f t="shared" si="33"/>
        <v>5855</v>
      </c>
      <c r="U145" s="10">
        <f t="shared" si="34"/>
        <v>22.374039282664388</v>
      </c>
      <c r="W145" t="s">
        <v>353</v>
      </c>
    </row>
    <row r="146" spans="1:23" x14ac:dyDescent="0.25">
      <c r="A146" s="42" t="s">
        <v>144</v>
      </c>
      <c r="B146" s="42" t="e">
        <v>#N/A</v>
      </c>
      <c r="C146" s="20">
        <v>147</v>
      </c>
      <c r="D146" s="20">
        <v>145</v>
      </c>
      <c r="E146" s="20">
        <v>145</v>
      </c>
      <c r="F146" s="20">
        <v>144</v>
      </c>
      <c r="G146" s="20">
        <v>148</v>
      </c>
      <c r="H146" s="20">
        <v>148</v>
      </c>
      <c r="I146" s="20">
        <v>147</v>
      </c>
      <c r="J146" s="20">
        <v>149</v>
      </c>
      <c r="K146" s="20">
        <v>149</v>
      </c>
      <c r="L146" s="20">
        <v>149</v>
      </c>
      <c r="M146" s="20">
        <v>178</v>
      </c>
      <c r="N146" s="37">
        <v>154</v>
      </c>
      <c r="O146" s="43"/>
      <c r="P146" s="22">
        <f>16446/COUNTIF(R:R,R146)</f>
        <v>657.84</v>
      </c>
      <c r="Q146" s="22">
        <f t="shared" ref="Q146:Q147" si="35">278209.64/COUNTIF(R:R,R146)</f>
        <v>11128.385600000001</v>
      </c>
      <c r="R146" s="20" t="s">
        <v>170</v>
      </c>
      <c r="S146" s="20" t="s">
        <v>386</v>
      </c>
      <c r="T146" s="13">
        <f t="shared" si="33"/>
        <v>16446</v>
      </c>
      <c r="U146" s="10">
        <f t="shared" si="34"/>
        <v>16.916553569256962</v>
      </c>
      <c r="W146" t="s">
        <v>353</v>
      </c>
    </row>
    <row r="147" spans="1:23" x14ac:dyDescent="0.25">
      <c r="A147" s="42" t="s">
        <v>145</v>
      </c>
      <c r="B147" s="42" t="s">
        <v>171</v>
      </c>
      <c r="C147" s="20">
        <v>188</v>
      </c>
      <c r="D147" s="20">
        <v>201</v>
      </c>
      <c r="E147" s="20">
        <v>176</v>
      </c>
      <c r="F147" s="20">
        <v>199</v>
      </c>
      <c r="G147" s="20">
        <v>221</v>
      </c>
      <c r="H147" s="20">
        <v>233</v>
      </c>
      <c r="I147" s="20">
        <v>227</v>
      </c>
      <c r="J147" s="20">
        <v>221</v>
      </c>
      <c r="K147" s="20">
        <v>283</v>
      </c>
      <c r="L147" s="20">
        <v>310</v>
      </c>
      <c r="M147" s="20">
        <v>319</v>
      </c>
      <c r="N147" s="37">
        <v>155</v>
      </c>
      <c r="O147" s="43"/>
      <c r="P147" s="22">
        <f>16446/COUNTIF(R:R,R147)</f>
        <v>657.84</v>
      </c>
      <c r="Q147" s="22">
        <f t="shared" si="35"/>
        <v>11128.385600000001</v>
      </c>
      <c r="R147" s="20" t="s">
        <v>170</v>
      </c>
      <c r="S147" s="20" t="s">
        <v>386</v>
      </c>
      <c r="T147" s="13">
        <f t="shared" si="33"/>
        <v>16446</v>
      </c>
      <c r="U147" s="10">
        <f t="shared" si="34"/>
        <v>16.916553569256962</v>
      </c>
      <c r="W147" t="s">
        <v>353</v>
      </c>
    </row>
    <row r="148" spans="1:23" x14ac:dyDescent="0.25">
      <c r="A148" s="42" t="s">
        <v>146</v>
      </c>
      <c r="B148" s="42" t="s">
        <v>298</v>
      </c>
      <c r="C148" s="20">
        <v>133</v>
      </c>
      <c r="D148" s="20">
        <v>140</v>
      </c>
      <c r="E148" s="20">
        <v>122</v>
      </c>
      <c r="F148" s="20">
        <v>164</v>
      </c>
      <c r="G148" s="20">
        <v>158</v>
      </c>
      <c r="H148" s="20">
        <v>169</v>
      </c>
      <c r="I148" s="20">
        <v>166</v>
      </c>
      <c r="J148" s="20">
        <v>168</v>
      </c>
      <c r="K148" s="20">
        <v>167</v>
      </c>
      <c r="L148" s="20">
        <v>166</v>
      </c>
      <c r="M148" s="20">
        <v>167</v>
      </c>
      <c r="N148" s="37">
        <v>156</v>
      </c>
      <c r="O148" s="43"/>
      <c r="P148" s="22">
        <f>4970/COUNTIF(R:R,R148)</f>
        <v>1242.5</v>
      </c>
      <c r="Q148" s="44">
        <f>P148*typical_cost</f>
        <v>32503.8</v>
      </c>
      <c r="R148" s="46" t="s">
        <v>308</v>
      </c>
      <c r="S148" s="20" t="s">
        <v>386</v>
      </c>
      <c r="T148" s="13">
        <f t="shared" si="33"/>
        <v>4970</v>
      </c>
      <c r="U148" s="10">
        <f t="shared" si="34"/>
        <v>26.16</v>
      </c>
      <c r="V148" t="s">
        <v>428</v>
      </c>
      <c r="W148" t="s">
        <v>353</v>
      </c>
    </row>
    <row r="149" spans="1:23" x14ac:dyDescent="0.25">
      <c r="A149" s="42" t="s">
        <v>147</v>
      </c>
      <c r="B149" s="42" t="e">
        <v>#N/A</v>
      </c>
      <c r="C149" s="20">
        <v>141</v>
      </c>
      <c r="D149" s="20">
        <v>149</v>
      </c>
      <c r="E149" s="20">
        <v>156</v>
      </c>
      <c r="F149" s="20">
        <v>157</v>
      </c>
      <c r="G149" s="20">
        <v>157</v>
      </c>
      <c r="H149" s="20">
        <v>159</v>
      </c>
      <c r="I149" s="20">
        <v>160</v>
      </c>
      <c r="J149" s="20">
        <v>160</v>
      </c>
      <c r="K149" s="20">
        <v>160</v>
      </c>
      <c r="L149" s="20">
        <v>160</v>
      </c>
      <c r="M149" s="20">
        <v>162</v>
      </c>
      <c r="N149" s="37">
        <v>158</v>
      </c>
      <c r="O149" s="43"/>
      <c r="P149" s="22">
        <v>544</v>
      </c>
      <c r="Q149" s="22">
        <v>12095.54</v>
      </c>
      <c r="R149" s="20" t="s">
        <v>489</v>
      </c>
      <c r="S149" s="20" t="s">
        <v>386</v>
      </c>
      <c r="T149" s="13">
        <f t="shared" si="33"/>
        <v>544</v>
      </c>
      <c r="U149" s="10">
        <f t="shared" si="34"/>
        <v>22.234448529411765</v>
      </c>
      <c r="W149" t="s">
        <v>353</v>
      </c>
    </row>
    <row r="150" spans="1:23" x14ac:dyDescent="0.25">
      <c r="A150" s="42" t="s">
        <v>148</v>
      </c>
      <c r="B150" s="42" t="e">
        <v>#N/A</v>
      </c>
      <c r="C150" s="20">
        <v>128</v>
      </c>
      <c r="D150" s="20">
        <v>150</v>
      </c>
      <c r="E150" s="20">
        <v>150</v>
      </c>
      <c r="F150" s="20">
        <v>155</v>
      </c>
      <c r="G150" s="20">
        <v>180</v>
      </c>
      <c r="H150" s="20">
        <v>150</v>
      </c>
      <c r="I150" s="20">
        <v>148</v>
      </c>
      <c r="J150" s="20">
        <v>154</v>
      </c>
      <c r="K150" s="20">
        <v>149</v>
      </c>
      <c r="L150" s="20">
        <v>153</v>
      </c>
      <c r="M150" s="20">
        <v>140</v>
      </c>
      <c r="N150" s="37">
        <v>157</v>
      </c>
      <c r="O150" s="43"/>
      <c r="P150" s="22">
        <f>Q150/U150</f>
        <v>657.34740581905623</v>
      </c>
      <c r="Q150" s="22">
        <v>18333.34</v>
      </c>
      <c r="R150" s="20" t="s">
        <v>307</v>
      </c>
      <c r="S150" s="20" t="s">
        <v>386</v>
      </c>
      <c r="T150" s="13">
        <f t="shared" si="33"/>
        <v>3945.0000000000005</v>
      </c>
      <c r="U150" s="10">
        <f>SUMIF(R:R,R150,Q:Q)/3945</f>
        <v>27.889879594423316</v>
      </c>
      <c r="W150" t="s">
        <v>353</v>
      </c>
    </row>
    <row r="151" spans="1:23" x14ac:dyDescent="0.25">
      <c r="A151" s="42" t="s">
        <v>149</v>
      </c>
      <c r="B151" s="42" t="s">
        <v>299</v>
      </c>
      <c r="C151" s="20">
        <v>130</v>
      </c>
      <c r="D151" s="20">
        <v>140</v>
      </c>
      <c r="E151" s="20">
        <v>119</v>
      </c>
      <c r="F151" s="20">
        <v>150</v>
      </c>
      <c r="G151" s="20">
        <v>150</v>
      </c>
      <c r="H151" s="20">
        <v>150</v>
      </c>
      <c r="I151" s="20">
        <v>149</v>
      </c>
      <c r="J151" s="20">
        <v>150</v>
      </c>
      <c r="K151" s="20">
        <v>150</v>
      </c>
      <c r="L151" s="20">
        <v>150</v>
      </c>
      <c r="M151" s="20">
        <v>150</v>
      </c>
      <c r="N151" s="37">
        <v>159</v>
      </c>
      <c r="O151" s="43"/>
      <c r="P151" s="22">
        <v>1230</v>
      </c>
      <c r="Q151" s="44">
        <f>P151*typical_cost</f>
        <v>32176.799999999999</v>
      </c>
      <c r="R151" s="20" t="s">
        <v>317</v>
      </c>
      <c r="S151" s="20" t="s">
        <v>387</v>
      </c>
      <c r="T151" s="13">
        <f t="shared" si="33"/>
        <v>14197</v>
      </c>
      <c r="U151" s="10">
        <f t="shared" si="34"/>
        <v>26.16</v>
      </c>
      <c r="W151" t="s">
        <v>353</v>
      </c>
    </row>
    <row r="152" spans="1:23" x14ac:dyDescent="0.25">
      <c r="A152" s="42" t="s">
        <v>150</v>
      </c>
      <c r="B152" s="42" t="e">
        <v>#N/A</v>
      </c>
      <c r="C152" s="20">
        <v>210</v>
      </c>
      <c r="D152" s="20">
        <v>211</v>
      </c>
      <c r="E152" s="20">
        <v>212</v>
      </c>
      <c r="F152" s="20">
        <v>210</v>
      </c>
      <c r="G152" s="20">
        <v>207</v>
      </c>
      <c r="H152" s="20">
        <v>209</v>
      </c>
      <c r="I152" s="20">
        <v>210</v>
      </c>
      <c r="J152" s="20">
        <v>211</v>
      </c>
      <c r="K152" s="20">
        <v>201</v>
      </c>
      <c r="L152" s="20">
        <v>208</v>
      </c>
      <c r="M152" s="20">
        <v>210</v>
      </c>
      <c r="N152" s="37">
        <v>160</v>
      </c>
      <c r="O152" s="43"/>
      <c r="P152" s="22">
        <v>1918.5</v>
      </c>
      <c r="Q152" s="44">
        <f>P152*typical_cost</f>
        <v>50187.96</v>
      </c>
      <c r="R152" s="20" t="s">
        <v>317</v>
      </c>
      <c r="S152" s="20" t="s">
        <v>387</v>
      </c>
      <c r="T152" s="13">
        <f t="shared" si="33"/>
        <v>14197</v>
      </c>
      <c r="U152" s="10">
        <f t="shared" si="34"/>
        <v>26.16</v>
      </c>
      <c r="W152" t="s">
        <v>353</v>
      </c>
    </row>
    <row r="153" spans="1:23" x14ac:dyDescent="0.25">
      <c r="A153" s="42" t="s">
        <v>151</v>
      </c>
      <c r="B153" s="42" t="s">
        <v>300</v>
      </c>
      <c r="C153" s="20">
        <v>176</v>
      </c>
      <c r="D153" s="20">
        <v>211</v>
      </c>
      <c r="E153" s="20">
        <v>179</v>
      </c>
      <c r="F153" s="20">
        <v>239</v>
      </c>
      <c r="G153" s="20">
        <v>298</v>
      </c>
      <c r="H153" s="20">
        <v>301</v>
      </c>
      <c r="I153" s="20">
        <v>314</v>
      </c>
      <c r="J153" s="20">
        <v>318</v>
      </c>
      <c r="K153" s="20">
        <v>319</v>
      </c>
      <c r="L153" s="20">
        <v>298</v>
      </c>
      <c r="M153" s="20">
        <v>271</v>
      </c>
      <c r="N153" s="37">
        <v>161</v>
      </c>
      <c r="O153" s="43"/>
      <c r="P153" s="22">
        <f>16446/COUNTIF(R:R,R153)</f>
        <v>657.84</v>
      </c>
      <c r="Q153" s="22">
        <f>278209.64/COUNTIF(R:R,R153)</f>
        <v>11128.385600000001</v>
      </c>
      <c r="R153" s="20" t="s">
        <v>170</v>
      </c>
      <c r="S153" s="20" t="s">
        <v>386</v>
      </c>
      <c r="T153" s="13">
        <f t="shared" si="33"/>
        <v>16446</v>
      </c>
      <c r="U153" s="10">
        <f t="shared" si="34"/>
        <v>16.916553569256962</v>
      </c>
      <c r="W153" t="s">
        <v>353</v>
      </c>
    </row>
    <row r="154" spans="1:23" x14ac:dyDescent="0.25">
      <c r="A154" s="42" t="s">
        <v>152</v>
      </c>
      <c r="B154" s="42" t="s">
        <v>301</v>
      </c>
      <c r="C154" s="20">
        <v>174</v>
      </c>
      <c r="D154" s="20">
        <v>154</v>
      </c>
      <c r="E154" s="20">
        <v>164</v>
      </c>
      <c r="F154" s="20">
        <v>175</v>
      </c>
      <c r="G154" s="20">
        <v>184</v>
      </c>
      <c r="H154" s="20">
        <v>177</v>
      </c>
      <c r="I154" s="20">
        <v>185</v>
      </c>
      <c r="J154" s="20">
        <v>172</v>
      </c>
      <c r="K154" s="20">
        <v>184</v>
      </c>
      <c r="L154" s="20">
        <v>192</v>
      </c>
      <c r="M154" s="20">
        <v>165</v>
      </c>
      <c r="N154" s="37">
        <v>162</v>
      </c>
      <c r="O154" s="43"/>
      <c r="P154" s="22">
        <f>899/2</f>
        <v>449.5</v>
      </c>
      <c r="Q154" s="22">
        <f>84000/8</f>
        <v>10500</v>
      </c>
      <c r="R154" s="20" t="s">
        <v>319</v>
      </c>
      <c r="S154" s="20" t="s">
        <v>386</v>
      </c>
      <c r="T154" s="13">
        <f t="shared" si="33"/>
        <v>1719</v>
      </c>
      <c r="U154" s="10">
        <f t="shared" si="34"/>
        <v>23.359288097886541</v>
      </c>
      <c r="V154" t="s">
        <v>424</v>
      </c>
      <c r="W154" t="s">
        <v>353</v>
      </c>
    </row>
    <row r="155" spans="1:23" x14ac:dyDescent="0.25">
      <c r="A155" s="42" t="s">
        <v>153</v>
      </c>
      <c r="B155" s="42" t="e">
        <v>#N/A</v>
      </c>
      <c r="C155" s="20">
        <v>154</v>
      </c>
      <c r="D155" s="20">
        <v>154</v>
      </c>
      <c r="E155" s="20">
        <v>185</v>
      </c>
      <c r="F155" s="20">
        <v>184</v>
      </c>
      <c r="G155" s="20">
        <v>185</v>
      </c>
      <c r="H155" s="20">
        <v>185</v>
      </c>
      <c r="I155" s="20">
        <v>184</v>
      </c>
      <c r="J155" s="20">
        <v>185</v>
      </c>
      <c r="K155" s="20">
        <v>183</v>
      </c>
      <c r="L155" s="20">
        <v>190</v>
      </c>
      <c r="M155" s="20">
        <v>189</v>
      </c>
      <c r="N155" s="37">
        <v>163</v>
      </c>
      <c r="O155" s="43"/>
      <c r="P155" s="22">
        <f>5295/7</f>
        <v>756.42857142857144</v>
      </c>
      <c r="Q155" s="22">
        <f>P155*typical_cost</f>
        <v>19788.17142857143</v>
      </c>
      <c r="R155" s="20" t="s">
        <v>316</v>
      </c>
      <c r="S155" s="20" t="s">
        <v>387</v>
      </c>
      <c r="T155" s="13">
        <f t="shared" si="33"/>
        <v>5295</v>
      </c>
      <c r="U155" s="10">
        <f t="shared" si="34"/>
        <v>26.16</v>
      </c>
      <c r="W155" t="s">
        <v>353</v>
      </c>
    </row>
    <row r="156" spans="1:23" x14ac:dyDescent="0.25">
      <c r="A156" s="42" t="s">
        <v>154</v>
      </c>
      <c r="B156" s="42" t="s">
        <v>302</v>
      </c>
      <c r="C156" s="20">
        <v>154</v>
      </c>
      <c r="D156" s="20">
        <v>184</v>
      </c>
      <c r="E156" s="20">
        <v>184</v>
      </c>
      <c r="F156" s="20">
        <v>184</v>
      </c>
      <c r="G156" s="20">
        <v>184</v>
      </c>
      <c r="H156" s="20">
        <v>184</v>
      </c>
      <c r="I156" s="20">
        <v>184</v>
      </c>
      <c r="J156" s="20">
        <v>181</v>
      </c>
      <c r="K156" s="20">
        <v>184</v>
      </c>
      <c r="L156" s="20">
        <v>183</v>
      </c>
      <c r="M156" s="20">
        <v>182</v>
      </c>
      <c r="N156" s="37">
        <v>164</v>
      </c>
      <c r="O156" s="43"/>
      <c r="P156" s="22">
        <f>5295/7</f>
        <v>756.42857142857144</v>
      </c>
      <c r="Q156" s="22">
        <f>P156*typical_cost</f>
        <v>19788.17142857143</v>
      </c>
      <c r="R156" s="20" t="s">
        <v>316</v>
      </c>
      <c r="S156" s="20" t="s">
        <v>387</v>
      </c>
      <c r="T156" s="13">
        <f t="shared" si="33"/>
        <v>5295</v>
      </c>
      <c r="U156" s="10">
        <f t="shared" si="34"/>
        <v>26.16</v>
      </c>
      <c r="W156" t="s">
        <v>353</v>
      </c>
    </row>
    <row r="157" spans="1:23" x14ac:dyDescent="0.25">
      <c r="A157" s="42" t="s">
        <v>155</v>
      </c>
      <c r="B157" s="42" t="e">
        <v>#N/A</v>
      </c>
      <c r="C157" s="20">
        <v>141</v>
      </c>
      <c r="D157" s="20">
        <v>150</v>
      </c>
      <c r="E157" s="20">
        <v>152</v>
      </c>
      <c r="F157" s="20">
        <v>150</v>
      </c>
      <c r="G157" s="20">
        <v>149</v>
      </c>
      <c r="H157" s="20">
        <v>150</v>
      </c>
      <c r="I157" s="20">
        <v>150</v>
      </c>
      <c r="J157" s="20">
        <v>180</v>
      </c>
      <c r="K157" s="20">
        <v>180</v>
      </c>
      <c r="L157" s="20">
        <v>179</v>
      </c>
      <c r="M157" s="20">
        <v>180</v>
      </c>
      <c r="N157" s="37">
        <v>165</v>
      </c>
      <c r="O157" s="43"/>
      <c r="P157" s="22">
        <f>16446/COUNTIF(R:R,R157)</f>
        <v>657.84</v>
      </c>
      <c r="Q157" s="22">
        <f t="shared" ref="Q157:Q158" si="36">278209.64/COUNTIF(R:R,R157)</f>
        <v>11128.385600000001</v>
      </c>
      <c r="R157" s="20" t="s">
        <v>170</v>
      </c>
      <c r="S157" s="20" t="s">
        <v>386</v>
      </c>
      <c r="T157" s="13">
        <f t="shared" si="33"/>
        <v>16446</v>
      </c>
      <c r="U157" s="10">
        <f t="shared" si="34"/>
        <v>16.916553569256962</v>
      </c>
      <c r="W157" t="s">
        <v>353</v>
      </c>
    </row>
    <row r="158" spans="1:23" x14ac:dyDescent="0.25">
      <c r="A158" s="42" t="s">
        <v>156</v>
      </c>
      <c r="B158" s="42" t="s">
        <v>303</v>
      </c>
      <c r="C158" s="20">
        <v>125</v>
      </c>
      <c r="D158" s="20">
        <v>126</v>
      </c>
      <c r="E158" s="20">
        <v>150</v>
      </c>
      <c r="F158" s="20">
        <v>155</v>
      </c>
      <c r="G158" s="20">
        <v>151</v>
      </c>
      <c r="H158" s="20">
        <v>150</v>
      </c>
      <c r="I158" s="20">
        <v>150</v>
      </c>
      <c r="J158" s="20">
        <v>180</v>
      </c>
      <c r="K158" s="20">
        <v>180</v>
      </c>
      <c r="L158" s="20">
        <v>180</v>
      </c>
      <c r="M158" s="20">
        <v>180</v>
      </c>
      <c r="N158" s="37">
        <v>166</v>
      </c>
      <c r="O158" s="43"/>
      <c r="P158" s="22">
        <f>16446/COUNTIF(R:R,R158)</f>
        <v>657.84</v>
      </c>
      <c r="Q158" s="22">
        <f t="shared" si="36"/>
        <v>11128.385600000001</v>
      </c>
      <c r="R158" s="20" t="s">
        <v>170</v>
      </c>
      <c r="S158" s="20" t="s">
        <v>386</v>
      </c>
      <c r="T158" s="13">
        <f t="shared" si="33"/>
        <v>16446</v>
      </c>
      <c r="U158" s="10">
        <f t="shared" si="34"/>
        <v>16.916553569256962</v>
      </c>
      <c r="W158" t="s">
        <v>353</v>
      </c>
    </row>
    <row r="159" spans="1:23" x14ac:dyDescent="0.25">
      <c r="A159" s="42" t="s">
        <v>157</v>
      </c>
      <c r="B159" s="42" t="s">
        <v>304</v>
      </c>
      <c r="C159" s="20">
        <v>155</v>
      </c>
      <c r="D159" s="20">
        <v>186</v>
      </c>
      <c r="E159" s="20">
        <v>185</v>
      </c>
      <c r="F159" s="20">
        <v>186</v>
      </c>
      <c r="G159" s="20">
        <v>192</v>
      </c>
      <c r="H159" s="20">
        <v>192</v>
      </c>
      <c r="I159" s="20">
        <v>192</v>
      </c>
      <c r="J159" s="20">
        <v>191</v>
      </c>
      <c r="K159" s="20">
        <v>189</v>
      </c>
      <c r="L159" s="20">
        <v>191</v>
      </c>
      <c r="M159" s="20">
        <v>192</v>
      </c>
      <c r="N159" s="37">
        <v>167</v>
      </c>
      <c r="O159" s="43"/>
      <c r="P159" s="22">
        <v>1230</v>
      </c>
      <c r="Q159" s="44">
        <f>P159*typical_cost</f>
        <v>32176.799999999999</v>
      </c>
      <c r="R159" s="20" t="s">
        <v>317</v>
      </c>
      <c r="S159" s="20" t="s">
        <v>387</v>
      </c>
      <c r="T159" s="13">
        <f t="shared" si="33"/>
        <v>14197</v>
      </c>
      <c r="U159" s="10">
        <f t="shared" si="34"/>
        <v>26.16</v>
      </c>
      <c r="W159" t="s">
        <v>353</v>
      </c>
    </row>
    <row r="160" spans="1:23" x14ac:dyDescent="0.25">
      <c r="A160" s="42" t="s">
        <v>158</v>
      </c>
      <c r="B160" s="42" t="e">
        <v>#N/A</v>
      </c>
      <c r="C160" s="20">
        <v>174</v>
      </c>
      <c r="D160" s="20">
        <v>178</v>
      </c>
      <c r="E160" s="20">
        <v>180</v>
      </c>
      <c r="F160" s="20">
        <v>174</v>
      </c>
      <c r="G160" s="20">
        <v>177</v>
      </c>
      <c r="H160" s="20">
        <v>180</v>
      </c>
      <c r="I160" s="20">
        <v>185</v>
      </c>
      <c r="J160" s="20">
        <v>182</v>
      </c>
      <c r="K160" s="20">
        <v>180</v>
      </c>
      <c r="L160" s="20">
        <v>183</v>
      </c>
      <c r="M160" s="20">
        <v>182</v>
      </c>
      <c r="N160" s="37">
        <v>169</v>
      </c>
      <c r="O160" s="43"/>
      <c r="P160" s="22">
        <f>899/2</f>
        <v>449.5</v>
      </c>
      <c r="Q160" s="22">
        <f>84000/8</f>
        <v>10500</v>
      </c>
      <c r="R160" s="20" t="s">
        <v>319</v>
      </c>
      <c r="S160" s="20" t="s">
        <v>386</v>
      </c>
      <c r="T160" s="13">
        <f t="shared" si="33"/>
        <v>1719</v>
      </c>
      <c r="U160" s="10">
        <f t="shared" si="34"/>
        <v>23.359288097886541</v>
      </c>
      <c r="V160" t="s">
        <v>424</v>
      </c>
      <c r="W160" t="s">
        <v>353</v>
      </c>
    </row>
    <row r="161" spans="1:23" x14ac:dyDescent="0.25">
      <c r="A161" s="42" t="s">
        <v>159</v>
      </c>
      <c r="B161" s="42" t="s">
        <v>305</v>
      </c>
      <c r="C161" s="20">
        <v>159</v>
      </c>
      <c r="D161" s="20">
        <v>169</v>
      </c>
      <c r="E161" s="20">
        <v>159</v>
      </c>
      <c r="F161" s="20">
        <v>157</v>
      </c>
      <c r="G161" s="20">
        <v>162</v>
      </c>
      <c r="H161" s="20">
        <v>153</v>
      </c>
      <c r="I161" s="20">
        <v>156</v>
      </c>
      <c r="J161" s="20">
        <v>154</v>
      </c>
      <c r="K161" s="20">
        <v>155</v>
      </c>
      <c r="L161" s="20">
        <v>160</v>
      </c>
      <c r="M161" s="20">
        <v>159</v>
      </c>
      <c r="N161" s="37">
        <v>168</v>
      </c>
      <c r="O161" s="43"/>
      <c r="P161" s="22">
        <f>820/2</f>
        <v>410</v>
      </c>
      <c r="Q161" s="22">
        <f>84000/8</f>
        <v>10500</v>
      </c>
      <c r="R161" s="20" t="s">
        <v>319</v>
      </c>
      <c r="S161" s="20" t="s">
        <v>386</v>
      </c>
      <c r="T161" s="13">
        <f t="shared" si="33"/>
        <v>1719</v>
      </c>
      <c r="U161" s="10">
        <f t="shared" si="34"/>
        <v>25.609756097560975</v>
      </c>
      <c r="V161" t="s">
        <v>424</v>
      </c>
      <c r="W161" t="s">
        <v>353</v>
      </c>
    </row>
    <row r="162" spans="1:23" x14ac:dyDescent="0.25">
      <c r="A162" s="42" t="s">
        <v>160</v>
      </c>
      <c r="B162" s="42" t="e">
        <v>#N/A</v>
      </c>
      <c r="C162" s="20">
        <v>110</v>
      </c>
      <c r="D162" s="20">
        <v>116</v>
      </c>
      <c r="E162" s="20">
        <v>145</v>
      </c>
      <c r="F162" s="20">
        <v>145</v>
      </c>
      <c r="G162" s="20">
        <v>145</v>
      </c>
      <c r="H162" s="20">
        <v>145</v>
      </c>
      <c r="I162" s="20">
        <v>144</v>
      </c>
      <c r="J162" s="20">
        <v>177</v>
      </c>
      <c r="K162" s="20">
        <v>180</v>
      </c>
      <c r="L162" s="20">
        <v>182</v>
      </c>
      <c r="M162" s="20">
        <v>177</v>
      </c>
      <c r="N162" s="37">
        <v>172</v>
      </c>
      <c r="O162" s="43"/>
      <c r="P162" s="22">
        <f>2590/COUNTIF(R:R,R162)</f>
        <v>518</v>
      </c>
      <c r="Q162" s="22">
        <f>53146/COUNTIF(R:R,R162)</f>
        <v>10629.2</v>
      </c>
      <c r="R162" s="20" t="s">
        <v>356</v>
      </c>
      <c r="S162" s="20" t="s">
        <v>386</v>
      </c>
      <c r="T162" s="13">
        <f t="shared" si="33"/>
        <v>2590</v>
      </c>
      <c r="U162" s="10">
        <f t="shared" si="34"/>
        <v>20.519691119691121</v>
      </c>
      <c r="V162" t="s">
        <v>426</v>
      </c>
      <c r="W162" t="s">
        <v>353</v>
      </c>
    </row>
    <row r="163" spans="1:23" x14ac:dyDescent="0.25">
      <c r="A163" s="42" t="s">
        <v>161</v>
      </c>
      <c r="B163" s="42" t="s">
        <v>168</v>
      </c>
      <c r="C163" s="20">
        <v>120</v>
      </c>
      <c r="D163" s="20">
        <v>120</v>
      </c>
      <c r="E163" s="20">
        <v>120</v>
      </c>
      <c r="F163" s="20">
        <v>179</v>
      </c>
      <c r="G163" s="20">
        <v>180</v>
      </c>
      <c r="H163" s="20">
        <v>179</v>
      </c>
      <c r="I163" s="20">
        <v>180</v>
      </c>
      <c r="J163" s="20">
        <v>179</v>
      </c>
      <c r="K163" s="20">
        <v>180</v>
      </c>
      <c r="L163" s="20">
        <v>178</v>
      </c>
      <c r="M163" s="20">
        <v>179</v>
      </c>
      <c r="N163" s="37">
        <v>171</v>
      </c>
      <c r="O163" s="43"/>
      <c r="P163" s="22">
        <v>1141</v>
      </c>
      <c r="Q163" s="44">
        <f>P163*typical_cost</f>
        <v>29848.560000000001</v>
      </c>
      <c r="R163" s="20" t="s">
        <v>166</v>
      </c>
      <c r="S163" s="20" t="s">
        <v>386</v>
      </c>
      <c r="T163" s="13">
        <f t="shared" si="33"/>
        <v>2257</v>
      </c>
      <c r="U163" s="10">
        <f t="shared" si="34"/>
        <v>26.16</v>
      </c>
      <c r="V163" t="s">
        <v>429</v>
      </c>
      <c r="W163" t="s">
        <v>353</v>
      </c>
    </row>
    <row r="164" spans="1:23" x14ac:dyDescent="0.25">
      <c r="A164" s="42" t="s">
        <v>162</v>
      </c>
      <c r="B164" s="42" t="s">
        <v>306</v>
      </c>
      <c r="C164" s="20">
        <v>181</v>
      </c>
      <c r="D164" s="20">
        <v>184</v>
      </c>
      <c r="E164" s="20">
        <v>185</v>
      </c>
      <c r="F164" s="20">
        <v>192</v>
      </c>
      <c r="G164" s="20">
        <v>178</v>
      </c>
      <c r="H164" s="20">
        <v>193</v>
      </c>
      <c r="I164" s="20">
        <v>192</v>
      </c>
      <c r="J164" s="20">
        <v>192</v>
      </c>
      <c r="K164" s="20">
        <v>191</v>
      </c>
      <c r="L164" s="20">
        <v>192</v>
      </c>
      <c r="M164" s="20">
        <v>189</v>
      </c>
      <c r="N164" s="37">
        <v>170</v>
      </c>
      <c r="O164" s="43"/>
      <c r="P164" s="22">
        <f>12238/COUNTIF(R:R,R164)</f>
        <v>941.38461538461536</v>
      </c>
      <c r="Q164" s="22">
        <f>336465/COUNTIF(R:R,R164)</f>
        <v>25881.923076923078</v>
      </c>
      <c r="R164" s="20" t="s">
        <v>342</v>
      </c>
      <c r="S164" s="20" t="s">
        <v>386</v>
      </c>
      <c r="T164" s="13">
        <f t="shared" si="33"/>
        <v>12238</v>
      </c>
      <c r="U164" s="10">
        <f t="shared" si="34"/>
        <v>27.49346298414774</v>
      </c>
      <c r="W164" t="s">
        <v>353</v>
      </c>
    </row>
    <row r="165" spans="1:23" x14ac:dyDescent="0.25">
      <c r="A165" s="1"/>
      <c r="B165" s="1"/>
      <c r="N165" s="6"/>
      <c r="O165" s="3"/>
      <c r="U165" s="10"/>
      <c r="W165" t="s">
        <v>353</v>
      </c>
    </row>
    <row r="166" spans="1:23" x14ac:dyDescent="0.25">
      <c r="A166" s="1"/>
      <c r="B166" s="1"/>
      <c r="M166" s="6">
        <f>COUNT(M2:M164)</f>
        <v>163</v>
      </c>
      <c r="N166" t="s">
        <v>361</v>
      </c>
      <c r="O166" s="3"/>
      <c r="P166" s="13">
        <f>SUM(P2:P165)</f>
        <v>122968.90411646575</v>
      </c>
      <c r="Q166" s="13">
        <f>SUM(Q2:Q165)</f>
        <v>3216709.7483333331</v>
      </c>
      <c r="U166" s="10"/>
      <c r="W166" t="s">
        <v>353</v>
      </c>
    </row>
    <row r="167" spans="1:23" x14ac:dyDescent="0.25">
      <c r="A167" s="1"/>
      <c r="B167" s="1"/>
      <c r="N167" s="6"/>
      <c r="O167" s="3"/>
      <c r="U167" s="10"/>
      <c r="W167" t="s">
        <v>353</v>
      </c>
    </row>
    <row r="168" spans="1:23" x14ac:dyDescent="0.25">
      <c r="W168" t="s">
        <v>353</v>
      </c>
    </row>
    <row r="169" spans="1:23" x14ac:dyDescent="0.25">
      <c r="W169" t="s">
        <v>353</v>
      </c>
    </row>
    <row r="170" spans="1:23" x14ac:dyDescent="0.25">
      <c r="W170" t="s">
        <v>353</v>
      </c>
    </row>
    <row r="171" spans="1:23" x14ac:dyDescent="0.25">
      <c r="W171" t="s">
        <v>353</v>
      </c>
    </row>
    <row r="172" spans="1:23" x14ac:dyDescent="0.25">
      <c r="W172" t="s">
        <v>353</v>
      </c>
    </row>
    <row r="173" spans="1:23" x14ac:dyDescent="0.25">
      <c r="W173" t="s">
        <v>353</v>
      </c>
    </row>
    <row r="174" spans="1:23" x14ac:dyDescent="0.25">
      <c r="W174" t="s">
        <v>353</v>
      </c>
    </row>
    <row r="175" spans="1:23" x14ac:dyDescent="0.25">
      <c r="W175" t="s">
        <v>353</v>
      </c>
    </row>
    <row r="176" spans="1:23" x14ac:dyDescent="0.25">
      <c r="W176" t="s">
        <v>353</v>
      </c>
    </row>
    <row r="177" spans="23:23" x14ac:dyDescent="0.25">
      <c r="W177" t="s">
        <v>353</v>
      </c>
    </row>
    <row r="178" spans="23:23" x14ac:dyDescent="0.25">
      <c r="W178" t="s">
        <v>353</v>
      </c>
    </row>
    <row r="179" spans="23:23" x14ac:dyDescent="0.25">
      <c r="W179" t="s">
        <v>353</v>
      </c>
    </row>
    <row r="180" spans="23:23" x14ac:dyDescent="0.25">
      <c r="W180" t="s">
        <v>353</v>
      </c>
    </row>
    <row r="181" spans="23:23" x14ac:dyDescent="0.25">
      <c r="W181" t="s">
        <v>353</v>
      </c>
    </row>
    <row r="182" spans="23:23" x14ac:dyDescent="0.25">
      <c r="W182" t="s">
        <v>353</v>
      </c>
    </row>
    <row r="183" spans="23:23" x14ac:dyDescent="0.25">
      <c r="W183" t="s">
        <v>353</v>
      </c>
    </row>
    <row r="184" spans="23:23" x14ac:dyDescent="0.25">
      <c r="W184" t="s">
        <v>353</v>
      </c>
    </row>
    <row r="185" spans="23:23" x14ac:dyDescent="0.25">
      <c r="W185" t="s">
        <v>353</v>
      </c>
    </row>
    <row r="186" spans="23:23" x14ac:dyDescent="0.25">
      <c r="W186" t="s">
        <v>353</v>
      </c>
    </row>
    <row r="187" spans="23:23" x14ac:dyDescent="0.25">
      <c r="W187" t="s">
        <v>353</v>
      </c>
    </row>
    <row r="188" spans="23:23" x14ac:dyDescent="0.25">
      <c r="W188" t="s">
        <v>353</v>
      </c>
    </row>
    <row r="189" spans="23:23" x14ac:dyDescent="0.25">
      <c r="W189" t="s">
        <v>353</v>
      </c>
    </row>
    <row r="190" spans="23:23" x14ac:dyDescent="0.25">
      <c r="W190" t="s">
        <v>353</v>
      </c>
    </row>
  </sheetData>
  <autoFilter ref="A1:W190" xr:uid="{85B3A15F-E5FB-400F-83A7-B848AF5C5E3B}"/>
  <sortState xmlns:xlrd2="http://schemas.microsoft.com/office/spreadsheetml/2017/richdata2" ref="Y2:AA58">
    <sortCondition descending="1" ref="Z2:Z58"/>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59C23-7AC3-43AD-A34E-321C761093E5}">
  <dimension ref="A1:L71"/>
  <sheetViews>
    <sheetView workbookViewId="0">
      <pane xSplit="1" ySplit="1" topLeftCell="B32" activePane="bottomRight" state="frozen"/>
      <selection pane="topRight" activeCell="B1" sqref="B1"/>
      <selection pane="bottomLeft" activeCell="A2" sqref="A2"/>
      <selection pane="bottomRight" activeCell="E49" sqref="E49"/>
    </sheetView>
  </sheetViews>
  <sheetFormatPr defaultRowHeight="15" x14ac:dyDescent="0.25"/>
  <cols>
    <col min="2" max="2" width="48.85546875" bestFit="1" customWidth="1"/>
    <col min="3" max="3" width="77.7109375" customWidth="1"/>
    <col min="4" max="4" width="58.5703125" customWidth="1"/>
    <col min="5" max="5" width="10.5703125" customWidth="1"/>
    <col min="6" max="6" width="14.42578125" customWidth="1"/>
    <col min="7" max="7" width="53.5703125" customWidth="1"/>
    <col min="8" max="8" width="10.42578125" customWidth="1"/>
    <col min="9" max="9" width="31.42578125" customWidth="1"/>
  </cols>
  <sheetData>
    <row r="1" spans="1:12" x14ac:dyDescent="0.25">
      <c r="B1" s="2" t="s">
        <v>345</v>
      </c>
      <c r="C1" s="2"/>
      <c r="D1" s="2" t="s">
        <v>344</v>
      </c>
      <c r="E1" s="2"/>
      <c r="F1" s="2" t="s">
        <v>351</v>
      </c>
      <c r="G1" s="3" t="s">
        <v>346</v>
      </c>
      <c r="H1" s="2" t="s">
        <v>390</v>
      </c>
      <c r="I1" s="2" t="s">
        <v>414</v>
      </c>
      <c r="J1" s="2" t="s">
        <v>393</v>
      </c>
    </row>
    <row r="2" spans="1:12" x14ac:dyDescent="0.25">
      <c r="A2">
        <v>1</v>
      </c>
      <c r="B2" t="s">
        <v>14</v>
      </c>
      <c r="D2" t="s">
        <v>14</v>
      </c>
      <c r="G2" t="s">
        <v>14</v>
      </c>
      <c r="H2">
        <v>1</v>
      </c>
      <c r="I2" t="s">
        <v>389</v>
      </c>
      <c r="J2" t="s">
        <v>177</v>
      </c>
    </row>
    <row r="3" spans="1:12" x14ac:dyDescent="0.25">
      <c r="A3">
        <v>2</v>
      </c>
      <c r="B3" t="s">
        <v>15</v>
      </c>
      <c r="D3" t="s">
        <v>15</v>
      </c>
      <c r="G3" t="s">
        <v>15</v>
      </c>
      <c r="H3">
        <v>2</v>
      </c>
      <c r="I3" t="s">
        <v>313</v>
      </c>
      <c r="J3" t="s">
        <v>314</v>
      </c>
    </row>
    <row r="4" spans="1:12" x14ac:dyDescent="0.25">
      <c r="A4">
        <v>3</v>
      </c>
      <c r="D4" t="s">
        <v>313</v>
      </c>
      <c r="G4" t="s">
        <v>313</v>
      </c>
      <c r="H4">
        <v>3</v>
      </c>
      <c r="I4" t="s">
        <v>391</v>
      </c>
      <c r="J4" t="s">
        <v>394</v>
      </c>
    </row>
    <row r="5" spans="1:12" x14ac:dyDescent="0.25">
      <c r="A5">
        <v>4</v>
      </c>
      <c r="B5" t="s">
        <v>335</v>
      </c>
      <c r="D5" t="s">
        <v>21</v>
      </c>
      <c r="G5" t="s">
        <v>21</v>
      </c>
      <c r="H5">
        <v>4</v>
      </c>
      <c r="I5" t="s">
        <v>311</v>
      </c>
      <c r="J5" t="s">
        <v>190</v>
      </c>
    </row>
    <row r="6" spans="1:12" x14ac:dyDescent="0.25">
      <c r="A6">
        <v>5</v>
      </c>
      <c r="B6" t="s">
        <v>336</v>
      </c>
      <c r="D6" t="s">
        <v>325</v>
      </c>
      <c r="G6" t="s">
        <v>325</v>
      </c>
      <c r="H6">
        <v>5</v>
      </c>
      <c r="I6" t="s">
        <v>326</v>
      </c>
      <c r="J6" t="s">
        <v>327</v>
      </c>
    </row>
    <row r="7" spans="1:12" x14ac:dyDescent="0.25">
      <c r="A7">
        <v>6</v>
      </c>
      <c r="B7" t="s">
        <v>323</v>
      </c>
      <c r="D7" t="s">
        <v>323</v>
      </c>
      <c r="G7" t="s">
        <v>323</v>
      </c>
      <c r="H7">
        <v>6</v>
      </c>
      <c r="I7" t="s">
        <v>391</v>
      </c>
      <c r="J7" t="s">
        <v>392</v>
      </c>
      <c r="K7" s="3" t="s">
        <v>395</v>
      </c>
      <c r="L7" t="s">
        <v>396</v>
      </c>
    </row>
    <row r="8" spans="1:12" x14ac:dyDescent="0.25">
      <c r="A8">
        <v>7</v>
      </c>
      <c r="B8" t="s">
        <v>334</v>
      </c>
      <c r="D8" t="s">
        <v>331</v>
      </c>
      <c r="G8" t="s">
        <v>348</v>
      </c>
      <c r="H8">
        <v>7</v>
      </c>
      <c r="I8" t="s">
        <v>109</v>
      </c>
      <c r="J8" t="s">
        <v>328</v>
      </c>
    </row>
    <row r="9" spans="1:12" x14ac:dyDescent="0.25">
      <c r="A9">
        <v>8</v>
      </c>
      <c r="B9" t="s">
        <v>331</v>
      </c>
      <c r="G9" t="s">
        <v>349</v>
      </c>
      <c r="H9">
        <v>8</v>
      </c>
      <c r="I9" t="s">
        <v>14</v>
      </c>
      <c r="J9" t="s">
        <v>329</v>
      </c>
    </row>
    <row r="10" spans="1:12" x14ac:dyDescent="0.25">
      <c r="A10">
        <v>9</v>
      </c>
      <c r="B10" t="s">
        <v>337</v>
      </c>
      <c r="D10" t="s">
        <v>311</v>
      </c>
      <c r="G10" s="2" t="s">
        <v>311</v>
      </c>
      <c r="H10">
        <v>9</v>
      </c>
      <c r="I10" t="s">
        <v>13</v>
      </c>
      <c r="J10" t="s">
        <v>329</v>
      </c>
    </row>
    <row r="11" spans="1:12" x14ac:dyDescent="0.25">
      <c r="A11">
        <v>10</v>
      </c>
      <c r="B11" t="s">
        <v>338</v>
      </c>
      <c r="D11" t="s">
        <v>326</v>
      </c>
      <c r="G11" s="2" t="s">
        <v>326</v>
      </c>
      <c r="H11">
        <v>10</v>
      </c>
      <c r="I11" t="s">
        <v>21</v>
      </c>
      <c r="J11" t="s">
        <v>322</v>
      </c>
    </row>
    <row r="12" spans="1:12" x14ac:dyDescent="0.25">
      <c r="A12">
        <v>11</v>
      </c>
      <c r="B12" t="s">
        <v>109</v>
      </c>
      <c r="D12" t="s">
        <v>109</v>
      </c>
      <c r="G12" t="s">
        <v>109</v>
      </c>
      <c r="H12">
        <v>11</v>
      </c>
      <c r="I12" t="s">
        <v>323</v>
      </c>
      <c r="J12" t="s">
        <v>322</v>
      </c>
    </row>
    <row r="13" spans="1:12" x14ac:dyDescent="0.25">
      <c r="A13">
        <v>12</v>
      </c>
      <c r="B13" t="s">
        <v>114</v>
      </c>
      <c r="D13" t="s">
        <v>114</v>
      </c>
      <c r="G13" t="s">
        <v>114</v>
      </c>
      <c r="H13">
        <v>12</v>
      </c>
      <c r="I13" t="s">
        <v>325</v>
      </c>
      <c r="J13" t="s">
        <v>321</v>
      </c>
    </row>
    <row r="14" spans="1:12" x14ac:dyDescent="0.25">
      <c r="A14">
        <v>13</v>
      </c>
      <c r="B14" t="s">
        <v>115</v>
      </c>
      <c r="D14" t="s">
        <v>115</v>
      </c>
      <c r="G14" t="s">
        <v>115</v>
      </c>
      <c r="H14">
        <v>13</v>
      </c>
      <c r="I14" t="s">
        <v>320</v>
      </c>
      <c r="J14" t="s">
        <v>321</v>
      </c>
      <c r="K14" s="2"/>
    </row>
    <row r="15" spans="1:12" x14ac:dyDescent="0.25">
      <c r="A15">
        <v>14</v>
      </c>
      <c r="B15" s="2" t="s">
        <v>13</v>
      </c>
      <c r="C15" s="2"/>
      <c r="D15" s="2" t="s">
        <v>330</v>
      </c>
      <c r="E15" s="2"/>
      <c r="F15" s="2"/>
      <c r="G15" s="2" t="s">
        <v>13</v>
      </c>
      <c r="H15">
        <v>14</v>
      </c>
      <c r="I15" t="s">
        <v>15</v>
      </c>
      <c r="J15" t="s">
        <v>324</v>
      </c>
    </row>
    <row r="16" spans="1:12" x14ac:dyDescent="0.25">
      <c r="A16">
        <v>15</v>
      </c>
      <c r="B16" t="s">
        <v>340</v>
      </c>
      <c r="D16" t="s">
        <v>320</v>
      </c>
      <c r="G16" t="s">
        <v>320</v>
      </c>
      <c r="H16">
        <v>15</v>
      </c>
      <c r="I16" t="s">
        <v>114</v>
      </c>
      <c r="J16" t="s">
        <v>174</v>
      </c>
    </row>
    <row r="17" spans="1:10" x14ac:dyDescent="0.25">
      <c r="A17">
        <v>16</v>
      </c>
      <c r="B17" t="s">
        <v>339</v>
      </c>
      <c r="D17" t="s">
        <v>176</v>
      </c>
      <c r="F17" s="3">
        <v>120655</v>
      </c>
      <c r="G17" s="2" t="s">
        <v>347</v>
      </c>
      <c r="H17">
        <v>16</v>
      </c>
      <c r="I17" t="s">
        <v>115</v>
      </c>
      <c r="J17" t="s">
        <v>174</v>
      </c>
    </row>
    <row r="18" spans="1:10" x14ac:dyDescent="0.25">
      <c r="D18" s="14" t="s">
        <v>86</v>
      </c>
      <c r="E18" s="14"/>
    </row>
    <row r="20" spans="1:10" x14ac:dyDescent="0.25">
      <c r="I20" t="s">
        <v>401</v>
      </c>
      <c r="J20" t="s">
        <v>402</v>
      </c>
    </row>
    <row r="23" spans="1:10" x14ac:dyDescent="0.25">
      <c r="B23">
        <f>COUNTA(B2:B17)</f>
        <v>15</v>
      </c>
      <c r="D23">
        <f>COUNTA(D2:D17)</f>
        <v>15</v>
      </c>
      <c r="G23">
        <f>COUNTA(G2:G17)</f>
        <v>16</v>
      </c>
      <c r="H23" t="s">
        <v>363</v>
      </c>
    </row>
    <row r="24" spans="1:10" x14ac:dyDescent="0.25">
      <c r="G24" t="s">
        <v>350</v>
      </c>
    </row>
    <row r="25" spans="1:10" x14ac:dyDescent="0.25">
      <c r="G25" t="s">
        <v>364</v>
      </c>
    </row>
    <row r="28" spans="1:10" x14ac:dyDescent="0.25">
      <c r="H28" s="7"/>
    </row>
    <row r="33" spans="1:12" x14ac:dyDescent="0.25">
      <c r="B33" t="s">
        <v>397</v>
      </c>
    </row>
    <row r="34" spans="1:12" x14ac:dyDescent="0.25">
      <c r="B34">
        <v>1</v>
      </c>
      <c r="C34">
        <v>2</v>
      </c>
      <c r="D34">
        <v>3</v>
      </c>
      <c r="E34">
        <v>4</v>
      </c>
      <c r="F34">
        <v>5</v>
      </c>
    </row>
    <row r="35" spans="1:12" x14ac:dyDescent="0.25">
      <c r="B35" s="2" t="s">
        <v>400</v>
      </c>
      <c r="C35" s="2" t="s">
        <v>370</v>
      </c>
      <c r="D35" s="2" t="s">
        <v>371</v>
      </c>
      <c r="E35" s="2" t="s">
        <v>398</v>
      </c>
      <c r="F35" s="2" t="s">
        <v>399</v>
      </c>
      <c r="I35" t="str">
        <f>_xlfn.CONCAT("Cost if £ = ",school," + x * ",candidate)</f>
        <v>Cost if £ = 2422 + x * 26.56</v>
      </c>
      <c r="J35" t="s">
        <v>435</v>
      </c>
      <c r="K35" t="s">
        <v>436</v>
      </c>
    </row>
    <row r="36" spans="1:12" x14ac:dyDescent="0.25">
      <c r="A36">
        <v>2</v>
      </c>
      <c r="B36" s="1" t="s">
        <v>14</v>
      </c>
      <c r="C36" s="3" t="s">
        <v>184</v>
      </c>
      <c r="D36" s="3" t="s">
        <v>372</v>
      </c>
      <c r="E36" s="11">
        <v>320</v>
      </c>
      <c r="F36" s="28">
        <v>11987</v>
      </c>
      <c r="G36" t="s">
        <v>430</v>
      </c>
      <c r="H36" s="27">
        <f>F36/E36</f>
        <v>37.459375000000001</v>
      </c>
      <c r="I36" s="4">
        <f>2422+E36*26.56</f>
        <v>10921.199999999999</v>
      </c>
      <c r="J36" s="4">
        <f>F36-I36</f>
        <v>1065.8000000000011</v>
      </c>
    </row>
    <row r="37" spans="1:12" x14ac:dyDescent="0.25">
      <c r="A37">
        <v>3</v>
      </c>
      <c r="B37" s="1" t="s">
        <v>15</v>
      </c>
      <c r="C37" s="3" t="s">
        <v>186</v>
      </c>
      <c r="D37" t="s">
        <v>373</v>
      </c>
      <c r="E37" s="11">
        <v>557</v>
      </c>
      <c r="F37" s="28">
        <v>16927</v>
      </c>
      <c r="G37" t="s">
        <v>430</v>
      </c>
      <c r="H37" s="27">
        <f>F37/E37</f>
        <v>30.389587073608617</v>
      </c>
      <c r="I37" s="4">
        <f t="shared" ref="I37:I38" si="0">2422+E37*26.56</f>
        <v>17215.919999999998</v>
      </c>
      <c r="J37" s="4">
        <f t="shared" ref="J37:J38" si="1">F37-I37</f>
        <v>-288.91999999999825</v>
      </c>
    </row>
    <row r="38" spans="1:12" x14ac:dyDescent="0.25">
      <c r="A38">
        <v>5</v>
      </c>
      <c r="B38" s="1" t="s">
        <v>21</v>
      </c>
      <c r="C38" s="3" t="s">
        <v>183</v>
      </c>
      <c r="D38" t="s">
        <v>375</v>
      </c>
      <c r="E38" s="11">
        <v>232</v>
      </c>
      <c r="F38" s="27">
        <v>7806.47</v>
      </c>
      <c r="G38" t="s">
        <v>430</v>
      </c>
      <c r="H38" s="27">
        <f>F38/E38</f>
        <v>33.648577586206898</v>
      </c>
      <c r="I38" s="4">
        <f t="shared" si="0"/>
        <v>8583.92</v>
      </c>
      <c r="J38" s="4">
        <f t="shared" si="1"/>
        <v>-777.44999999999982</v>
      </c>
    </row>
    <row r="39" spans="1:12" x14ac:dyDescent="0.25">
      <c r="A39">
        <v>1</v>
      </c>
      <c r="B39" s="1" t="s">
        <v>13</v>
      </c>
      <c r="C39" s="3" t="s">
        <v>185</v>
      </c>
      <c r="D39" s="3" t="s">
        <v>359</v>
      </c>
      <c r="E39" s="19">
        <f t="shared" ref="E39:E48" si="2">(F39-school)/candidate</f>
        <v>382.86257530120486</v>
      </c>
      <c r="F39" s="27">
        <v>12590.83</v>
      </c>
      <c r="G39" t="s">
        <v>403</v>
      </c>
      <c r="H39" s="18">
        <f t="shared" ref="H39:H50" si="3">F39/E39</f>
        <v>32.886029641561514</v>
      </c>
      <c r="L39">
        <v>1</v>
      </c>
    </row>
    <row r="40" spans="1:12" x14ac:dyDescent="0.25">
      <c r="A40">
        <v>6</v>
      </c>
      <c r="B40" s="1" t="s">
        <v>56</v>
      </c>
      <c r="C40" s="3" t="s">
        <v>365</v>
      </c>
      <c r="D40" t="s">
        <v>376</v>
      </c>
      <c r="E40" s="19">
        <f t="shared" si="2"/>
        <v>403.29668674698797</v>
      </c>
      <c r="F40" s="27">
        <v>13133.56</v>
      </c>
      <c r="H40" s="18">
        <f t="shared" si="3"/>
        <v>32.565504333635808</v>
      </c>
      <c r="L40">
        <v>2</v>
      </c>
    </row>
    <row r="41" spans="1:12" x14ac:dyDescent="0.25">
      <c r="A41">
        <v>8</v>
      </c>
      <c r="B41" s="1" t="s">
        <v>62</v>
      </c>
      <c r="C41" s="3" t="s">
        <v>367</v>
      </c>
      <c r="D41" t="s">
        <v>378</v>
      </c>
      <c r="E41" s="19">
        <f t="shared" si="2"/>
        <v>436.54518072289159</v>
      </c>
      <c r="F41" s="27">
        <v>14016.64</v>
      </c>
      <c r="H41" s="18">
        <f t="shared" si="3"/>
        <v>32.108108436311952</v>
      </c>
      <c r="L41">
        <v>3</v>
      </c>
    </row>
    <row r="42" spans="1:12" x14ac:dyDescent="0.25">
      <c r="A42">
        <v>9</v>
      </c>
      <c r="B42" s="1" t="s">
        <v>88</v>
      </c>
      <c r="C42" s="3" t="s">
        <v>181</v>
      </c>
      <c r="D42" t="s">
        <v>379</v>
      </c>
      <c r="E42" s="19">
        <f t="shared" si="2"/>
        <v>204.74849397590361</v>
      </c>
      <c r="F42" s="27">
        <v>7860.12</v>
      </c>
      <c r="G42" s="3" t="s">
        <v>388</v>
      </c>
      <c r="H42" s="18">
        <f t="shared" si="3"/>
        <v>38.389146837510019</v>
      </c>
      <c r="L42">
        <v>4</v>
      </c>
    </row>
    <row r="43" spans="1:12" x14ac:dyDescent="0.25">
      <c r="A43">
        <v>10</v>
      </c>
      <c r="B43" s="1" t="s">
        <v>89</v>
      </c>
      <c r="C43" s="3" t="s">
        <v>368</v>
      </c>
      <c r="D43" t="s">
        <v>380</v>
      </c>
      <c r="E43" s="19">
        <f t="shared" si="2"/>
        <v>783.14081325301208</v>
      </c>
      <c r="F43" s="27">
        <v>23222.22</v>
      </c>
      <c r="H43" s="18">
        <f t="shared" si="3"/>
        <v>29.652674981322313</v>
      </c>
      <c r="L43">
        <v>5</v>
      </c>
    </row>
    <row r="44" spans="1:12" x14ac:dyDescent="0.25">
      <c r="A44">
        <v>12</v>
      </c>
      <c r="B44" s="1" t="s">
        <v>109</v>
      </c>
      <c r="C44" s="3" t="s">
        <v>180</v>
      </c>
      <c r="D44" t="s">
        <v>381</v>
      </c>
      <c r="E44" s="19">
        <f t="shared" si="2"/>
        <v>123.5203313253012</v>
      </c>
      <c r="F44" s="27">
        <v>5702.7</v>
      </c>
      <c r="H44" s="18">
        <f t="shared" si="3"/>
        <v>46.16810802572622</v>
      </c>
      <c r="L44">
        <v>6</v>
      </c>
    </row>
    <row r="45" spans="1:12" x14ac:dyDescent="0.25">
      <c r="A45">
        <v>13</v>
      </c>
      <c r="B45" s="1" t="s">
        <v>114</v>
      </c>
      <c r="C45" s="3" t="s">
        <v>188</v>
      </c>
      <c r="D45" t="s">
        <v>382</v>
      </c>
      <c r="E45" s="19">
        <f t="shared" si="2"/>
        <v>331.7018072289157</v>
      </c>
      <c r="F45" s="28">
        <v>11232</v>
      </c>
      <c r="H45" s="18">
        <f t="shared" si="3"/>
        <v>33.861738933030644</v>
      </c>
      <c r="L45">
        <v>7</v>
      </c>
    </row>
    <row r="46" spans="1:12" x14ac:dyDescent="0.25">
      <c r="A46">
        <v>14</v>
      </c>
      <c r="B46" s="1" t="s">
        <v>115</v>
      </c>
      <c r="C46" s="3" t="s">
        <v>187</v>
      </c>
      <c r="D46" t="s">
        <v>383</v>
      </c>
      <c r="E46" s="19">
        <f t="shared" si="2"/>
        <v>511.81362951807233</v>
      </c>
      <c r="F46" s="27">
        <v>16015.77</v>
      </c>
      <c r="H46" s="18">
        <f t="shared" si="3"/>
        <v>31.292191290569132</v>
      </c>
      <c r="L46">
        <v>8</v>
      </c>
    </row>
    <row r="47" spans="1:12" x14ac:dyDescent="0.25">
      <c r="A47">
        <v>4</v>
      </c>
      <c r="B47" s="1" t="s">
        <v>19</v>
      </c>
      <c r="C47" s="3" t="s">
        <v>182</v>
      </c>
      <c r="D47" t="s">
        <v>374</v>
      </c>
      <c r="E47" s="19">
        <f t="shared" si="2"/>
        <v>285.31626506024099</v>
      </c>
      <c r="F47" s="29">
        <v>10000</v>
      </c>
      <c r="G47" t="s">
        <v>413</v>
      </c>
      <c r="H47" s="18">
        <f t="shared" si="3"/>
        <v>35.048825547637897</v>
      </c>
      <c r="L47">
        <v>9</v>
      </c>
    </row>
    <row r="48" spans="1:12" x14ac:dyDescent="0.25">
      <c r="A48">
        <v>15</v>
      </c>
      <c r="B48" s="1" t="s">
        <v>133</v>
      </c>
      <c r="C48" s="3" t="s">
        <v>369</v>
      </c>
      <c r="D48" t="s">
        <v>362</v>
      </c>
      <c r="E48" s="19">
        <f t="shared" si="2"/>
        <v>286.58885542168673</v>
      </c>
      <c r="F48" s="29">
        <f>10033.8</f>
        <v>10033.799999999999</v>
      </c>
      <c r="H48" s="18">
        <f>F48/E48</f>
        <v>35.011131138495493</v>
      </c>
    </row>
    <row r="49" spans="1:9" x14ac:dyDescent="0.25">
      <c r="A49">
        <v>7</v>
      </c>
      <c r="B49" s="1" t="s">
        <v>57</v>
      </c>
      <c r="C49" s="3" t="s">
        <v>366</v>
      </c>
      <c r="D49" t="s">
        <v>377</v>
      </c>
      <c r="E49" s="30">
        <f>E62/3</f>
        <v>97.684738955823377</v>
      </c>
      <c r="F49" s="18">
        <f>2422+E49*26.56</f>
        <v>5016.5066666666689</v>
      </c>
      <c r="H49" s="18">
        <f t="shared" si="3"/>
        <v>51.354046909367462</v>
      </c>
    </row>
    <row r="50" spans="1:9" x14ac:dyDescent="0.25">
      <c r="A50">
        <v>11</v>
      </c>
      <c r="B50" s="14" t="s">
        <v>86</v>
      </c>
      <c r="C50" s="3" t="s">
        <v>405</v>
      </c>
      <c r="E50" s="30">
        <f>E49</f>
        <v>97.684738955823377</v>
      </c>
      <c r="F50" s="18">
        <f t="shared" ref="F50" si="4">2422+E50*26.56</f>
        <v>5016.5066666666689</v>
      </c>
      <c r="H50" s="18">
        <f t="shared" si="3"/>
        <v>51.354046909367462</v>
      </c>
    </row>
    <row r="52" spans="1:9" x14ac:dyDescent="0.25">
      <c r="B52" s="1"/>
      <c r="C52" s="3"/>
      <c r="E52" s="9">
        <f>SUM(E36:E50)</f>
        <v>5053.9041164658629</v>
      </c>
      <c r="F52" s="16">
        <f>SUM(F36:F50)</f>
        <v>170561.12333333335</v>
      </c>
    </row>
    <row r="53" spans="1:9" x14ac:dyDescent="0.25">
      <c r="B53" s="8" t="s">
        <v>445</v>
      </c>
      <c r="C53" s="3"/>
    </row>
    <row r="54" spans="1:9" x14ac:dyDescent="0.25">
      <c r="B54" s="1" t="s">
        <v>438</v>
      </c>
    </row>
    <row r="55" spans="1:9" x14ac:dyDescent="0.25">
      <c r="B55" s="1" t="s">
        <v>439</v>
      </c>
      <c r="F55" s="7"/>
    </row>
    <row r="56" spans="1:9" x14ac:dyDescent="0.25">
      <c r="B56" s="1" t="s">
        <v>440</v>
      </c>
    </row>
    <row r="57" spans="1:9" x14ac:dyDescent="0.25">
      <c r="B57" s="1" t="s">
        <v>441</v>
      </c>
      <c r="E57" s="24">
        <v>4865</v>
      </c>
      <c r="G57" t="s">
        <v>404</v>
      </c>
      <c r="H57" s="7"/>
    </row>
    <row r="58" spans="1:9" x14ac:dyDescent="0.25">
      <c r="B58" s="1" t="s">
        <v>442</v>
      </c>
      <c r="E58" s="11">
        <f>E36+E37+E38</f>
        <v>1109</v>
      </c>
      <c r="F58" s="27">
        <f>F36+F37+F38</f>
        <v>36720.47</v>
      </c>
      <c r="G58" t="s">
        <v>431</v>
      </c>
      <c r="H58" s="18">
        <f>F58/E58</f>
        <v>33.111334535617672</v>
      </c>
      <c r="I58" t="s">
        <v>433</v>
      </c>
    </row>
    <row r="59" spans="1:9" x14ac:dyDescent="0.25">
      <c r="B59" s="1" t="s">
        <v>443</v>
      </c>
    </row>
    <row r="61" spans="1:9" x14ac:dyDescent="0.25">
      <c r="B61" s="8" t="s">
        <v>444</v>
      </c>
      <c r="E61" s="17">
        <f>AVERAGE(E36:E50)</f>
        <v>336.92694109772418</v>
      </c>
      <c r="F61" s="18">
        <f>AVERAGE(F36:F50)</f>
        <v>11370.741555555556</v>
      </c>
      <c r="G61" t="s">
        <v>432</v>
      </c>
    </row>
    <row r="62" spans="1:9" x14ac:dyDescent="0.25">
      <c r="B62" s="1" t="s">
        <v>446</v>
      </c>
      <c r="E62">
        <f>E57-SUM(E36:E47)</f>
        <v>293.05421686747013</v>
      </c>
      <c r="G62" t="s">
        <v>434</v>
      </c>
    </row>
    <row r="63" spans="1:9" x14ac:dyDescent="0.25">
      <c r="B63" s="1" t="s">
        <v>447</v>
      </c>
      <c r="E63">
        <f>E62/3</f>
        <v>97.684738955823377</v>
      </c>
    </row>
    <row r="64" spans="1:9" x14ac:dyDescent="0.25">
      <c r="B64" s="1" t="s">
        <v>448</v>
      </c>
    </row>
    <row r="65" spans="2:6" x14ac:dyDescent="0.25">
      <c r="B65" s="1" t="s">
        <v>449</v>
      </c>
    </row>
    <row r="66" spans="2:6" x14ac:dyDescent="0.25">
      <c r="B66" s="1" t="s">
        <v>450</v>
      </c>
      <c r="E66" t="s">
        <v>341</v>
      </c>
      <c r="F66" s="4">
        <v>2422</v>
      </c>
    </row>
    <row r="67" spans="2:6" x14ac:dyDescent="0.25">
      <c r="B67" s="1" t="s">
        <v>451</v>
      </c>
      <c r="E67" t="s">
        <v>437</v>
      </c>
      <c r="F67" s="7">
        <v>26.56</v>
      </c>
    </row>
    <row r="68" spans="2:6" x14ac:dyDescent="0.25">
      <c r="B68" s="1"/>
    </row>
    <row r="70" spans="2:6" x14ac:dyDescent="0.25">
      <c r="B70" s="1"/>
    </row>
    <row r="71" spans="2:6" x14ac:dyDescent="0.25">
      <c r="C71" s="2"/>
    </row>
  </sheetData>
  <sortState xmlns:xlrd2="http://schemas.microsoft.com/office/spreadsheetml/2017/richdata2" ref="I36:I54">
    <sortCondition ref="I36:I54"/>
  </sortState>
  <hyperlinks>
    <hyperlink ref="G1" r:id="rId1" xr:uid="{CA49CE9B-5A25-4B92-B562-D0BA8F5C6DAF}"/>
    <hyperlink ref="F17" r:id="rId2" display="https://get-information-schools.service.gov.uk/Establishments/Establishment/Details/120655" xr:uid="{4CB97F6F-5029-4BCA-9A5B-7C3B32CD1C5C}"/>
    <hyperlink ref="C36" r:id="rId3" xr:uid="{0AB94667-14A7-41AD-AED4-006643551216}"/>
    <hyperlink ref="C37" r:id="rId4" xr:uid="{C1542D28-40A2-4E1C-90D4-1409A804EB07}"/>
    <hyperlink ref="C47" r:id="rId5" xr:uid="{5F2235EA-AF5D-4D2E-803D-2B2357D84AAD}"/>
    <hyperlink ref="C38" r:id="rId6" xr:uid="{DFD06619-CB4B-4E03-A156-ECAF167D806E}"/>
    <hyperlink ref="C42" r:id="rId7" xr:uid="{15DD8D00-172A-4C1D-9BAE-254AF4CB89A2}"/>
    <hyperlink ref="C44" r:id="rId8" xr:uid="{1CA31E2F-EA94-4EE8-9CF0-FB32D767ADE7}"/>
    <hyperlink ref="C45" r:id="rId9" xr:uid="{6C78BB04-A9CE-4504-92D1-590A35DE9B4F}"/>
    <hyperlink ref="C46" r:id="rId10" xr:uid="{FA9BF9DC-6C09-4E8D-812B-2A1049EAC077}"/>
    <hyperlink ref="D39" r:id="rId11" xr:uid="{4EEB135E-B98E-47A1-A17F-7E1902E56C1A}"/>
    <hyperlink ref="D36" r:id="rId12" xr:uid="{F001A439-E41D-4BAF-85FC-3682AA96DB54}"/>
    <hyperlink ref="G42" r:id="rId13" xr:uid="{EDDEED33-F80C-4315-BFBB-B71C2F4C8951}"/>
    <hyperlink ref="K7" r:id="rId14" xr:uid="{2118ACCF-ABA1-4AF1-8B77-DC09DC83BBEB}"/>
    <hyperlink ref="C39" r:id="rId15" xr:uid="{4CA0B9BF-5E5C-4DB0-A4A3-A444077A57A2}"/>
    <hyperlink ref="C40" r:id="rId16" xr:uid="{E75FC9AB-E631-4F51-A6DC-930B08FAE759}"/>
    <hyperlink ref="C49" r:id="rId17" xr:uid="{5E09524E-9B16-470F-9DE8-D408A67A7041}"/>
    <hyperlink ref="C41" r:id="rId18" xr:uid="{04EFEF35-185A-432C-AE6F-388024DBDA79}"/>
    <hyperlink ref="C43" r:id="rId19" xr:uid="{A6BC80A0-577F-4BF7-84A6-3302B5219869}"/>
    <hyperlink ref="C48" r:id="rId20" xr:uid="{62B487C6-F315-411F-9090-E35106EBA383}"/>
    <hyperlink ref="C50" r:id="rId21" xr:uid="{6011558E-0F82-484B-B963-97A5CDBB0F30}"/>
  </hyperlinks>
  <pageMargins left="0.7" right="0.7" top="0.75" bottom="0.75" header="0.3" footer="0.3"/>
  <drawing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README</vt:lpstr>
      <vt:lpstr>2024</vt:lpstr>
      <vt:lpstr>Lincs</vt:lpstr>
      <vt:lpstr>candidate</vt:lpstr>
      <vt:lpstr>lincs_cost</vt:lpstr>
      <vt:lpstr>LincsData</vt:lpstr>
      <vt:lpstr>LincsData2</vt:lpstr>
      <vt:lpstr>school</vt:lpstr>
      <vt:lpstr>typical_cost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Coombs</dc:creator>
  <cp:lastModifiedBy>James Coombs</cp:lastModifiedBy>
  <dcterms:created xsi:type="dcterms:W3CDTF">2024-11-13T16:52:06Z</dcterms:created>
  <dcterms:modified xsi:type="dcterms:W3CDTF">2026-02-22T17:47:34Z</dcterms:modified>
</cp:coreProperties>
</file>